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245" windowHeight="12540" tabRatio="820"/>
  </bookViews>
  <sheets>
    <sheet name="1 收支平衡表" sheetId="21" r:id="rId1"/>
    <sheet name="Sheet2" sheetId="31" state="hidden" r:id="rId2"/>
    <sheet name="2 县本级统筹财力" sheetId="9" r:id="rId3"/>
    <sheet name="3 收入" sheetId="11" r:id="rId4"/>
    <sheet name="4 科目汇总表" sheetId="6" r:id="rId5"/>
    <sheet name="工资福利汇总表" sheetId="29" state="hidden" r:id="rId6"/>
    <sheet name="工资福利（公务员、参公人员）" sheetId="2" state="hidden" r:id="rId7"/>
    <sheet name="工资福利 （事业人员）" sheetId="27" state="hidden" r:id="rId8"/>
    <sheet name="工资福利（年初预算）" sheetId="28" state="hidden" r:id="rId9"/>
    <sheet name="对个人和家庭补助" sheetId="25" state="hidden" r:id="rId10"/>
    <sheet name="商品和服务支出" sheetId="3" state="hidden" r:id="rId11"/>
    <sheet name="项目支出" sheetId="12" state="hidden" r:id="rId12"/>
    <sheet name="无法列入2023调整预算" sheetId="32" state="hidden" r:id="rId13"/>
    <sheet name="无法列入2023年初预算 " sheetId="26" state="hidden" r:id="rId14"/>
    <sheet name="5 基金平衡表" sheetId="16" r:id="rId15"/>
    <sheet name="6 基金收入" sheetId="17" r:id="rId16"/>
    <sheet name="7 基金支出" sheetId="22" r:id="rId17"/>
    <sheet name="基金支出明细" sheetId="20" state="hidden" r:id="rId18"/>
    <sheet name="8 社保基金预算" sheetId="15" r:id="rId19"/>
    <sheet name="存量安排的支出" sheetId="30" state="hidden" r:id="rId20"/>
    <sheet name="9 收回存量安排" sheetId="35" r:id="rId21"/>
    <sheet name="10 新增专项债券资金用途特殊调整情况表" sheetId="34" r:id="rId22"/>
    <sheet name="11 财政直达资金支出进度表" sheetId="33" r:id="rId23"/>
    <sheet name="Sheet1" sheetId="19" state="hidden" r:id="rId24"/>
  </sheets>
  <externalReferences>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s>
  <definedNames>
    <definedName name="_xlnm._FilterDatabase" localSheetId="6" hidden="1">'工资福利（公务员、参公人员）'!$A$5:$BQ$313</definedName>
    <definedName name="_xlnm._FilterDatabase" localSheetId="7" hidden="1">'工资福利 （事业人员）'!$A$5:$BT$313</definedName>
    <definedName name="_xlnm._FilterDatabase" localSheetId="8" hidden="1">'工资福利（年初预算）'!$A$6:$AP$311</definedName>
    <definedName name="_xlnm._FilterDatabase" localSheetId="9" hidden="1">对个人和家庭补助!$A$4:$BF$213</definedName>
    <definedName name="_xlnm._FilterDatabase" localSheetId="10" hidden="1">商品和服务支出!$A$5:$BB$343</definedName>
    <definedName name="_xlnm._FilterDatabase" localSheetId="11" hidden="1">项目支出!$A$4:$X$317</definedName>
    <definedName name="_xlnm._FilterDatabase" localSheetId="12" hidden="1">无法列入2023调整预算!$A$4:$G$122</definedName>
    <definedName name="_xlnm._FilterDatabase" localSheetId="13" hidden="1">'无法列入2023年初预算 '!$A$5:$F$75</definedName>
    <definedName name="_xlnm._FilterDatabase" localSheetId="17" hidden="1">基金支出明细!$A$4:$Q$123</definedName>
    <definedName name="_xlnm._FilterDatabase" localSheetId="19" hidden="1">存量安排的支出!$A$4:$V$120</definedName>
    <definedName name="____________A69999" localSheetId="0">[1]按类别!$A$52564</definedName>
    <definedName name="____________A69999" localSheetId="16">[1]按类别!$A$52564</definedName>
    <definedName name="____________A69999">[2]按类别!$A$52564</definedName>
    <definedName name="____________A70000" localSheetId="0">[1]按类别!$A$52564</definedName>
    <definedName name="____________A70000" localSheetId="16">[1]按类别!$A$52564</definedName>
    <definedName name="____________A70000">[2]按类别!$A$52564</definedName>
    <definedName name="____________A99999" localSheetId="0">[1]按类别!$A$52564</definedName>
    <definedName name="____________A99999" localSheetId="16">[1]按类别!$A$52564</definedName>
    <definedName name="____________A99999">[2]按类别!$A$52564</definedName>
    <definedName name="___________A70000">[3]按类别!$A$52564</definedName>
    <definedName name="__________A70000" localSheetId="0">[1]按类别!$A$52564</definedName>
    <definedName name="__________A70000" localSheetId="16">[1]按类别!$A$52564</definedName>
    <definedName name="__________A70000">[2]按类别!$A$52564</definedName>
    <definedName name="__________A8888">[3]按类别!$A$52564</definedName>
    <definedName name="_________A69999" localSheetId="0">[1]按类别!$A$52564</definedName>
    <definedName name="_________A69999" localSheetId="16">[1]按类别!$A$52564</definedName>
    <definedName name="_________A69999">[2]按类别!$A$52564</definedName>
    <definedName name="_________A70000" localSheetId="0">[1]按类别!$A$52564</definedName>
    <definedName name="_________A70000" localSheetId="16">[1]按类别!$A$52564</definedName>
    <definedName name="_________A70000">[2]按类别!$A$52564</definedName>
    <definedName name="_________A8888" localSheetId="0">[1]按类别!$A$52564</definedName>
    <definedName name="_________A8888" localSheetId="16">[1]按类别!$A$52564</definedName>
    <definedName name="_________A8888">[2]按类别!$A$52564</definedName>
    <definedName name="_________A99999" localSheetId="0">[1]按类别!$A$52564</definedName>
    <definedName name="_________A99999" localSheetId="16">[1]按类别!$A$52564</definedName>
    <definedName name="_________A99999">[2]按类别!$A$52564</definedName>
    <definedName name="________A69999" localSheetId="0">[1]按类别!$A$52564</definedName>
    <definedName name="________A69999" localSheetId="16">[1]按类别!$A$52564</definedName>
    <definedName name="________A69999">[2]按类别!$A$52564</definedName>
    <definedName name="________A70000" localSheetId="0">[1]按类别!$A$52564</definedName>
    <definedName name="________A70000" localSheetId="16">[1]按类别!$A$52564</definedName>
    <definedName name="________A70000">[2]按类别!$A$52564</definedName>
    <definedName name="________A8888" localSheetId="0">[1]按类别!$A$52564</definedName>
    <definedName name="________A8888" localSheetId="16">[1]按类别!$A$52564</definedName>
    <definedName name="________A8888">[2]按类别!$A$52564</definedName>
    <definedName name="________A99999" localSheetId="0">[1]按类别!$A$52564</definedName>
    <definedName name="________A99999" localSheetId="16">[1]按类别!$A$52564</definedName>
    <definedName name="________A99999">[2]按类别!$A$52564</definedName>
    <definedName name="_______A70000">[4]按类别!$A$52564</definedName>
    <definedName name="_______A99999" localSheetId="0">[5]按类别!$A$52564</definedName>
    <definedName name="_______A99999" localSheetId="16">[5]按类别!$A$52564</definedName>
    <definedName name="_______A99999">[6]按类别!$A$52564</definedName>
    <definedName name="______A69999">[3]按类别!$A$52564</definedName>
    <definedName name="______A70000" localSheetId="0">[1]按类别!$A$52564</definedName>
    <definedName name="______A70000" localSheetId="16">[1]按类别!$A$52564</definedName>
    <definedName name="______A70000">[2]按类别!$A$52564</definedName>
    <definedName name="______A99999">[4]按类别!$A$52564</definedName>
    <definedName name="_____A69999">[4]按类别!$A$52564</definedName>
    <definedName name="_____A70000" localSheetId="0">[5]按类别!$A$52564</definedName>
    <definedName name="_____A70000" localSheetId="16">[5]按类别!$A$52564</definedName>
    <definedName name="_____A70000">[6]按类别!$A$52564</definedName>
    <definedName name="_____A8888">[4]按类别!$A$52564</definedName>
    <definedName name="_____A99999" localSheetId="0">[5]按类别!$A$52564</definedName>
    <definedName name="_____A99999" localSheetId="16">[5]按类别!$A$52564</definedName>
    <definedName name="_____A99999">[6]按类别!$A$52564</definedName>
    <definedName name="____A69999" localSheetId="0">[5]按类别!$A$52564</definedName>
    <definedName name="____A69999" localSheetId="16">[5]按类别!$A$52564</definedName>
    <definedName name="____A69999">[6]按类别!$A$52564</definedName>
    <definedName name="____A70000" localSheetId="0">[1]按类别!$A$52564</definedName>
    <definedName name="____A70000" localSheetId="16">[1]按类别!$A$52564</definedName>
    <definedName name="____A70000">[2]按类别!$A$52564</definedName>
    <definedName name="____A8888">[3]按类别!$A$52564</definedName>
    <definedName name="____A99999" localSheetId="0">[1]按类别!$A$52564</definedName>
    <definedName name="____A99999" localSheetId="16">[1]按类别!$A$52564</definedName>
    <definedName name="____A99999">[2]按类别!$A$52564</definedName>
    <definedName name="___A69999" localSheetId="0">[1]按类别!$A$52564</definedName>
    <definedName name="___A69999" localSheetId="16">[1]按类别!$A$52564</definedName>
    <definedName name="___A69999">[2]按类别!$A$52564</definedName>
    <definedName name="___A70000" localSheetId="0">[1]按类别!$A$52564</definedName>
    <definedName name="___A70000" localSheetId="16">[1]按类别!$A$52564</definedName>
    <definedName name="___A70000">[2]按类别!$A$52564</definedName>
    <definedName name="___A8888" localSheetId="0">[1]按类别!$A$52564</definedName>
    <definedName name="___A8888" localSheetId="16">[1]按类别!$A$52564</definedName>
    <definedName name="___A8888">[2]按类别!$A$52564</definedName>
    <definedName name="___A99999" localSheetId="0">[1]按类别!$A$52564</definedName>
    <definedName name="___A99999" localSheetId="16">[1]按类别!$A$52564</definedName>
    <definedName name="___A99999">[2]按类别!$A$52564</definedName>
    <definedName name="__A69999" localSheetId="0">[1]按类别!$A$52564</definedName>
    <definedName name="__A69999" localSheetId="16">[1]按类别!$A$52564</definedName>
    <definedName name="__A69999">[2]按类别!$A$52564</definedName>
    <definedName name="__A70000" localSheetId="0">[1]按类别!$A$52564</definedName>
    <definedName name="__A70000" localSheetId="16">[1]按类别!$A$52564</definedName>
    <definedName name="__A70000">[2]按类别!$A$52564</definedName>
    <definedName name="__A8888" localSheetId="0">[1]按类别!$A$52564</definedName>
    <definedName name="__A8888" localSheetId="16">[1]按类别!$A$52564</definedName>
    <definedName name="__A8888">[2]按类别!$A$52564</definedName>
    <definedName name="__A99999" localSheetId="0">[1]按类别!$A$52564</definedName>
    <definedName name="__A99999" localSheetId="16">[1]按类别!$A$52564</definedName>
    <definedName name="__A99999">[2]按类别!$A$52564</definedName>
    <definedName name="_1A8888_" localSheetId="0">[1]按类别!$A$52564</definedName>
    <definedName name="_1A8888_" localSheetId="16">[1]按类别!$A$52564</definedName>
    <definedName name="_1A8888_">[2]按类别!$A$52564</definedName>
    <definedName name="_A69999" localSheetId="0">[1]按类别!$A$52564</definedName>
    <definedName name="_A69999" localSheetId="16">[1]按类别!$A$52564</definedName>
    <definedName name="_A69999">[2]按类别!$A$52564</definedName>
    <definedName name="_A70000" localSheetId="0">[1]按类别!$A$52564</definedName>
    <definedName name="_A70000" localSheetId="16">[1]按类别!$A$52564</definedName>
    <definedName name="_A70000">[2]按类别!$A$52564</definedName>
    <definedName name="_A8888" localSheetId="0">[1]按类别!$A$52564</definedName>
    <definedName name="_A8888" localSheetId="16">[1]按类别!$A$52564</definedName>
    <definedName name="_A8888">[2]按类别!$A$52564</definedName>
    <definedName name="_A99999" localSheetId="0">[1]按类别!$A$52564</definedName>
    <definedName name="_A99999" localSheetId="16">[1]按类别!$A$52564</definedName>
    <definedName name="_A99999">[2]按类别!$A$52564</definedName>
    <definedName name="_Fill" localSheetId="15" hidden="1">[7]eqpmad2!#REF!</definedName>
    <definedName name="_Fill" hidden="1">[7]eqpmad2!#REF!</definedName>
    <definedName name="_xlnm._FilterDatabase" hidden="1">#REF!</definedName>
    <definedName name="_JC22" localSheetId="15" hidden="1">{"Summ CFT",#N/A,FALSE,"CFT";"Full CFT",#N/A,FALSE,"CFT"}</definedName>
    <definedName name="_JC22" hidden="1">{"Summ CFT",#N/A,FALSE,"CFT";"Full CFT",#N/A,FALSE,"CFT"}</definedName>
    <definedName name="_Key1" localSheetId="15" hidden="1">[8]县长批条!#REF!</definedName>
    <definedName name="_Key1" hidden="1">[8]县长批条!#REF!</definedName>
    <definedName name="_Order1" hidden="1">255</definedName>
    <definedName name="_Order2" hidden="1">255</definedName>
    <definedName name="_PA7" localSheetId="0">#REF!</definedName>
    <definedName name="_PA7" localSheetId="14">#REF!</definedName>
    <definedName name="_PA7" localSheetId="15">#REF!</definedName>
    <definedName name="_PA7" localSheetId="16">#REF!</definedName>
    <definedName name="_PA7" localSheetId="18">#REF!</definedName>
    <definedName name="_PA7">#REF!</definedName>
    <definedName name="_PA8" localSheetId="0">#REF!</definedName>
    <definedName name="_PA8" localSheetId="14">#REF!</definedName>
    <definedName name="_PA8" localSheetId="15">#REF!</definedName>
    <definedName name="_PA8" localSheetId="16">#REF!</definedName>
    <definedName name="_PA8" localSheetId="18">#REF!</definedName>
    <definedName name="_PA8">#REF!</definedName>
    <definedName name="_PD1" localSheetId="0">#REF!</definedName>
    <definedName name="_PD1" localSheetId="14">#REF!</definedName>
    <definedName name="_PD1" localSheetId="15">#REF!</definedName>
    <definedName name="_PD1" localSheetId="16">#REF!</definedName>
    <definedName name="_PD1" localSheetId="18">#REF!</definedName>
    <definedName name="_PD1">#REF!</definedName>
    <definedName name="_PE12" localSheetId="0">#REF!</definedName>
    <definedName name="_PE12" localSheetId="14">#REF!</definedName>
    <definedName name="_PE12" localSheetId="15">#REF!</definedName>
    <definedName name="_PE12" localSheetId="16">#REF!</definedName>
    <definedName name="_PE12" localSheetId="18">#REF!</definedName>
    <definedName name="_PE12">#REF!</definedName>
    <definedName name="_PE13" localSheetId="0">#REF!</definedName>
    <definedName name="_PE13" localSheetId="14">#REF!</definedName>
    <definedName name="_PE13" localSheetId="15">#REF!</definedName>
    <definedName name="_PE13" localSheetId="16">#REF!</definedName>
    <definedName name="_PE13" localSheetId="18">#REF!</definedName>
    <definedName name="_PE13">#REF!</definedName>
    <definedName name="_PE6" localSheetId="0">#REF!</definedName>
    <definedName name="_PE6" localSheetId="14">#REF!</definedName>
    <definedName name="_PE6" localSheetId="15">#REF!</definedName>
    <definedName name="_PE6" localSheetId="16">#REF!</definedName>
    <definedName name="_PE6" localSheetId="18">#REF!</definedName>
    <definedName name="_PE6">#REF!</definedName>
    <definedName name="_PE7" localSheetId="0">#REF!</definedName>
    <definedName name="_PE7" localSheetId="14">#REF!</definedName>
    <definedName name="_PE7" localSheetId="15">#REF!</definedName>
    <definedName name="_PE7" localSheetId="16">#REF!</definedName>
    <definedName name="_PE7" localSheetId="18">#REF!</definedName>
    <definedName name="_PE7">#REF!</definedName>
    <definedName name="_PE8" localSheetId="0">#REF!</definedName>
    <definedName name="_PE8" localSheetId="14">#REF!</definedName>
    <definedName name="_PE8" localSheetId="15">#REF!</definedName>
    <definedName name="_PE8" localSheetId="16">#REF!</definedName>
    <definedName name="_PE8" localSheetId="18">#REF!</definedName>
    <definedName name="_PE8">#REF!</definedName>
    <definedName name="_PE9" localSheetId="0">#REF!</definedName>
    <definedName name="_PE9" localSheetId="14">#REF!</definedName>
    <definedName name="_PE9" localSheetId="15">#REF!</definedName>
    <definedName name="_PE9" localSheetId="16">#REF!</definedName>
    <definedName name="_PE9" localSheetId="18">#REF!</definedName>
    <definedName name="_PE9">#REF!</definedName>
    <definedName name="_PH1" localSheetId="0">#REF!</definedName>
    <definedName name="_PH1" localSheetId="14">#REF!</definedName>
    <definedName name="_PH1" localSheetId="15">#REF!</definedName>
    <definedName name="_PH1" localSheetId="16">#REF!</definedName>
    <definedName name="_PH1" localSheetId="18">#REF!</definedName>
    <definedName name="_PH1">#REF!</definedName>
    <definedName name="_PI1" localSheetId="0">#REF!</definedName>
    <definedName name="_PI1" localSheetId="14">#REF!</definedName>
    <definedName name="_PI1" localSheetId="15">#REF!</definedName>
    <definedName name="_PI1" localSheetId="16">#REF!</definedName>
    <definedName name="_PI1" localSheetId="18">#REF!</definedName>
    <definedName name="_PI1">#REF!</definedName>
    <definedName name="_PK1" localSheetId="0">#REF!</definedName>
    <definedName name="_PK1" localSheetId="14">#REF!</definedName>
    <definedName name="_PK1" localSheetId="15">#REF!</definedName>
    <definedName name="_PK1" localSheetId="16">#REF!</definedName>
    <definedName name="_PK1" localSheetId="18">#REF!</definedName>
    <definedName name="_PK1">#REF!</definedName>
    <definedName name="_PK3" localSheetId="0">#REF!</definedName>
    <definedName name="_PK3" localSheetId="14">#REF!</definedName>
    <definedName name="_PK3" localSheetId="15">#REF!</definedName>
    <definedName name="_PK3" localSheetId="16">#REF!</definedName>
    <definedName name="_PK3" localSheetId="18">#REF!</definedName>
    <definedName name="_PK3">#REF!</definedName>
    <definedName name="“法院”资金明细表" localSheetId="0">#REF!</definedName>
    <definedName name="“法院”资金明细表" localSheetId="14">#REF!</definedName>
    <definedName name="“法院”资金明细表" localSheetId="15">#REF!</definedName>
    <definedName name="“法院”资金明细表" localSheetId="16">#REF!</definedName>
    <definedName name="“法院”资金明细表" localSheetId="18">#REF!</definedName>
    <definedName name="“法院”资金明细表">#REF!</definedName>
    <definedName name="“检察院”资金明细表" localSheetId="0">#REF!</definedName>
    <definedName name="“检察院”资金明细表" localSheetId="14">#REF!</definedName>
    <definedName name="“检察院”资金明细表" localSheetId="15">#REF!</definedName>
    <definedName name="“检察院”资金明细表" localSheetId="16">#REF!</definedName>
    <definedName name="“检察院”资金明细表" localSheetId="18">#REF!</definedName>
    <definedName name="“检察院”资金明细表">#REF!</definedName>
    <definedName name="Alpha" localSheetId="0">#REF!</definedName>
    <definedName name="Alpha" localSheetId="14">#REF!</definedName>
    <definedName name="Alpha" localSheetId="15">#REF!</definedName>
    <definedName name="Alpha" localSheetId="16">#REF!</definedName>
    <definedName name="Alpha" localSheetId="18">#REF!</definedName>
    <definedName name="Alpha">#REF!</definedName>
    <definedName name="Anzahl_1" localSheetId="0">#REF!</definedName>
    <definedName name="Anzahl_1" localSheetId="14">#REF!</definedName>
    <definedName name="Anzahl_1" localSheetId="15">#REF!</definedName>
    <definedName name="Anzahl_1" localSheetId="16">#REF!</definedName>
    <definedName name="Anzahl_1" localSheetId="18">#REF!</definedName>
    <definedName name="Anzahl_1">#REF!</definedName>
    <definedName name="Anzahl_2" localSheetId="0">#REF!</definedName>
    <definedName name="Anzahl_2" localSheetId="14">#REF!</definedName>
    <definedName name="Anzahl_2" localSheetId="15">#REF!</definedName>
    <definedName name="Anzahl_2" localSheetId="16">#REF!</definedName>
    <definedName name="Anzahl_2" localSheetId="18">#REF!</definedName>
    <definedName name="Anzahl_2">#REF!</definedName>
    <definedName name="Beg_Bal" localSheetId="0">#REF!</definedName>
    <definedName name="Beg_Bal" localSheetId="14">#REF!</definedName>
    <definedName name="Beg_Bal" localSheetId="15">#REF!</definedName>
    <definedName name="Beg_Bal" localSheetId="16">#REF!</definedName>
    <definedName name="Beg_Bal" localSheetId="18">#REF!</definedName>
    <definedName name="Beg_Bal">#REF!</definedName>
    <definedName name="BM8_SelectZBM.BM8_ZBMChangeKMM" localSheetId="0">[9]!BM8_SelectZBM.BM8_ZBMChangeKMM</definedName>
    <definedName name="BM8_SelectZBM.BM8_ZBMChangeKMM" localSheetId="14">[10]!BM8_SelectZBM.BM8_ZBMChangeKMM</definedName>
    <definedName name="BM8_SelectZBM.BM8_ZBMChangeKMM" localSheetId="15">[10]!BM8_SelectZBM.BM8_ZBMChangeKMM</definedName>
    <definedName name="BM8_SelectZBM.BM8_ZBMChangeKMM" localSheetId="16">[9]!BM8_SelectZBM.BM8_ZBMChangeKMM</definedName>
    <definedName name="BM8_SelectZBM.BM8_ZBMChangeKMM" localSheetId="18">[10]!BM8_SelectZBM.BM8_ZBMChangeKMM</definedName>
    <definedName name="BM8_SelectZBM.BM8_ZBMChangeKMM">[10]!BM8_SelectZBM.BM8_ZBMChangeKMM</definedName>
    <definedName name="BM8_SelectZBM.BM8_ZBMminusOption" localSheetId="0">[9]!BM8_SelectZBM.BM8_ZBMminusOption</definedName>
    <definedName name="BM8_SelectZBM.BM8_ZBMminusOption" localSheetId="14">[10]!BM8_SelectZBM.BM8_ZBMminusOption</definedName>
    <definedName name="BM8_SelectZBM.BM8_ZBMminusOption" localSheetId="15">[10]!BM8_SelectZBM.BM8_ZBMminusOption</definedName>
    <definedName name="BM8_SelectZBM.BM8_ZBMminusOption" localSheetId="16">[9]!BM8_SelectZBM.BM8_ZBMminusOption</definedName>
    <definedName name="BM8_SelectZBM.BM8_ZBMminusOption" localSheetId="18">[10]!BM8_SelectZBM.BM8_ZBMminusOption</definedName>
    <definedName name="BM8_SelectZBM.BM8_ZBMminusOption">[10]!BM8_SelectZBM.BM8_ZBMminusOption</definedName>
    <definedName name="BM8_SelectZBM.BM8_ZBMSumOption" localSheetId="0">[9]!BM8_SelectZBM.BM8_ZBMSumOption</definedName>
    <definedName name="BM8_SelectZBM.BM8_ZBMSumOption" localSheetId="14">[10]!BM8_SelectZBM.BM8_ZBMSumOption</definedName>
    <definedName name="BM8_SelectZBM.BM8_ZBMSumOption" localSheetId="15">[10]!BM8_SelectZBM.BM8_ZBMSumOption</definedName>
    <definedName name="BM8_SelectZBM.BM8_ZBMSumOption" localSheetId="16">[9]!BM8_SelectZBM.BM8_ZBMSumOption</definedName>
    <definedName name="BM8_SelectZBM.BM8_ZBMSumOption" localSheetId="18">[10]!BM8_SelectZBM.BM8_ZBMSumOption</definedName>
    <definedName name="BM8_SelectZBM.BM8_ZBMSumOption">[10]!BM8_SelectZBM.BM8_ZBMSumOption</definedName>
    <definedName name="BOMView">[11]Prg!$G$33</definedName>
    <definedName name="Bust" localSheetId="0">#REF!</definedName>
    <definedName name="Bust" localSheetId="14">#REF!</definedName>
    <definedName name="Bust" localSheetId="15">#REF!</definedName>
    <definedName name="Bust" localSheetId="16">#REF!</definedName>
    <definedName name="Bust" localSheetId="18">#REF!</definedName>
    <definedName name="Bust">#REF!</definedName>
    <definedName name="Cnty_Codes">[11]Profile!$D$4:$D$69</definedName>
    <definedName name="Continue" localSheetId="0">#REF!</definedName>
    <definedName name="Continue" localSheetId="14">#REF!</definedName>
    <definedName name="Continue" localSheetId="15">#REF!</definedName>
    <definedName name="Continue" localSheetId="16">#REF!</definedName>
    <definedName name="Continue" localSheetId="18">#REF!</definedName>
    <definedName name="Continue">#REF!</definedName>
    <definedName name="Data" localSheetId="0">#REF!</definedName>
    <definedName name="Data" localSheetId="14">#REF!</definedName>
    <definedName name="Data" localSheetId="15">#REF!</definedName>
    <definedName name="Data" localSheetId="16">#REF!</definedName>
    <definedName name="Data" localSheetId="18">#REF!</definedName>
    <definedName name="Data">#REF!</definedName>
    <definedName name="Database" localSheetId="0" hidden="1">#REF!</definedName>
    <definedName name="Database" localSheetId="14" hidden="1">#REF!</definedName>
    <definedName name="Database" localSheetId="15" hidden="1">#REF!</definedName>
    <definedName name="Database" localSheetId="16" hidden="1">#REF!</definedName>
    <definedName name="Database" localSheetId="18" hidden="1">#REF!</definedName>
    <definedName name="Database" hidden="1">#REF!</definedName>
    <definedName name="Devices">[12]Devices!$B$5:$B$173</definedName>
    <definedName name="Devices_Table">[12]Devices!$B$1:$L$65536</definedName>
    <definedName name="Documents_array" localSheetId="0">#REF!</definedName>
    <definedName name="Documents_array" localSheetId="14">#REF!</definedName>
    <definedName name="Documents_array" localSheetId="15">#REF!</definedName>
    <definedName name="Documents_array" localSheetId="16">#REF!</definedName>
    <definedName name="Documents_array" localSheetId="18">#REF!</definedName>
    <definedName name="Documents_array">#REF!</definedName>
    <definedName name="Duty" localSheetId="0">#REF!</definedName>
    <definedName name="Duty" localSheetId="14">#REF!</definedName>
    <definedName name="Duty" localSheetId="15">#REF!</definedName>
    <definedName name="Duty" localSheetId="16">#REF!</definedName>
    <definedName name="Duty" localSheetId="18">#REF!</definedName>
    <definedName name="Duty">#REF!</definedName>
    <definedName name="End_Bal" localSheetId="0">#REF!</definedName>
    <definedName name="End_Bal" localSheetId="14">#REF!</definedName>
    <definedName name="End_Bal" localSheetId="15">#REF!</definedName>
    <definedName name="End_Bal" localSheetId="16">#REF!</definedName>
    <definedName name="End_Bal" localSheetId="18">#REF!</definedName>
    <definedName name="End_Bal">#REF!</definedName>
    <definedName name="Extra_Pay" localSheetId="0">#REF!</definedName>
    <definedName name="Extra_Pay" localSheetId="14">#REF!</definedName>
    <definedName name="Extra_Pay" localSheetId="15">#REF!</definedName>
    <definedName name="Extra_Pay" localSheetId="16">#REF!</definedName>
    <definedName name="Extra_Pay" localSheetId="18">#REF!</definedName>
    <definedName name="Extra_Pay">#REF!</definedName>
    <definedName name="Full_Print" localSheetId="0">#REF!</definedName>
    <definedName name="Full_Print" localSheetId="14">#REF!</definedName>
    <definedName name="Full_Print" localSheetId="15">#REF!</definedName>
    <definedName name="Full_Print" localSheetId="16">#REF!</definedName>
    <definedName name="Full_Print" localSheetId="18">#REF!</definedName>
    <definedName name="Full_Print">#REF!</definedName>
    <definedName name="gggg">#N/A</definedName>
    <definedName name="Header_Row" localSheetId="0">ROW(#REF!)</definedName>
    <definedName name="Header_Row" localSheetId="14">ROW(#REF!)</definedName>
    <definedName name="Header_Row" localSheetId="15">ROW(#REF!)</definedName>
    <definedName name="Header_Row" localSheetId="16">ROW(#REF!)</definedName>
    <definedName name="Header_Row" localSheetId="18">ROW(#REF!)</definedName>
    <definedName name="Header_Row">ROW(#REF!)</definedName>
    <definedName name="Hello" localSheetId="0">#REF!</definedName>
    <definedName name="Hello" localSheetId="14">#REF!</definedName>
    <definedName name="Hello" localSheetId="15">#REF!</definedName>
    <definedName name="Hello" localSheetId="16">#REF!</definedName>
    <definedName name="Hello" localSheetId="18">#REF!</definedName>
    <definedName name="Hello">#REF!</definedName>
    <definedName name="hhhh" localSheetId="0">#REF!</definedName>
    <definedName name="hhhh" localSheetId="14">#REF!</definedName>
    <definedName name="hhhh" localSheetId="15">#REF!</definedName>
    <definedName name="hhhh" localSheetId="16">#REF!</definedName>
    <definedName name="hhhh" localSheetId="18">#REF!</definedName>
    <definedName name="hhhh">#REF!</definedName>
    <definedName name="HWSheet">1</definedName>
    <definedName name="Ieff" localSheetId="0">#REF!</definedName>
    <definedName name="Ieff" localSheetId="14">#REF!</definedName>
    <definedName name="Ieff" localSheetId="15">#REF!</definedName>
    <definedName name="Ieff" localSheetId="16">#REF!</definedName>
    <definedName name="Ieff" localSheetId="18">#REF!</definedName>
    <definedName name="Ieff">#REF!</definedName>
    <definedName name="Imax" localSheetId="0">#REF!</definedName>
    <definedName name="Imax" localSheetId="14">#REF!</definedName>
    <definedName name="Imax" localSheetId="15">#REF!</definedName>
    <definedName name="Imax" localSheetId="16">#REF!</definedName>
    <definedName name="Imax" localSheetId="18">#REF!</definedName>
    <definedName name="Imax">#REF!</definedName>
    <definedName name="Int" localSheetId="0">#REF!</definedName>
    <definedName name="Int" localSheetId="14">#REF!</definedName>
    <definedName name="Int" localSheetId="15">#REF!</definedName>
    <definedName name="Int" localSheetId="16">#REF!</definedName>
    <definedName name="Int" localSheetId="18">#REF!</definedName>
    <definedName name="Int">#REF!</definedName>
    <definedName name="Interest_Rate" localSheetId="0">#REF!</definedName>
    <definedName name="Interest_Rate" localSheetId="14">#REF!</definedName>
    <definedName name="Interest_Rate" localSheetId="15">#REF!</definedName>
    <definedName name="Interest_Rate" localSheetId="16">#REF!</definedName>
    <definedName name="Interest_Rate" localSheetId="18">#REF!</definedName>
    <definedName name="Interest_Rate">#REF!</definedName>
    <definedName name="K_Imax" localSheetId="0">#REF!</definedName>
    <definedName name="K_Imax" localSheetId="14">#REF!</definedName>
    <definedName name="K_Imax" localSheetId="15">#REF!</definedName>
    <definedName name="K_Imax" localSheetId="16">#REF!</definedName>
    <definedName name="K_Imax" localSheetId="18">#REF!</definedName>
    <definedName name="K_Imax">#REF!</definedName>
    <definedName name="Last_Row" localSheetId="0">IF('[13]15.商品和服务支出'!Values_Entered,'1 收支平衡表'!Header_Row+'[13]15.商品和服务支出'!Number_of_Payments,'1 收支平衡表'!Header_Row)</definedName>
    <definedName name="Last_Row" localSheetId="14">IF('[14]15.商品和服务支出'!Values_Entered,'5 基金平衡表'!Header_Row+'[14]15.商品和服务支出'!Number_of_Payments,'5 基金平衡表'!Header_Row)</definedName>
    <definedName name="Last_Row" localSheetId="15">IF([15]!Values_Entered,'6 基金收入'!Header_Row+[15]!Number_of_Payments,'6 基金收入'!Header_Row)</definedName>
    <definedName name="Last_Row" localSheetId="17">IF('[14]15.商品和服务支出'!Values_Entered,Header_Row+'[14]15.商品和服务支出'!Number_of_Payments,Header_Row)</definedName>
    <definedName name="Last_Row" localSheetId="16">IF('[13]15.商品和服务支出'!Values_Entered,'7 基金支出'!Header_Row+'[13]15.商品和服务支出'!Number_of_Payments,'7 基金支出'!Header_Row)</definedName>
    <definedName name="Last_Row" localSheetId="18">IF('[14]15.商品和服务支出'!Values_Entered,'8 社保基金预算'!Header_Row+'[14]15.商品和服务支出'!Number_of_Payments,'8 社保基金预算'!Header_Row)</definedName>
    <definedName name="Last_Row" localSheetId="11">IF('[14]15.商品和服务支出'!Values_Entered,Header_Row+'[14]15.商品和服务支出'!Number_of_Payments,Header_Row)</definedName>
    <definedName name="Last_Row">IF('[14]15.商品和服务支出'!Values_Entered,Header_Row+'[14]15.商品和服务支出'!Number_of_Payments,Header_Row)</definedName>
    <definedName name="Loan_Amount" localSheetId="0">#REF!</definedName>
    <definedName name="Loan_Amount" localSheetId="14">#REF!</definedName>
    <definedName name="Loan_Amount" localSheetId="15">#REF!</definedName>
    <definedName name="Loan_Amount" localSheetId="16">#REF!</definedName>
    <definedName name="Loan_Amount" localSheetId="18">#REF!</definedName>
    <definedName name="Loan_Amount">#REF!</definedName>
    <definedName name="Loan_Start" localSheetId="0">#REF!</definedName>
    <definedName name="Loan_Start" localSheetId="14">#REF!</definedName>
    <definedName name="Loan_Start" localSheetId="15">#REF!</definedName>
    <definedName name="Loan_Start" localSheetId="16">#REF!</definedName>
    <definedName name="Loan_Start" localSheetId="18">#REF!</definedName>
    <definedName name="Loan_Start">#REF!</definedName>
    <definedName name="Loan_Years" localSheetId="0">#REF!</definedName>
    <definedName name="Loan_Years" localSheetId="14">#REF!</definedName>
    <definedName name="Loan_Years" localSheetId="15">#REF!</definedName>
    <definedName name="Loan_Years" localSheetId="16">#REF!</definedName>
    <definedName name="Loan_Years" localSheetId="18">#REF!</definedName>
    <definedName name="Loan_Years">#REF!</definedName>
    <definedName name="LTol" localSheetId="0">#REF!</definedName>
    <definedName name="LTol" localSheetId="14">#REF!</definedName>
    <definedName name="LTol" localSheetId="15">#REF!</definedName>
    <definedName name="LTol" localSheetId="16">#REF!</definedName>
    <definedName name="LTol" localSheetId="18">#REF!</definedName>
    <definedName name="LTol">#REF!</definedName>
    <definedName name="MakeIt" localSheetId="0">#REF!</definedName>
    <definedName name="MakeIt" localSheetId="14">#REF!</definedName>
    <definedName name="MakeIt" localSheetId="15">#REF!</definedName>
    <definedName name="MakeIt" localSheetId="16">#REF!</definedName>
    <definedName name="MakeIt" localSheetId="18">#REF!</definedName>
    <definedName name="MakeIt">#REF!</definedName>
    <definedName name="MmExcelLinker_4795041E_1062_4A6D_901F_4306994608A4" localSheetId="0">'[16]S19、A0 and JC22 BCM PIN V1.0'!M14-BCM-[17]ATECH编辑20090309!$B$51:$B$53</definedName>
    <definedName name="MmExcelLinker_4795041E_1062_4A6D_901F_4306994608A4" localSheetId="14">'[18]S19、A0 and JC22 BCM PIN V1.0'!M14-BCM-[19]ATECH编辑20090309!$B$51:$B$53</definedName>
    <definedName name="MmExcelLinker_4795041E_1062_4A6D_901F_4306994608A4" localSheetId="15">'[18]S19、A0 and JC22 BCM PIN V1.0'!M14-BCM-[19]ATECH编辑20090309!$B$51:$B$53</definedName>
    <definedName name="MmExcelLinker_4795041E_1062_4A6D_901F_4306994608A4" localSheetId="17">'[18]S19、A0 and JC22 BCM PIN V1.0'!M14-BCM-[19]ATECH编辑20090309!$B$51:$B$53</definedName>
    <definedName name="MmExcelLinker_4795041E_1062_4A6D_901F_4306994608A4" localSheetId="16">'[16]S19、A0 and JC22 BCM PIN V1.0'!M14-BCM-[17]ATECH编辑20090309!$B$51:$B$53</definedName>
    <definedName name="MmExcelLinker_4795041E_1062_4A6D_901F_4306994608A4" localSheetId="18">'[18]S19、A0 and JC22 BCM PIN V1.0'!M14-BCM-[19]ATECH编辑20090309!$B$51:$B$53</definedName>
    <definedName name="MmExcelLinker_4795041E_1062_4A6D_901F_4306994608A4" localSheetId="3">'[18]S19、A0 and JC22 BCM PIN V1.0'!M14-BCM-[19]ATECH编辑20090309!$B$51:$B$53</definedName>
    <definedName name="MmExcelLinker_4795041E_1062_4A6D_901F_4306994608A4" localSheetId="11">'[18]S19、A0 and JC22 BCM PIN V1.0'!M14-BCM-[19]ATECH编辑20090309!$B$51:$B$53</definedName>
    <definedName name="MmExcelLinker_4795041E_1062_4A6D_901F_4306994608A4">'[18]S19、A0 and JC22 BCM PIN V1.0'!M14-BCM-[19]ATECH编辑20090309!$B$51:$B$53</definedName>
    <definedName name="Module.Prix_SMC" localSheetId="0">'[13]10.2021.总支出'!Module.Prix_SMC</definedName>
    <definedName name="Module.Prix_SMC" localSheetId="15">#N/A</definedName>
    <definedName name="Module.Prix_SMC" localSheetId="16">'[13]10.2021.总支出'!Module.Prix_SMC</definedName>
    <definedName name="Module.Prix_SMC">'[14]10.2021.总支出'!Module.Prix_SMC</definedName>
    <definedName name="Morning" localSheetId="0">#REF!</definedName>
    <definedName name="Morning" localSheetId="14">#REF!</definedName>
    <definedName name="Morning" localSheetId="15">#REF!</definedName>
    <definedName name="Morning" localSheetId="16">#REF!</definedName>
    <definedName name="Morning" localSheetId="18">#REF!</definedName>
    <definedName name="Morning">#REF!</definedName>
    <definedName name="N" localSheetId="0">#REF!</definedName>
    <definedName name="N" localSheetId="14">#REF!</definedName>
    <definedName name="N" localSheetId="15">#REF!</definedName>
    <definedName name="N" localSheetId="16">#REF!</definedName>
    <definedName name="N" localSheetId="18">#REF!</definedName>
    <definedName name="N">#REF!</definedName>
    <definedName name="NDev" localSheetId="0">#REF!</definedName>
    <definedName name="NDev" localSheetId="14">#REF!</definedName>
    <definedName name="NDev" localSheetId="15">#REF!</definedName>
    <definedName name="NDev" localSheetId="16">#REF!</definedName>
    <definedName name="NDev" localSheetId="18">#REF!</definedName>
    <definedName name="NDev">#REF!</definedName>
    <definedName name="Num_Pmt_Per_Year" localSheetId="0">#REF!</definedName>
    <definedName name="Num_Pmt_Per_Year" localSheetId="14">#REF!</definedName>
    <definedName name="Num_Pmt_Per_Year" localSheetId="15">#REF!</definedName>
    <definedName name="Num_Pmt_Per_Year" localSheetId="16">#REF!</definedName>
    <definedName name="Num_Pmt_Per_Year" localSheetId="18">#REF!</definedName>
    <definedName name="Num_Pmt_Per_Year">#REF!</definedName>
    <definedName name="Number_of_Payments" localSheetId="0">MATCH(0.01,'1 收支平衡表'!End_Bal,-1)+1</definedName>
    <definedName name="Number_of_Payments" localSheetId="14">MATCH(0.01,'5 基金平衡表'!End_Bal,-1)+1</definedName>
    <definedName name="Number_of_Payments" localSheetId="15">MATCH(0.01,'6 基金收入'!End_Bal,-1)+1</definedName>
    <definedName name="Number_of_Payments" localSheetId="17">MATCH(0.01,End_Bal,-1)+1</definedName>
    <definedName name="Number_of_Payments" localSheetId="16">MATCH(0.01,'7 基金支出'!End_Bal,-1)+1</definedName>
    <definedName name="Number_of_Payments" localSheetId="18">MATCH(0.01,'8 社保基金预算'!End_Bal,-1)+1</definedName>
    <definedName name="Number_of_Payments" localSheetId="11">MATCH(0.01,End_Bal,-1)+1</definedName>
    <definedName name="Number_of_Payments">MATCH(0.01,End_Bal,-1)+1</definedName>
    <definedName name="NumModels">[11]Prg!$G$24</definedName>
    <definedName name="On" localSheetId="0">#REF!</definedName>
    <definedName name="On" localSheetId="14">#REF!</definedName>
    <definedName name="On" localSheetId="15">#REF!</definedName>
    <definedName name="On" localSheetId="16">#REF!</definedName>
    <definedName name="On" localSheetId="18">#REF!</definedName>
    <definedName name="On">#REF!</definedName>
    <definedName name="P_Mos_Ges_1" localSheetId="0">#REF!</definedName>
    <definedName name="P_Mos_Ges_1" localSheetId="14">#REF!</definedName>
    <definedName name="P_Mos_Ges_1" localSheetId="15">#REF!</definedName>
    <definedName name="P_Mos_Ges_1" localSheetId="16">#REF!</definedName>
    <definedName name="P_Mos_Ges_1" localSheetId="18">#REF!</definedName>
    <definedName name="P_Mos_Ges_1">#REF!</definedName>
    <definedName name="P_Mos_ges_2" localSheetId="0">#REF!</definedName>
    <definedName name="P_Mos_ges_2" localSheetId="14">#REF!</definedName>
    <definedName name="P_Mos_ges_2" localSheetId="15">#REF!</definedName>
    <definedName name="P_Mos_ges_2" localSheetId="16">#REF!</definedName>
    <definedName name="P_Mos_ges_2" localSheetId="18">#REF!</definedName>
    <definedName name="P_Mos_ges_2">#REF!</definedName>
    <definedName name="P_pro_Mos_1" localSheetId="0">#REF!</definedName>
    <definedName name="P_pro_Mos_1" localSheetId="14">#REF!</definedName>
    <definedName name="P_pro_Mos_1" localSheetId="15">#REF!</definedName>
    <definedName name="P_pro_Mos_1" localSheetId="16">#REF!</definedName>
    <definedName name="P_pro_Mos_1" localSheetId="18">#REF!</definedName>
    <definedName name="P_pro_Mos_1">#REF!</definedName>
    <definedName name="P_pro_Mos_2" localSheetId="0">#REF!</definedName>
    <definedName name="P_pro_Mos_2" localSheetId="14">#REF!</definedName>
    <definedName name="P_pro_Mos_2" localSheetId="15">#REF!</definedName>
    <definedName name="P_pro_Mos_2" localSheetId="16">#REF!</definedName>
    <definedName name="P_pro_Mos_2" localSheetId="18">#REF!</definedName>
    <definedName name="P_pro_Mos_2">#REF!</definedName>
    <definedName name="Pay_Date" localSheetId="0">#REF!</definedName>
    <definedName name="Pay_Date" localSheetId="14">#REF!</definedName>
    <definedName name="Pay_Date" localSheetId="15">#REF!</definedName>
    <definedName name="Pay_Date" localSheetId="16">#REF!</definedName>
    <definedName name="Pay_Date" localSheetId="18">#REF!</definedName>
    <definedName name="Pay_Date">#REF!</definedName>
    <definedName name="Pay_Num" localSheetId="0">#REF!</definedName>
    <definedName name="Pay_Num" localSheetId="14">#REF!</definedName>
    <definedName name="Pay_Num" localSheetId="15">#REF!</definedName>
    <definedName name="Pay_Num" localSheetId="16">#REF!</definedName>
    <definedName name="Pay_Num" localSheetId="18">#REF!</definedName>
    <definedName name="Pay_Num">#REF!</definedName>
    <definedName name="Payment_Date" localSheetId="0">DATE(YEAR('1 收支平衡表'!Loan_Start),MONTH('1 收支平衡表'!Loan_Start)+Payment_Number,DAY('1 收支平衡表'!Loan_Start))</definedName>
    <definedName name="Payment_Date" localSheetId="14">DATE(YEAR('5 基金平衡表'!Loan_Start),MONTH('5 基金平衡表'!Loan_Start)+Payment_Number,DAY('5 基金平衡表'!Loan_Start))</definedName>
    <definedName name="Payment_Date" localSheetId="15">DATE(YEAR('6 基金收入'!Loan_Start),MONTH('6 基金收入'!Loan_Start)+Payment_Number,DAY('6 基金收入'!Loan_Start))</definedName>
    <definedName name="Payment_Date" localSheetId="17">DATE(YEAR(Loan_Start),MONTH(Loan_Start)+Payment_Number,DAY(Loan_Start))</definedName>
    <definedName name="Payment_Date" localSheetId="16">DATE(YEAR('7 基金支出'!Loan_Start),MONTH('7 基金支出'!Loan_Start)+Payment_Number,DAY('7 基金支出'!Loan_Start))</definedName>
    <definedName name="Payment_Date" localSheetId="18">DATE(YEAR('8 社保基金预算'!Loan_Start),MONTH('8 社保基金预算'!Loan_Start)+Payment_Number,DAY('8 社保基金预算'!Loan_Start))</definedName>
    <definedName name="Payment_Date" localSheetId="3">DATE(YEAR(Loan_Start),MONTH(Loan_Start)+Payment_Number,DAY(Loan_Start))</definedName>
    <definedName name="Payment_Date" localSheetId="11">DATE(YEAR(Loan_Start),MONTH(Loan_Start)+Payment_Number,DAY(Loan_Start))</definedName>
    <definedName name="Payment_Date">DATE(YEAR(Loan_Start),MONTH(Loan_Start)+Payment_Number,DAY(Loan_Start))</definedName>
    <definedName name="Poppy" localSheetId="0">#REF!</definedName>
    <definedName name="Poppy" localSheetId="14">#REF!</definedName>
    <definedName name="Poppy" localSheetId="15">#REF!</definedName>
    <definedName name="Poppy" localSheetId="16">#REF!</definedName>
    <definedName name="Poppy" localSheetId="18">#REF!</definedName>
    <definedName name="Poppy">#REF!</definedName>
    <definedName name="Princ" localSheetId="0">#REF!</definedName>
    <definedName name="Princ" localSheetId="14">#REF!</definedName>
    <definedName name="Princ" localSheetId="15">#REF!</definedName>
    <definedName name="Princ" localSheetId="16">#REF!</definedName>
    <definedName name="Princ" localSheetId="18">#REF!</definedName>
    <definedName name="Princ">#REF!</definedName>
    <definedName name="_xlnm.Print_Area" localSheetId="6">'工资福利（公务员、参公人员）'!$A$1:$BP$313</definedName>
    <definedName name="_xlnm.Print_Area" localSheetId="14">'5 基金平衡表'!$A$1:$F$17</definedName>
    <definedName name="_xlnm.Print_Area" localSheetId="15">'6 基金收入'!$A$1:$I$21</definedName>
    <definedName name="_xlnm.Print_Area" localSheetId="17">基金支出明细!$A$1:$O$123</definedName>
    <definedName name="_xlnm.Print_Area" localSheetId="4">'4 科目汇总表'!$A$1:$W$36</definedName>
    <definedName name="_xlnm.Print_Area" localSheetId="10">商品和服务支出!$A$1:$F$342</definedName>
    <definedName name="_xlnm.Print_Area" localSheetId="18">'8 社保基金预算'!$A$1:$J$21</definedName>
    <definedName name="_xlnm.Print_Area" localSheetId="3">'3 收入'!$A$1:$H$40</definedName>
    <definedName name="_xlnm.Print_Area" localSheetId="2">'2 县本级统筹财力'!$A$1:$E$28</definedName>
    <definedName name="_xlnm.Print_Area" localSheetId="11">项目支出!$A$1:$U$317</definedName>
    <definedName name="_xlnm.Print_Area">#N/A</definedName>
    <definedName name="Print_Area_MI" localSheetId="0">#REF!</definedName>
    <definedName name="Print_Area_MI" localSheetId="14">#REF!</definedName>
    <definedName name="Print_Area_MI" localSheetId="15">#REF!</definedName>
    <definedName name="Print_Area_MI" localSheetId="16">#REF!</definedName>
    <definedName name="Print_Area_MI" localSheetId="18">#REF!</definedName>
    <definedName name="Print_Area_MI">#REF!</definedName>
    <definedName name="Print_Area_Reset" localSheetId="0">OFFSET('1 收支平衡表'!Full_Print,0,0,'1 收支平衡表'!Last_Row)</definedName>
    <definedName name="Print_Area_Reset" localSheetId="14">OFFSET('5 基金平衡表'!Full_Print,0,0,'5 基金平衡表'!Last_Row)</definedName>
    <definedName name="Print_Area_Reset" localSheetId="15">OFFSET('6 基金收入'!Full_Print,0,0,'6 基金收入'!Last_Row)</definedName>
    <definedName name="Print_Area_Reset" localSheetId="17">OFFSET(Full_Print,0,0,基金支出明细!Last_Row)</definedName>
    <definedName name="Print_Area_Reset" localSheetId="16">OFFSET('7 基金支出'!Full_Print,0,0,'7 基金支出'!Last_Row)</definedName>
    <definedName name="Print_Area_Reset" localSheetId="18">OFFSET('8 社保基金预算'!Full_Print,0,0,'8 社保基金预算'!Last_Row)</definedName>
    <definedName name="Print_Area_Reset" localSheetId="11">OFFSET(Full_Print,0,0,项目支出!Last_Row)</definedName>
    <definedName name="Print_Area_Reset">OFFSET(Full_Print,0,0,Last_Row)</definedName>
    <definedName name="_xlnm.Print_Titles" localSheetId="6">'工资福利（公务员、参公人员）'!$1:$5</definedName>
    <definedName name="_xlnm.Print_Titles" localSheetId="17">基金支出明细!$1:$4</definedName>
    <definedName name="_xlnm.Print_Titles" localSheetId="4">'4 科目汇总表'!$1:$7</definedName>
    <definedName name="_xlnm.Print_Titles" localSheetId="10">商品和服务支出!$1:$5</definedName>
    <definedName name="_xlnm.Print_Titles" localSheetId="2">'2 县本级统筹财力'!$1:$4</definedName>
    <definedName name="_xlnm.Print_Titles" localSheetId="11">项目支出!$1:$4</definedName>
    <definedName name="_xlnm.Print_Titles">#N/A</definedName>
    <definedName name="Prix_SMC" localSheetId="0">'[13]10.2021.总支出'!Prix_SMC</definedName>
    <definedName name="Prix_SMC" localSheetId="15">#N/A</definedName>
    <definedName name="Prix_SMC" localSheetId="16">'[13]10.2021.总支出'!Prix_SMC</definedName>
    <definedName name="Prix_SMC">'[14]10.2021.总支出'!Prix_SMC</definedName>
    <definedName name="Pv" localSheetId="0">#REF!</definedName>
    <definedName name="Pv" localSheetId="14">#REF!</definedName>
    <definedName name="Pv" localSheetId="15">#REF!</definedName>
    <definedName name="Pv" localSheetId="16">#REF!</definedName>
    <definedName name="Pv" localSheetId="18">#REF!</definedName>
    <definedName name="Pv">#REF!</definedName>
    <definedName name="RDSon_25_1" localSheetId="0">#REF!</definedName>
    <definedName name="RDSon_25_1" localSheetId="14">#REF!</definedName>
    <definedName name="RDSon_25_1" localSheetId="15">#REF!</definedName>
    <definedName name="RDSon_25_1" localSheetId="16">#REF!</definedName>
    <definedName name="RDSon_25_1" localSheetId="18">#REF!</definedName>
    <definedName name="RDSon_25_1">#REF!</definedName>
    <definedName name="RDSon_25_2" localSheetId="0">#REF!</definedName>
    <definedName name="RDSon_25_2" localSheetId="14">#REF!</definedName>
    <definedName name="RDSon_25_2" localSheetId="15">#REF!</definedName>
    <definedName name="RDSon_25_2" localSheetId="16">#REF!</definedName>
    <definedName name="RDSon_25_2" localSheetId="18">#REF!</definedName>
    <definedName name="RDSon_25_2">#REF!</definedName>
    <definedName name="RDSon_Last_1" localSheetId="0">#REF!</definedName>
    <definedName name="RDSon_Last_1" localSheetId="14">#REF!</definedName>
    <definedName name="RDSon_Last_1" localSheetId="15">#REF!</definedName>
    <definedName name="RDSon_Last_1" localSheetId="16">#REF!</definedName>
    <definedName name="RDSon_Last_1" localSheetId="18">#REF!</definedName>
    <definedName name="RDSon_Last_1">#REF!</definedName>
    <definedName name="RDSon_Last_2" localSheetId="0">#REF!</definedName>
    <definedName name="RDSon_Last_2" localSheetId="14">#REF!</definedName>
    <definedName name="RDSon_Last_2" localSheetId="15">#REF!</definedName>
    <definedName name="RDSon_Last_2" localSheetId="16">#REF!</definedName>
    <definedName name="RDSon_Last_2" localSheetId="18">#REF!</definedName>
    <definedName name="RDSon_Last_2">#REF!</definedName>
    <definedName name="Ron" localSheetId="0">#REF!</definedName>
    <definedName name="Ron" localSheetId="14">#REF!</definedName>
    <definedName name="Ron" localSheetId="15">#REF!</definedName>
    <definedName name="Ron" localSheetId="16">#REF!</definedName>
    <definedName name="Ron" localSheetId="18">#REF!</definedName>
    <definedName name="Ron">#REF!</definedName>
    <definedName name="Rth_H" localSheetId="0">#REF!</definedName>
    <definedName name="Rth_H" localSheetId="14">#REF!</definedName>
    <definedName name="Rth_H" localSheetId="15">#REF!</definedName>
    <definedName name="Rth_H" localSheetId="16">#REF!</definedName>
    <definedName name="Rth_H" localSheetId="18">#REF!</definedName>
    <definedName name="Rth_H">#REF!</definedName>
    <definedName name="Rth_JA" localSheetId="0">#REF!</definedName>
    <definedName name="Rth_JA" localSheetId="14">#REF!</definedName>
    <definedName name="Rth_JA" localSheetId="15">#REF!</definedName>
    <definedName name="Rth_JA" localSheetId="16">#REF!</definedName>
    <definedName name="Rth_JA" localSheetId="18">#REF!</definedName>
    <definedName name="Rth_JA">#REF!</definedName>
    <definedName name="Rth_JC" localSheetId="0">#REF!</definedName>
    <definedName name="Rth_JC" localSheetId="14">#REF!</definedName>
    <definedName name="Rth_JC" localSheetId="15">#REF!</definedName>
    <definedName name="Rth_JC" localSheetId="16">#REF!</definedName>
    <definedName name="Rth_JC" localSheetId="18">#REF!</definedName>
    <definedName name="Rth_JC">#REF!</definedName>
    <definedName name="RTHca" localSheetId="0">#REF!</definedName>
    <definedName name="RTHca" localSheetId="14">#REF!</definedName>
    <definedName name="RTHca" localSheetId="15">#REF!</definedName>
    <definedName name="RTHca" localSheetId="16">#REF!</definedName>
    <definedName name="RTHca" localSheetId="18">#REF!</definedName>
    <definedName name="RTHca">#REF!</definedName>
    <definedName name="RTHjc" localSheetId="0">#REF!</definedName>
    <definedName name="RTHjc" localSheetId="14">#REF!</definedName>
    <definedName name="RTHjc" localSheetId="15">#REF!</definedName>
    <definedName name="RTHjc" localSheetId="16">#REF!</definedName>
    <definedName name="RTHjc" localSheetId="18">#REF!</definedName>
    <definedName name="RTHjc">#REF!</definedName>
    <definedName name="Sched_Pay" localSheetId="0">#REF!</definedName>
    <definedName name="Sched_Pay" localSheetId="14">#REF!</definedName>
    <definedName name="Sched_Pay" localSheetId="15">#REF!</definedName>
    <definedName name="Sched_Pay" localSheetId="16">#REF!</definedName>
    <definedName name="Sched_Pay" localSheetId="18">#REF!</definedName>
    <definedName name="Sched_Pay">#REF!</definedName>
    <definedName name="Scheduled_Extra_Payments" localSheetId="0">#REF!</definedName>
    <definedName name="Scheduled_Extra_Payments" localSheetId="14">#REF!</definedName>
    <definedName name="Scheduled_Extra_Payments" localSheetId="15">#REF!</definedName>
    <definedName name="Scheduled_Extra_Payments" localSheetId="16">#REF!</definedName>
    <definedName name="Scheduled_Extra_Payments" localSheetId="18">#REF!</definedName>
    <definedName name="Scheduled_Extra_Payments">#REF!</definedName>
    <definedName name="Scheduled_Interest_Rate" localSheetId="0">#REF!</definedName>
    <definedName name="Scheduled_Interest_Rate" localSheetId="14">#REF!</definedName>
    <definedName name="Scheduled_Interest_Rate" localSheetId="15">#REF!</definedName>
    <definedName name="Scheduled_Interest_Rate" localSheetId="16">#REF!</definedName>
    <definedName name="Scheduled_Interest_Rate" localSheetId="18">#REF!</definedName>
    <definedName name="Scheduled_Interest_Rate">#REF!</definedName>
    <definedName name="Scheduled_Monthly_Payment" localSheetId="0">#REF!</definedName>
    <definedName name="Scheduled_Monthly_Payment" localSheetId="14">#REF!</definedName>
    <definedName name="Scheduled_Monthly_Payment" localSheetId="15">#REF!</definedName>
    <definedName name="Scheduled_Monthly_Payment" localSheetId="16">#REF!</definedName>
    <definedName name="Scheduled_Monthly_Payment" localSheetId="18">#REF!</definedName>
    <definedName name="Scheduled_Monthly_Payment">#REF!</definedName>
    <definedName name="Strom_1" localSheetId="0">#REF!</definedName>
    <definedName name="Strom_1" localSheetId="14">#REF!</definedName>
    <definedName name="Strom_1" localSheetId="15">#REF!</definedName>
    <definedName name="Strom_1" localSheetId="16">#REF!</definedName>
    <definedName name="Strom_1" localSheetId="18">#REF!</definedName>
    <definedName name="Strom_1">#REF!</definedName>
    <definedName name="Strom_2" localSheetId="0">#REF!</definedName>
    <definedName name="Strom_2" localSheetId="14">#REF!</definedName>
    <definedName name="Strom_2" localSheetId="15">#REF!</definedName>
    <definedName name="Strom_2" localSheetId="16">#REF!</definedName>
    <definedName name="Strom_2" localSheetId="18">#REF!</definedName>
    <definedName name="Strom_2">#REF!</definedName>
    <definedName name="SUB75N05_06" localSheetId="0">#REF!</definedName>
    <definedName name="SUB75N05_06" localSheetId="14">#REF!</definedName>
    <definedName name="SUB75N05_06" localSheetId="15">#REF!</definedName>
    <definedName name="SUB75N05_06" localSheetId="16">#REF!</definedName>
    <definedName name="SUB75N05_06" localSheetId="18">#REF!</definedName>
    <definedName name="SUB75N05_06">#REF!</definedName>
    <definedName name="Temp_25" localSheetId="0">#REF!</definedName>
    <definedName name="Temp_25" localSheetId="14">#REF!</definedName>
    <definedName name="Temp_25" localSheetId="15">#REF!</definedName>
    <definedName name="Temp_25" localSheetId="16">#REF!</definedName>
    <definedName name="Temp_25" localSheetId="18">#REF!</definedName>
    <definedName name="Temp_25">#REF!</definedName>
    <definedName name="Ti" localSheetId="0">#REF!</definedName>
    <definedName name="Ti" localSheetId="14">#REF!</definedName>
    <definedName name="Ti" localSheetId="15">#REF!</definedName>
    <definedName name="Ti" localSheetId="16">#REF!</definedName>
    <definedName name="Ti" localSheetId="18">#REF!</definedName>
    <definedName name="Ti">#REF!</definedName>
    <definedName name="Tj" localSheetId="0">#REF!</definedName>
    <definedName name="Tj" localSheetId="14">#REF!</definedName>
    <definedName name="Tj" localSheetId="15">#REF!</definedName>
    <definedName name="Tj" localSheetId="16">#REF!</definedName>
    <definedName name="Tj" localSheetId="18">#REF!</definedName>
    <definedName name="Tj">#REF!</definedName>
    <definedName name="TMos_ges_1" localSheetId="0">#REF!</definedName>
    <definedName name="TMos_ges_1" localSheetId="14">#REF!</definedName>
    <definedName name="TMos_ges_1" localSheetId="15">#REF!</definedName>
    <definedName name="TMos_ges_1" localSheetId="16">#REF!</definedName>
    <definedName name="TMos_ges_1" localSheetId="18">#REF!</definedName>
    <definedName name="TMos_ges_1">#REF!</definedName>
    <definedName name="TMos_ges_2" localSheetId="0">#REF!</definedName>
    <definedName name="TMos_ges_2" localSheetId="14">#REF!</definedName>
    <definedName name="TMos_ges_2" localSheetId="15">#REF!</definedName>
    <definedName name="TMos_ges_2" localSheetId="16">#REF!</definedName>
    <definedName name="TMos_ges_2" localSheetId="18">#REF!</definedName>
    <definedName name="TMos_ges_2">#REF!</definedName>
    <definedName name="Total_Interest" localSheetId="0">#REF!</definedName>
    <definedName name="Total_Interest" localSheetId="14">#REF!</definedName>
    <definedName name="Total_Interest" localSheetId="15">#REF!</definedName>
    <definedName name="Total_Interest" localSheetId="16">#REF!</definedName>
    <definedName name="Total_Interest" localSheetId="18">#REF!</definedName>
    <definedName name="Total_Interest">#REF!</definedName>
    <definedName name="Total_Pay" localSheetId="0">#REF!</definedName>
    <definedName name="Total_Pay" localSheetId="14">#REF!</definedName>
    <definedName name="Total_Pay" localSheetId="15">#REF!</definedName>
    <definedName name="Total_Pay" localSheetId="16">#REF!</definedName>
    <definedName name="Total_Pay" localSheetId="18">#REF!</definedName>
    <definedName name="Total_Pay">#REF!</definedName>
    <definedName name="Total_Payment" localSheetId="0">Scheduled_Payment+Extra_Payment</definedName>
    <definedName name="Total_Payment" localSheetId="14">Scheduled_Payment+Extra_Payment</definedName>
    <definedName name="Total_Payment" localSheetId="15">Scheduled_Payment+Extra_Payment</definedName>
    <definedName name="Total_Payment" localSheetId="17">Scheduled_Payment+Extra_Payment</definedName>
    <definedName name="Total_Payment" localSheetId="16">Scheduled_Payment+Extra_Payment</definedName>
    <definedName name="Total_Payment" localSheetId="18">Scheduled_Payment+Extra_Payment</definedName>
    <definedName name="Total_Payment" localSheetId="3">Scheduled_Payment+Extra_Payment</definedName>
    <definedName name="Total_Payment" localSheetId="11">Scheduled_Payment+Extra_Payment</definedName>
    <definedName name="Total_Payment">Scheduled_Payment+Extra_Payment</definedName>
    <definedName name="Tu" localSheetId="0">#REF!</definedName>
    <definedName name="Tu" localSheetId="14">#REF!</definedName>
    <definedName name="Tu" localSheetId="15">#REF!</definedName>
    <definedName name="Tu" localSheetId="16">#REF!</definedName>
    <definedName name="Tu" localSheetId="18">#REF!</definedName>
    <definedName name="Tu">#REF!</definedName>
    <definedName name="TUmax" localSheetId="0">#REF!</definedName>
    <definedName name="TUmax" localSheetId="14">#REF!</definedName>
    <definedName name="TUmax" localSheetId="15">#REF!</definedName>
    <definedName name="TUmax" localSheetId="16">#REF!</definedName>
    <definedName name="TUmax" localSheetId="18">#REF!</definedName>
    <definedName name="TUmax">#REF!</definedName>
    <definedName name="Un" localSheetId="0">#REF!</definedName>
    <definedName name="Un" localSheetId="14">#REF!</definedName>
    <definedName name="Un" localSheetId="15">#REF!</definedName>
    <definedName name="Un" localSheetId="16">#REF!</definedName>
    <definedName name="Un" localSheetId="18">#REF!</definedName>
    <definedName name="Un">#REF!</definedName>
    <definedName name="Values_Entered" localSheetId="0">IF('1 收支平衡表'!Loan_Amount*'1 收支平衡表'!Interest_Rate*'1 收支平衡表'!Loan_Years*'1 收支平衡表'!Loan_Start&gt;0,1,0)</definedName>
    <definedName name="Values_Entered" localSheetId="14">IF('5 基金平衡表'!Loan_Amount*'5 基金平衡表'!Interest_Rate*'5 基金平衡表'!Loan_Years*'5 基金平衡表'!Loan_Start&gt;0,1,0)</definedName>
    <definedName name="Values_Entered" localSheetId="15">IF('6 基金收入'!Loan_Amount*'6 基金收入'!Interest_Rate*'6 基金收入'!Loan_Years*'6 基金收入'!Loan_Start&gt;0,1,0)</definedName>
    <definedName name="Values_Entered" localSheetId="17">IF(Loan_Amount*Interest_Rate*Loan_Years*Loan_Start&gt;0,1,0)</definedName>
    <definedName name="Values_Entered" localSheetId="16">IF('7 基金支出'!Loan_Amount*'7 基金支出'!Interest_Rate*'7 基金支出'!Loan_Years*'7 基金支出'!Loan_Start&gt;0,1,0)</definedName>
    <definedName name="Values_Entered" localSheetId="18">IF('8 社保基金预算'!Loan_Amount*'8 社保基金预算'!Interest_Rate*'8 社保基金预算'!Loan_Years*'8 社保基金预算'!Loan_Start&gt;0,1,0)</definedName>
    <definedName name="Values_Entered" localSheetId="11">IF(Loan_Amount*Interest_Rate*Loan_Years*Loan_Start&gt;0,1,0)</definedName>
    <definedName name="Values_Entered">IF(Loan_Amount*Interest_Rate*Loan_Years*Loan_Start&gt;0,1,0)</definedName>
    <definedName name="wrn.Cash._.Flow._.Trackers." localSheetId="15" hidden="1">{"Summ CFT",#N/A,FALSE,"CFT";"Full CFT",#N/A,FALSE,"CFT"}</definedName>
    <definedName name="wrn.Cash._.Flow._.Trackers." hidden="1">{"Summ CFT",#N/A,FALSE,"CFT";"Full CFT",#N/A,FALSE,"CFT"}</definedName>
    <definedName name="wrn.Full._.Package._.Print." localSheetId="15" hidden="1">{#N/A,"429k Vol",FALSE,"Estimate Summary";#N/A,"750k Vol",FALSE,"Estimate Summary";#N/A,"1,000k Vol",FALSE,"Estimate Summary";#N/A,"1,250K Vol",FALSE,"Estimate Summary";#N/A,"1500k Vol",FALSE,"Estimate Summary";#N/A,"1750k Vol",FALSE,"Estimate Summary";#N/A,"2,000k Vol",FALSE,"Estimate Summary";#N/A,"2,250k Vol",FALSE,"Estimate Summary";#N/A,"2500K Vol",FALSE,"Estimate Summary";#N/A,"Ramp Up Vol.",FALSE,"Estimate Summary"}</definedName>
    <definedName name="wrn.Full._.Package._.Print." hidden="1">{#N/A,"429k Vol",FALSE,"Estimate Summary";#N/A,"750k Vol",FALSE,"Estimate Summary";#N/A,"1,000k Vol",FALSE,"Estimate Summary";#N/A,"1,250K Vol",FALSE,"Estimate Summary";#N/A,"1500k Vol",FALSE,"Estimate Summary";#N/A,"1750k Vol",FALSE,"Estimate Summary";#N/A,"2,000k Vol",FALSE,"Estimate Summary";#N/A,"2,250k Vol",FALSE,"Estimate Summary";#N/A,"2500K Vol",FALSE,"Estimate Summary";#N/A,"Ramp Up Vol.",FALSE,"Estimate Summary"}</definedName>
    <definedName name="ww" localSheetId="0">#REF!</definedName>
    <definedName name="ww" localSheetId="14">#REF!</definedName>
    <definedName name="ww" localSheetId="15">#REF!</definedName>
    <definedName name="ww" localSheetId="16">#REF!</definedName>
    <definedName name="ww" localSheetId="18">#REF!</definedName>
    <definedName name="ww">#REF!</definedName>
    <definedName name="Zustand1" localSheetId="0">#REF!</definedName>
    <definedName name="Zustand1" localSheetId="14">#REF!</definedName>
    <definedName name="Zustand1" localSheetId="15">#REF!</definedName>
    <definedName name="Zustand1" localSheetId="16">#REF!</definedName>
    <definedName name="Zustand1" localSheetId="18">#REF!</definedName>
    <definedName name="Zustand1">#REF!</definedName>
    <definedName name="Zustand2" localSheetId="0">#REF!</definedName>
    <definedName name="Zustand2" localSheetId="14">#REF!</definedName>
    <definedName name="Zustand2" localSheetId="15">#REF!</definedName>
    <definedName name="Zustand2" localSheetId="16">#REF!</definedName>
    <definedName name="Zustand2" localSheetId="18">#REF!</definedName>
    <definedName name="Zustand2">#REF!</definedName>
    <definedName name="北河西路" localSheetId="0">#REF!</definedName>
    <definedName name="北河西路" localSheetId="14">#REF!</definedName>
    <definedName name="北河西路" localSheetId="15">#REF!</definedName>
    <definedName name="北河西路" localSheetId="16">#REF!</definedName>
    <definedName name="北河西路" localSheetId="18">#REF!</definedName>
    <definedName name="北河西路">#REF!</definedName>
    <definedName name="标准厂房代建款" localSheetId="0">#REF!</definedName>
    <definedName name="标准厂房代建款" localSheetId="14">#REF!</definedName>
    <definedName name="标准厂房代建款" localSheetId="15">#REF!</definedName>
    <definedName name="标准厂房代建款" localSheetId="16">#REF!</definedName>
    <definedName name="标准厂房代建款" localSheetId="18">#REF!</definedName>
    <definedName name="标准厂房代建款">#REF!</definedName>
    <definedName name="表" localSheetId="0">#REF!</definedName>
    <definedName name="表" localSheetId="14">#REF!</definedName>
    <definedName name="表" localSheetId="15">#REF!</definedName>
    <definedName name="表" localSheetId="16">#REF!</definedName>
    <definedName name="表" localSheetId="18">#REF!</definedName>
    <definedName name="表">#REF!</definedName>
    <definedName name="不锈钢产业" localSheetId="0">#REF!</definedName>
    <definedName name="不锈钢产业" localSheetId="14">#REF!</definedName>
    <definedName name="不锈钢产业" localSheetId="15">#REF!</definedName>
    <definedName name="不锈钢产业" localSheetId="16">#REF!</definedName>
    <definedName name="不锈钢产业" localSheetId="18">#REF!</definedName>
    <definedName name="不锈钢产业">#REF!</definedName>
    <definedName name="处罚事项1" localSheetId="0">#REF!</definedName>
    <definedName name="处罚事项1" localSheetId="14">#REF!</definedName>
    <definedName name="处罚事项1" localSheetId="15">#REF!</definedName>
    <definedName name="处罚事项1" localSheetId="16">#REF!</definedName>
    <definedName name="处罚事项1" localSheetId="18">#REF!</definedName>
    <definedName name="处罚事项1">#REF!</definedName>
    <definedName name="档案馆" localSheetId="0">#REF!</definedName>
    <definedName name="档案馆" localSheetId="14">#REF!</definedName>
    <definedName name="档案馆" localSheetId="15">#REF!</definedName>
    <definedName name="档案馆" localSheetId="16">#REF!</definedName>
    <definedName name="档案馆" localSheetId="18">#REF!</definedName>
    <definedName name="档案馆">#REF!</definedName>
    <definedName name="第九期旧改" localSheetId="0">#REF!</definedName>
    <definedName name="第九期旧改" localSheetId="14">#REF!</definedName>
    <definedName name="第九期旧改" localSheetId="15">#REF!</definedName>
    <definedName name="第九期旧改" localSheetId="16">#REF!</definedName>
    <definedName name="第九期旧改" localSheetId="18">#REF!</definedName>
    <definedName name="第九期旧改">#REF!</definedName>
    <definedName name="东环路扩建项目" localSheetId="0">#REF!</definedName>
    <definedName name="东环路扩建项目" localSheetId="14">#REF!</definedName>
    <definedName name="东环路扩建项目" localSheetId="15">#REF!</definedName>
    <definedName name="东环路扩建项目" localSheetId="16">#REF!</definedName>
    <definedName name="东环路扩建项目" localSheetId="18">#REF!</definedName>
    <definedName name="东环路扩建项目">#REF!</definedName>
    <definedName name="东门市场改扩建" localSheetId="0">#REF!</definedName>
    <definedName name="东门市场改扩建" localSheetId="14">#REF!</definedName>
    <definedName name="东门市场改扩建" localSheetId="15">#REF!</definedName>
    <definedName name="东门市场改扩建" localSheetId="16">#REF!</definedName>
    <definedName name="东门市场改扩建" localSheetId="18">#REF!</definedName>
    <definedName name="东门市场改扩建">#REF!</definedName>
    <definedName name="额外全额" localSheetId="0">IF('1 收支平衡表'!Values_Entered,'1 收支平衡表'!Header_Row+'1 收支平衡表'!Number_of_Payments,'1 收支平衡表'!Header_Row)</definedName>
    <definedName name="额外全额" localSheetId="14">IF('5 基金平衡表'!Values_Entered,'5 基金平衡表'!Header_Row+'5 基金平衡表'!Number_of_Payments,'5 基金平衡表'!Header_Row)</definedName>
    <definedName name="额外全额" localSheetId="15">IF('6 基金收入'!Values_Entered,'6 基金收入'!Header_Row+'6 基金收入'!Number_of_Payments,'6 基金收入'!Header_Row)</definedName>
    <definedName name="额外全额" localSheetId="17">IF(基金支出明细!Values_Entered,Header_Row+基金支出明细!Number_of_Payments,Header_Row)</definedName>
    <definedName name="额外全额" localSheetId="16">IF('7 基金支出'!Values_Entered,'7 基金支出'!Header_Row+'7 基金支出'!Number_of_Payments,'7 基金支出'!Header_Row)</definedName>
    <definedName name="额外全额" localSheetId="18">IF('8 社保基金预算'!Values_Entered,'8 社保基金预算'!Header_Row+'8 社保基金预算'!Number_of_Payments,'8 社保基金预算'!Header_Row)</definedName>
    <definedName name="额外全额" localSheetId="11">IF(项目支出!Values_Entered,Header_Row+项目支出!Number_of_Payments,Header_Row)</definedName>
    <definedName name="额外全额">IF(Values_Entered,Header_Row+Number_of_Payments,Header_Row)</definedName>
    <definedName name="福利中心" localSheetId="0">#REF!</definedName>
    <definedName name="福利中心" localSheetId="14">#REF!</definedName>
    <definedName name="福利中心" localSheetId="15">#REF!</definedName>
    <definedName name="福利中心" localSheetId="16">#REF!</definedName>
    <definedName name="福利中心" localSheetId="18">#REF!</definedName>
    <definedName name="福利中心">#REF!</definedName>
    <definedName name="工商大楼征迁" localSheetId="0">#REF!</definedName>
    <definedName name="工商大楼征迁" localSheetId="14">#REF!</definedName>
    <definedName name="工商大楼征迁" localSheetId="15">#REF!</definedName>
    <definedName name="工商大楼征迁" localSheetId="16">#REF!</definedName>
    <definedName name="工商大楼征迁" localSheetId="18">#REF!</definedName>
    <definedName name="工商大楼征迁">#REF!</definedName>
    <definedName name="公安局" localSheetId="0">#REF!</definedName>
    <definedName name="公安局" localSheetId="14">#REF!</definedName>
    <definedName name="公安局" localSheetId="15">#REF!</definedName>
    <definedName name="公安局" localSheetId="16">#REF!</definedName>
    <definedName name="公安局" localSheetId="18">#REF!</definedName>
    <definedName name="公安局">#REF!</definedName>
    <definedName name="公路建设" localSheetId="0">#REF!</definedName>
    <definedName name="公路建设" localSheetId="14">#REF!</definedName>
    <definedName name="公路建设" localSheetId="15">#REF!</definedName>
    <definedName name="公路建设" localSheetId="16">#REF!</definedName>
    <definedName name="公路建设" localSheetId="18">#REF!</definedName>
    <definedName name="公路建设">#REF!</definedName>
    <definedName name="公墓地" localSheetId="0">#REF!</definedName>
    <definedName name="公墓地" localSheetId="14">#REF!</definedName>
    <definedName name="公墓地" localSheetId="15">#REF!</definedName>
    <definedName name="公墓地" localSheetId="16">#REF!</definedName>
    <definedName name="公墓地" localSheetId="18">#REF!</definedName>
    <definedName name="公墓地">#REF!</definedName>
    <definedName name="古武高速公路项目" localSheetId="0">#REF!</definedName>
    <definedName name="古武高速公路项目" localSheetId="14">#REF!</definedName>
    <definedName name="古武高速公路项目" localSheetId="15">#REF!</definedName>
    <definedName name="古武高速公路项目" localSheetId="16">#REF!</definedName>
    <definedName name="古武高速公路项目" localSheetId="18">#REF!</definedName>
    <definedName name="古武高速公路项目">#REF!</definedName>
    <definedName name="广告商档案" localSheetId="0">#REF!</definedName>
    <definedName name="广告商档案" localSheetId="14">#REF!</definedName>
    <definedName name="广告商档案" localSheetId="15">#REF!</definedName>
    <definedName name="广告商档案" localSheetId="16">#REF!</definedName>
    <definedName name="广告商档案" localSheetId="18">#REF!</definedName>
    <definedName name="广告商档案">#REF!</definedName>
    <definedName name="汇率" localSheetId="0">#REF!</definedName>
    <definedName name="汇率" localSheetId="14">#REF!</definedName>
    <definedName name="汇率" localSheetId="15">#REF!</definedName>
    <definedName name="汇率" localSheetId="16">#REF!</definedName>
    <definedName name="汇率" localSheetId="18">#REF!</definedName>
    <definedName name="汇率">#REF!</definedName>
    <definedName name="汇总表" localSheetId="0">[17]按类别!$A$52564</definedName>
    <definedName name="汇总表" localSheetId="16">[17]按类别!$A$52564</definedName>
    <definedName name="汇总表">[19]按类别!$A$52564</definedName>
    <definedName name="汇总表1" localSheetId="0">[1]按类别!$A$52564</definedName>
    <definedName name="汇总表1" localSheetId="16">[1]按类别!$A$52564</definedName>
    <definedName name="汇总表1">[2]按类别!$A$52564</definedName>
    <definedName name="寄宿制学校" localSheetId="0">'[13]10.2021.总支出'!寄宿制学校</definedName>
    <definedName name="寄宿制学校" localSheetId="15">#N/A</definedName>
    <definedName name="寄宿制学校" localSheetId="16">'[13]10.2021.总支出'!寄宿制学校</definedName>
    <definedName name="寄宿制学校">'[14]10.2021.总支出'!寄宿制学校</definedName>
    <definedName name="简单快乐福建" localSheetId="0">'[13]10.2021.总支出'!简单快乐福建</definedName>
    <definedName name="简单快乐福建" localSheetId="15">#N/A</definedName>
    <definedName name="简单快乐福建" localSheetId="16">'[13]10.2021.总支出'!简单快乐福建</definedName>
    <definedName name="简单快乐福建">'[14]10.2021.总支出'!简单快乐福建</definedName>
    <definedName name="教育资金农田水利建设资金计提" localSheetId="0">#REF!</definedName>
    <definedName name="教育资金农田水利建设资金计提" localSheetId="14">#REF!</definedName>
    <definedName name="教育资金农田水利建设资金计提" localSheetId="15">#REF!</definedName>
    <definedName name="教育资金农田水利建设资金计提" localSheetId="16">#REF!</definedName>
    <definedName name="教育资金农田水利建设资金计提" localSheetId="18">#REF!</definedName>
    <definedName name="教育资金农田水利建设资金计提">#REF!</definedName>
    <definedName name="借用" localSheetId="0">#REF!</definedName>
    <definedName name="借用" localSheetId="14">#REF!</definedName>
    <definedName name="借用" localSheetId="15">#REF!</definedName>
    <definedName name="借用" localSheetId="16">#REF!</definedName>
    <definedName name="借用" localSheetId="18">#REF!</definedName>
    <definedName name="借用">#REF!</definedName>
    <definedName name="借用1" localSheetId="0">#REF!</definedName>
    <definedName name="借用1" localSheetId="14">#REF!</definedName>
    <definedName name="借用1" localSheetId="15">#REF!</definedName>
    <definedName name="借用1" localSheetId="16">#REF!</definedName>
    <definedName name="借用1" localSheetId="18">#REF!</definedName>
    <definedName name="借用1">#REF!</definedName>
    <definedName name="经常性汇总表" localSheetId="0">[1]按类别!$A$52564</definedName>
    <definedName name="经常性汇总表" localSheetId="16">[1]按类别!$A$52564</definedName>
    <definedName name="经常性汇总表">[2]按类别!$A$52564</definedName>
    <definedName name="经常性支出汇总表" localSheetId="0">[1]按类别!$A$52564</definedName>
    <definedName name="经常性支出汇总表" localSheetId="16">[1]按类别!$A$52564</definedName>
    <definedName name="经常性支出汇总表">[2]按类别!$A$52564</definedName>
    <definedName name="客都汇旅游综合体至梁野山景区入口公路改造和绿化提升工程" localSheetId="0">#REF!</definedName>
    <definedName name="客都汇旅游综合体至梁野山景区入口公路改造和绿化提升工程" localSheetId="14">#REF!</definedName>
    <definedName name="客都汇旅游综合体至梁野山景区入口公路改造和绿化提升工程" localSheetId="15">#REF!</definedName>
    <definedName name="客都汇旅游综合体至梁野山景区入口公路改造和绿化提升工程" localSheetId="16">#REF!</definedName>
    <definedName name="客都汇旅游综合体至梁野山景区入口公路改造和绿化提升工程" localSheetId="18">#REF!</definedName>
    <definedName name="客都汇旅游综合体至梁野山景区入口公路改造和绿化提升工程">#REF!</definedName>
    <definedName name="客家生态文化城" localSheetId="0">#REF!</definedName>
    <definedName name="客家生态文化城" localSheetId="14">#REF!</definedName>
    <definedName name="客家生态文化城" localSheetId="15">#REF!</definedName>
    <definedName name="客家生态文化城" localSheetId="16">#REF!</definedName>
    <definedName name="客家生态文化城" localSheetId="18">#REF!</definedName>
    <definedName name="客家生态文化城">#REF!</definedName>
    <definedName name="梁野大道" localSheetId="0">#REF!</definedName>
    <definedName name="梁野大道" localSheetId="14">#REF!</definedName>
    <definedName name="梁野大道" localSheetId="15">#REF!</definedName>
    <definedName name="梁野大道" localSheetId="16">#REF!</definedName>
    <definedName name="梁野大道" localSheetId="18">#REF!</definedName>
    <definedName name="梁野大道">#REF!</definedName>
    <definedName name="梁野山及旅游综合体" localSheetId="0">#REF!</definedName>
    <definedName name="梁野山及旅游综合体" localSheetId="14">#REF!</definedName>
    <definedName name="梁野山及旅游综合体" localSheetId="15">#REF!</definedName>
    <definedName name="梁野山及旅游综合体" localSheetId="16">#REF!</definedName>
    <definedName name="梁野山及旅游综合体" localSheetId="18">#REF!</definedName>
    <definedName name="梁野山及旅游综合体">#REF!</definedName>
    <definedName name="龙洲公司及关联公司" localSheetId="0">#REF!</definedName>
    <definedName name="龙洲公司及关联公司" localSheetId="14">#REF!</definedName>
    <definedName name="龙洲公司及关联公司" localSheetId="15">#REF!</definedName>
    <definedName name="龙洲公司及关联公司" localSheetId="16">#REF!</definedName>
    <definedName name="龙洲公司及关联公司" localSheetId="18">#REF!</definedName>
    <definedName name="龙洲公司及关联公司">#REF!</definedName>
    <definedName name="宁象公路" localSheetId="0">#REF!</definedName>
    <definedName name="宁象公路" localSheetId="14">#REF!</definedName>
    <definedName name="宁象公路" localSheetId="15">#REF!</definedName>
    <definedName name="宁象公路" localSheetId="16">#REF!</definedName>
    <definedName name="宁象公路" localSheetId="18">#REF!</definedName>
    <definedName name="宁象公路">#REF!</definedName>
    <definedName name="农业土地开发资金" localSheetId="0">#REF!</definedName>
    <definedName name="农业土地开发资金" localSheetId="14">#REF!</definedName>
    <definedName name="农业土地开发资金" localSheetId="15">#REF!</definedName>
    <definedName name="农业土地开发资金" localSheetId="16">#REF!</definedName>
    <definedName name="农业土地开发资金" localSheetId="18">#REF!</definedName>
    <definedName name="农业土地开发资金">#REF!</definedName>
    <definedName name="平川镇工作经费" localSheetId="0">#REF!</definedName>
    <definedName name="平川镇工作经费" localSheetId="14">#REF!</definedName>
    <definedName name="平川镇工作经费" localSheetId="15">#REF!</definedName>
    <definedName name="平川镇工作经费" localSheetId="16">#REF!</definedName>
    <definedName name="平川镇工作经费" localSheetId="18">#REF!</definedName>
    <definedName name="平川镇工作经费">#REF!</definedName>
    <definedName name="平通路平通桥" localSheetId="0">#REF!</definedName>
    <definedName name="平通路平通桥" localSheetId="14">#REF!</definedName>
    <definedName name="平通路平通桥" localSheetId="15">#REF!</definedName>
    <definedName name="平通路平通桥" localSheetId="16">#REF!</definedName>
    <definedName name="平通路平通桥" localSheetId="18">#REF!</definedName>
    <definedName name="平通路平通桥">#REF!</definedName>
    <definedName name="企业基础设施建设补助明细表" localSheetId="0">#REF!</definedName>
    <definedName name="企业基础设施建设补助明细表" localSheetId="14">#REF!</definedName>
    <definedName name="企业基础设施建设补助明细表" localSheetId="15">#REF!</definedName>
    <definedName name="企业基础设施建设补助明细表" localSheetId="16">#REF!</definedName>
    <definedName name="企业基础设施建设补助明细表" localSheetId="18">#REF!</definedName>
    <definedName name="企业基础设施建设补助明细表">#REF!</definedName>
    <definedName name="人武部" localSheetId="0">#REF!</definedName>
    <definedName name="人武部" localSheetId="14">#REF!</definedName>
    <definedName name="人武部" localSheetId="15">#REF!</definedName>
    <definedName name="人武部" localSheetId="16">#REF!</definedName>
    <definedName name="人武部" localSheetId="18">#REF!</definedName>
    <definedName name="人武部">#REF!</definedName>
    <definedName name="生产列1" localSheetId="0">#REF!</definedName>
    <definedName name="生产列1" localSheetId="14">#REF!</definedName>
    <definedName name="生产列1" localSheetId="15">#REF!</definedName>
    <definedName name="生产列1" localSheetId="16">#REF!</definedName>
    <definedName name="生产列1" localSheetId="18">#REF!</definedName>
    <definedName name="生产列1">#REF!</definedName>
    <definedName name="生产列11" localSheetId="0">#REF!</definedName>
    <definedName name="生产列11" localSheetId="14">#REF!</definedName>
    <definedName name="生产列11" localSheetId="15">#REF!</definedName>
    <definedName name="生产列11" localSheetId="16">#REF!</definedName>
    <definedName name="生产列11" localSheetId="18">#REF!</definedName>
    <definedName name="生产列11">#REF!</definedName>
    <definedName name="生产列15" localSheetId="0">#REF!</definedName>
    <definedName name="生产列15" localSheetId="14">#REF!</definedName>
    <definedName name="生产列15" localSheetId="15">#REF!</definedName>
    <definedName name="生产列15" localSheetId="16">#REF!</definedName>
    <definedName name="生产列15" localSheetId="18">#REF!</definedName>
    <definedName name="生产列15">#REF!</definedName>
    <definedName name="生产列16" localSheetId="0">#REF!</definedName>
    <definedName name="生产列16" localSheetId="14">#REF!</definedName>
    <definedName name="生产列16" localSheetId="15">#REF!</definedName>
    <definedName name="生产列16" localSheetId="16">#REF!</definedName>
    <definedName name="生产列16" localSheetId="18">#REF!</definedName>
    <definedName name="生产列16">#REF!</definedName>
    <definedName name="生产列17" localSheetId="0">#REF!</definedName>
    <definedName name="生产列17" localSheetId="14">#REF!</definedName>
    <definedName name="生产列17" localSheetId="15">#REF!</definedName>
    <definedName name="生产列17" localSheetId="16">#REF!</definedName>
    <definedName name="生产列17" localSheetId="18">#REF!</definedName>
    <definedName name="生产列17">#REF!</definedName>
    <definedName name="生产列19" localSheetId="0">#REF!</definedName>
    <definedName name="生产列19" localSheetId="14">#REF!</definedName>
    <definedName name="生产列19" localSheetId="15">#REF!</definedName>
    <definedName name="生产列19" localSheetId="16">#REF!</definedName>
    <definedName name="生产列19" localSheetId="18">#REF!</definedName>
    <definedName name="生产列19">#REF!</definedName>
    <definedName name="生产列2" localSheetId="0">#REF!</definedName>
    <definedName name="生产列2" localSheetId="14">#REF!</definedName>
    <definedName name="生产列2" localSheetId="15">#REF!</definedName>
    <definedName name="生产列2" localSheetId="16">#REF!</definedName>
    <definedName name="生产列2" localSheetId="18">#REF!</definedName>
    <definedName name="生产列2">#REF!</definedName>
    <definedName name="生产列20" localSheetId="0">#REF!</definedName>
    <definedName name="生产列20" localSheetId="14">#REF!</definedName>
    <definedName name="生产列20" localSheetId="15">#REF!</definedName>
    <definedName name="生产列20" localSheetId="16">#REF!</definedName>
    <definedName name="生产列20" localSheetId="18">#REF!</definedName>
    <definedName name="生产列20">#REF!</definedName>
    <definedName name="生产列3" localSheetId="0">#REF!</definedName>
    <definedName name="生产列3" localSheetId="14">#REF!</definedName>
    <definedName name="生产列3" localSheetId="15">#REF!</definedName>
    <definedName name="生产列3" localSheetId="16">#REF!</definedName>
    <definedName name="生产列3" localSheetId="18">#REF!</definedName>
    <definedName name="生产列3">#REF!</definedName>
    <definedName name="生产列4" localSheetId="0">#REF!</definedName>
    <definedName name="生产列4" localSheetId="14">#REF!</definedName>
    <definedName name="生产列4" localSheetId="15">#REF!</definedName>
    <definedName name="生产列4" localSheetId="16">#REF!</definedName>
    <definedName name="生产列4" localSheetId="18">#REF!</definedName>
    <definedName name="生产列4">#REF!</definedName>
    <definedName name="生产列5" localSheetId="0">#REF!</definedName>
    <definedName name="生产列5" localSheetId="14">#REF!</definedName>
    <definedName name="生产列5" localSheetId="15">#REF!</definedName>
    <definedName name="生产列5" localSheetId="16">#REF!</definedName>
    <definedName name="生产列5" localSheetId="18">#REF!</definedName>
    <definedName name="生产列5">#REF!</definedName>
    <definedName name="生产列6" localSheetId="0">#REF!</definedName>
    <definedName name="生产列6" localSheetId="14">#REF!</definedName>
    <definedName name="生产列6" localSheetId="15">#REF!</definedName>
    <definedName name="生产列6" localSheetId="16">#REF!</definedName>
    <definedName name="生产列6" localSheetId="18">#REF!</definedName>
    <definedName name="生产列6">#REF!</definedName>
    <definedName name="生产列7" localSheetId="0">#REF!</definedName>
    <definedName name="生产列7" localSheetId="14">#REF!</definedName>
    <definedName name="生产列7" localSheetId="15">#REF!</definedName>
    <definedName name="生产列7" localSheetId="16">#REF!</definedName>
    <definedName name="生产列7" localSheetId="18">#REF!</definedName>
    <definedName name="生产列7">#REF!</definedName>
    <definedName name="生产列8" localSheetId="0">#REF!</definedName>
    <definedName name="生产列8" localSheetId="14">#REF!</definedName>
    <definedName name="生产列8" localSheetId="15">#REF!</definedName>
    <definedName name="生产列8" localSheetId="16">#REF!</definedName>
    <definedName name="生产列8" localSheetId="18">#REF!</definedName>
    <definedName name="生产列8">#REF!</definedName>
    <definedName name="生产列9" localSheetId="0">#REF!</definedName>
    <definedName name="生产列9" localSheetId="14">#REF!</definedName>
    <definedName name="生产列9" localSheetId="15">#REF!</definedName>
    <definedName name="生产列9" localSheetId="16">#REF!</definedName>
    <definedName name="生产列9" localSheetId="18">#REF!</definedName>
    <definedName name="生产列9">#REF!</definedName>
    <definedName name="生产期" localSheetId="0">#REF!</definedName>
    <definedName name="生产期" localSheetId="14">#REF!</definedName>
    <definedName name="生产期" localSheetId="15">#REF!</definedName>
    <definedName name="生产期" localSheetId="16">#REF!</definedName>
    <definedName name="生产期" localSheetId="18">#REF!</definedName>
    <definedName name="生产期">#REF!</definedName>
    <definedName name="生产期1" localSheetId="0">#REF!</definedName>
    <definedName name="生产期1" localSheetId="14">#REF!</definedName>
    <definedName name="生产期1" localSheetId="15">#REF!</definedName>
    <definedName name="生产期1" localSheetId="16">#REF!</definedName>
    <definedName name="生产期1" localSheetId="18">#REF!</definedName>
    <definedName name="生产期1">#REF!</definedName>
    <definedName name="生产期11" localSheetId="0">#REF!</definedName>
    <definedName name="生产期11" localSheetId="14">#REF!</definedName>
    <definedName name="生产期11" localSheetId="15">#REF!</definedName>
    <definedName name="生产期11" localSheetId="16">#REF!</definedName>
    <definedName name="生产期11" localSheetId="18">#REF!</definedName>
    <definedName name="生产期11">#REF!</definedName>
    <definedName name="生产期15" localSheetId="0">#REF!</definedName>
    <definedName name="生产期15" localSheetId="14">#REF!</definedName>
    <definedName name="生产期15" localSheetId="15">#REF!</definedName>
    <definedName name="生产期15" localSheetId="16">#REF!</definedName>
    <definedName name="生产期15" localSheetId="18">#REF!</definedName>
    <definedName name="生产期15">#REF!</definedName>
    <definedName name="生产期16" localSheetId="0">#REF!</definedName>
    <definedName name="生产期16" localSheetId="14">#REF!</definedName>
    <definedName name="生产期16" localSheetId="15">#REF!</definedName>
    <definedName name="生产期16" localSheetId="16">#REF!</definedName>
    <definedName name="生产期16" localSheetId="18">#REF!</definedName>
    <definedName name="生产期16">#REF!</definedName>
    <definedName name="生产期17" localSheetId="0">#REF!</definedName>
    <definedName name="生产期17" localSheetId="14">#REF!</definedName>
    <definedName name="生产期17" localSheetId="15">#REF!</definedName>
    <definedName name="生产期17" localSheetId="16">#REF!</definedName>
    <definedName name="生产期17" localSheetId="18">#REF!</definedName>
    <definedName name="生产期17">#REF!</definedName>
    <definedName name="生产期19" localSheetId="0">#REF!</definedName>
    <definedName name="生产期19" localSheetId="14">#REF!</definedName>
    <definedName name="生产期19" localSheetId="15">#REF!</definedName>
    <definedName name="生产期19" localSheetId="16">#REF!</definedName>
    <definedName name="生产期19" localSheetId="18">#REF!</definedName>
    <definedName name="生产期19">#REF!</definedName>
    <definedName name="生产期2" localSheetId="0">#REF!</definedName>
    <definedName name="生产期2" localSheetId="14">#REF!</definedName>
    <definedName name="生产期2" localSheetId="15">#REF!</definedName>
    <definedName name="生产期2" localSheetId="16">#REF!</definedName>
    <definedName name="生产期2" localSheetId="18">#REF!</definedName>
    <definedName name="生产期2">#REF!</definedName>
    <definedName name="生产期20" localSheetId="0">#REF!</definedName>
    <definedName name="生产期20" localSheetId="14">#REF!</definedName>
    <definedName name="生产期20" localSheetId="15">#REF!</definedName>
    <definedName name="生产期20" localSheetId="16">#REF!</definedName>
    <definedName name="生产期20" localSheetId="18">#REF!</definedName>
    <definedName name="生产期20">#REF!</definedName>
    <definedName name="生产期3" localSheetId="0">#REF!</definedName>
    <definedName name="生产期3" localSheetId="14">#REF!</definedName>
    <definedName name="生产期3" localSheetId="15">#REF!</definedName>
    <definedName name="生产期3" localSheetId="16">#REF!</definedName>
    <definedName name="生产期3" localSheetId="18">#REF!</definedName>
    <definedName name="生产期3">#REF!</definedName>
    <definedName name="生产期4" localSheetId="0">#REF!</definedName>
    <definedName name="生产期4" localSheetId="14">#REF!</definedName>
    <definedName name="生产期4" localSheetId="15">#REF!</definedName>
    <definedName name="生产期4" localSheetId="16">#REF!</definedName>
    <definedName name="生产期4" localSheetId="18">#REF!</definedName>
    <definedName name="生产期4">#REF!</definedName>
    <definedName name="生产期5" localSheetId="0">#REF!</definedName>
    <definedName name="生产期5" localSheetId="14">#REF!</definedName>
    <definedName name="生产期5" localSheetId="15">#REF!</definedName>
    <definedName name="生产期5" localSheetId="16">#REF!</definedName>
    <definedName name="生产期5" localSheetId="18">#REF!</definedName>
    <definedName name="生产期5">#REF!</definedName>
    <definedName name="生产期6" localSheetId="0">#REF!</definedName>
    <definedName name="生产期6" localSheetId="14">#REF!</definedName>
    <definedName name="生产期6" localSheetId="15">#REF!</definedName>
    <definedName name="生产期6" localSheetId="16">#REF!</definedName>
    <definedName name="生产期6" localSheetId="18">#REF!</definedName>
    <definedName name="生产期6">#REF!</definedName>
    <definedName name="生产期7" localSheetId="0">#REF!</definedName>
    <definedName name="生产期7" localSheetId="14">#REF!</definedName>
    <definedName name="生产期7" localSheetId="15">#REF!</definedName>
    <definedName name="生产期7" localSheetId="16">#REF!</definedName>
    <definedName name="生产期7" localSheetId="18">#REF!</definedName>
    <definedName name="生产期7">#REF!</definedName>
    <definedName name="生产期8" localSheetId="0">#REF!</definedName>
    <definedName name="生产期8" localSheetId="14">#REF!</definedName>
    <definedName name="生产期8" localSheetId="15">#REF!</definedName>
    <definedName name="生产期8" localSheetId="16">#REF!</definedName>
    <definedName name="生产期8" localSheetId="18">#REF!</definedName>
    <definedName name="生产期8">#REF!</definedName>
    <definedName name="生产期9" localSheetId="0">#REF!</definedName>
    <definedName name="生产期9" localSheetId="14">#REF!</definedName>
    <definedName name="生产期9" localSheetId="15">#REF!</definedName>
    <definedName name="生产期9" localSheetId="16">#REF!</definedName>
    <definedName name="生产期9" localSheetId="18">#REF!</definedName>
    <definedName name="生产期9">#REF!</definedName>
    <definedName name="狮岩景区工程" localSheetId="0">#REF!</definedName>
    <definedName name="狮岩景区工程" localSheetId="14">#REF!</definedName>
    <definedName name="狮岩景区工程" localSheetId="15">#REF!</definedName>
    <definedName name="狮岩景区工程" localSheetId="16">#REF!</definedName>
    <definedName name="狮岩景区工程" localSheetId="18">#REF!</definedName>
    <definedName name="狮岩景区工程">#REF!</definedName>
    <definedName name="十方工业集中区" localSheetId="0">#REF!</definedName>
    <definedName name="十方工业集中区" localSheetId="14">#REF!</definedName>
    <definedName name="十方工业集中区" localSheetId="15">#REF!</definedName>
    <definedName name="十方工业集中区" localSheetId="16">#REF!</definedName>
    <definedName name="十方工业集中区" localSheetId="18">#REF!</definedName>
    <definedName name="十方工业集中区">#REF!</definedName>
    <definedName name="十方消防站" localSheetId="0">#REF!</definedName>
    <definedName name="十方消防站" localSheetId="14">#REF!</definedName>
    <definedName name="十方消防站" localSheetId="15">#REF!</definedName>
    <definedName name="十方消防站" localSheetId="16">#REF!</definedName>
    <definedName name="十方消防站" localSheetId="18">#REF!</definedName>
    <definedName name="十方消防站">#REF!</definedName>
    <definedName name="市政建设" localSheetId="0">#REF!</definedName>
    <definedName name="市政建设" localSheetId="14">#REF!</definedName>
    <definedName name="市政建设" localSheetId="15">#REF!</definedName>
    <definedName name="市政建设" localSheetId="16">#REF!</definedName>
    <definedName name="市政建设" localSheetId="18">#REF!</definedName>
    <definedName name="市政建设">#REF!</definedName>
    <definedName name="收储资金" localSheetId="0">#REF!</definedName>
    <definedName name="收储资金" localSheetId="14">#REF!</definedName>
    <definedName name="收储资金" localSheetId="15">#REF!</definedName>
    <definedName name="收储资金" localSheetId="16">#REF!</definedName>
    <definedName name="收储资金" localSheetId="18">#REF!</definedName>
    <definedName name="收储资金">#REF!</definedName>
    <definedName name="水源建设" localSheetId="0">#REF!</definedName>
    <definedName name="水源建设" localSheetId="14">#REF!</definedName>
    <definedName name="水源建设" localSheetId="15">#REF!</definedName>
    <definedName name="水源建设" localSheetId="16">#REF!</definedName>
    <definedName name="水源建设" localSheetId="18">#REF!</definedName>
    <definedName name="水源建设">#REF!</definedName>
    <definedName name="台湾新村" localSheetId="0">#REF!</definedName>
    <definedName name="台湾新村" localSheetId="14">#REF!</definedName>
    <definedName name="台湾新村" localSheetId="15">#REF!</definedName>
    <definedName name="台湾新村" localSheetId="16">#REF!</definedName>
    <definedName name="台湾新村" localSheetId="18">#REF!</definedName>
    <definedName name="台湾新村">#REF!</definedName>
    <definedName name="万星影视城" localSheetId="0">#REF!</definedName>
    <definedName name="万星影视城" localSheetId="14">#REF!</definedName>
    <definedName name="万星影视城" localSheetId="15">#REF!</definedName>
    <definedName name="万星影视城" localSheetId="16">#REF!</definedName>
    <definedName name="万星影视城" localSheetId="18">#REF!</definedName>
    <definedName name="万星影视城">#REF!</definedName>
    <definedName name="武平大道" localSheetId="0">#REF!</definedName>
    <definedName name="武平大道" localSheetId="14">#REF!</definedName>
    <definedName name="武平大道" localSheetId="15">#REF!</definedName>
    <definedName name="武平大道" localSheetId="16">#REF!</definedName>
    <definedName name="武平大道" localSheetId="18">#REF!</definedName>
    <definedName name="武平大道">#REF!</definedName>
    <definedName name="县工业园区" localSheetId="0">#REF!</definedName>
    <definedName name="县工业园区" localSheetId="14">#REF!</definedName>
    <definedName name="县工业园区" localSheetId="15">#REF!</definedName>
    <definedName name="县工业园区" localSheetId="16">#REF!</definedName>
    <definedName name="县工业园区" localSheetId="18">#REF!</definedName>
    <definedName name="县工业园区">#REF!</definedName>
    <definedName name="岩前工业集中区" localSheetId="0">#REF!</definedName>
    <definedName name="岩前工业集中区" localSheetId="14">#REF!</definedName>
    <definedName name="岩前工业集中区" localSheetId="15">#REF!</definedName>
    <definedName name="岩前工业集中区" localSheetId="16">#REF!</definedName>
    <definedName name="岩前工业集中区" localSheetId="18">#REF!</definedName>
    <definedName name="岩前工业集中区">#REF!</definedName>
    <definedName name="一园二区" localSheetId="0">#REF!</definedName>
    <definedName name="一园二区" localSheetId="14">#REF!</definedName>
    <definedName name="一园二区" localSheetId="15">#REF!</definedName>
    <definedName name="一园二区" localSheetId="16">#REF!</definedName>
    <definedName name="一园二区" localSheetId="18">#REF!</definedName>
    <definedName name="一园二区">#REF!</definedName>
    <definedName name="预算汇总表" localSheetId="0">[1]按类别!$A$52564</definedName>
    <definedName name="预算汇总表" localSheetId="16">[1]按类别!$A$52564</definedName>
    <definedName name="预算汇总表">[2]按类别!$A$52564</definedName>
    <definedName name="园丁桥" localSheetId="0">#REF!</definedName>
    <definedName name="园丁桥" localSheetId="14">#REF!</definedName>
    <definedName name="园丁桥" localSheetId="15">#REF!</definedName>
    <definedName name="园丁桥" localSheetId="16">#REF!</definedName>
    <definedName name="园丁桥" localSheetId="18">#REF!</definedName>
    <definedName name="园丁桥">#REF!</definedName>
    <definedName name="政府融资还本付息" localSheetId="0">#REF!</definedName>
    <definedName name="政府融资还本付息" localSheetId="14">#REF!</definedName>
    <definedName name="政府融资还本付息" localSheetId="15">#REF!</definedName>
    <definedName name="政府融资还本付息" localSheetId="16">#REF!</definedName>
    <definedName name="政府融资还本付息" localSheetId="18">#REF!</definedName>
    <definedName name="政府融资还本付息">#REF!</definedName>
    <definedName name="中心粮库" localSheetId="0">#REF!</definedName>
    <definedName name="中心粮库" localSheetId="14">#REF!</definedName>
    <definedName name="中心粮库" localSheetId="15">#REF!</definedName>
    <definedName name="中心粮库" localSheetId="16">#REF!</definedName>
    <definedName name="中心粮库" localSheetId="18">#REF!</definedName>
    <definedName name="中心粮库">#REF!</definedName>
    <definedName name="전" localSheetId="0">#REF!</definedName>
    <definedName name="전" localSheetId="14">#REF!</definedName>
    <definedName name="전" localSheetId="15">#REF!</definedName>
    <definedName name="전" localSheetId="16">#REF!</definedName>
    <definedName name="전" localSheetId="18">#REF!</definedName>
    <definedName name="전">#REF!</definedName>
    <definedName name="주택사업본부" localSheetId="0">#REF!</definedName>
    <definedName name="주택사업본부" localSheetId="14">#REF!</definedName>
    <definedName name="주택사업본부" localSheetId="15">#REF!</definedName>
    <definedName name="주택사업본부" localSheetId="16">#REF!</definedName>
    <definedName name="주택사업본부" localSheetId="18">#REF!</definedName>
    <definedName name="주택사업본부">#REF!</definedName>
    <definedName name="철구사업본부" localSheetId="0">#REF!</definedName>
    <definedName name="철구사업본부" localSheetId="14">#REF!</definedName>
    <definedName name="철구사업본부" localSheetId="15">#REF!</definedName>
    <definedName name="철구사업본부" localSheetId="16">#REF!</definedName>
    <definedName name="철구사업본부" localSheetId="18">#REF!</definedName>
    <definedName name="철구사업본부">#REF!</definedName>
    <definedName name="_xlnm.Print_Area" localSheetId="0">'1 收支平衡表'!$A$1:$E$11</definedName>
    <definedName name="BM8_SelectZBM.BM8_ZBMChangeKMM" localSheetId="9">[10]!BM8_SelectZBM.BM8_ZBMChangeKMM</definedName>
    <definedName name="BM8_SelectZBM.BM8_ZBMminusOption" localSheetId="9">[10]!BM8_SelectZBM.BM8_ZBMminusOption</definedName>
    <definedName name="BM8_SelectZBM.BM8_ZBMSumOption" localSheetId="9">[10]!BM8_SelectZBM.BM8_ZBMSumOption</definedName>
    <definedName name="Last_Row" localSheetId="9">IF('[14]15.商品和服务支出'!Values_Entered,Header_Row+'[14]15.商品和服务支出'!Number_of_Payments,Header_Row)</definedName>
    <definedName name="MmExcelLinker_4795041E_1062_4A6D_901F_4306994608A4" localSheetId="9">'[18]S19、A0 and JC22 BCM PIN V1.0'!M14-BCM-[19]ATECH编辑20090309!$B$51:$B$53</definedName>
    <definedName name="Module.Prix_SMC" localSheetId="9">'[14]10.2021.总支出'!Module.Prix_SMC</definedName>
    <definedName name="Payment_Date" localSheetId="9">DATE(YEAR(Loan_Start),MONTH(Loan_Start)+Payment_Number,DAY(Loan_Start))</definedName>
    <definedName name="_xlnm.Print_Area" localSheetId="9">对个人和家庭补助!$A$1:$BD$213</definedName>
    <definedName name="Print_Area_Reset" localSheetId="9">OFFSET(Full_Print,0,0,Last_Row)</definedName>
    <definedName name="_xlnm.Print_Titles" localSheetId="9">对个人和家庭补助!$1:$4</definedName>
    <definedName name="Prix_SMC" localSheetId="9">'[14]10.2021.总支出'!Prix_SMC</definedName>
    <definedName name="Total_Payment" localSheetId="9">Scheduled_Payment+Extra_Payment</definedName>
    <definedName name="寄宿制学校" localSheetId="9">'[14]10.2021.总支出'!寄宿制学校</definedName>
    <definedName name="简单快乐福建" localSheetId="9">'[14]10.2021.总支出'!简单快乐福建</definedName>
    <definedName name="_PA7" localSheetId="13">#REF!</definedName>
    <definedName name="_PA8" localSheetId="13">#REF!</definedName>
    <definedName name="_PD1" localSheetId="13">#REF!</definedName>
    <definedName name="_PE12" localSheetId="13">#REF!</definedName>
    <definedName name="_PE13" localSheetId="13">#REF!</definedName>
    <definedName name="_PE6" localSheetId="13">#REF!</definedName>
    <definedName name="_PE7" localSheetId="13">#REF!</definedName>
    <definedName name="_PE8" localSheetId="13">#REF!</definedName>
    <definedName name="_PE9" localSheetId="13">#REF!</definedName>
    <definedName name="_PH1" localSheetId="13">#REF!</definedName>
    <definedName name="_PI1" localSheetId="13">#REF!</definedName>
    <definedName name="_PK1" localSheetId="13">#REF!</definedName>
    <definedName name="_PK3" localSheetId="13">#REF!</definedName>
    <definedName name="“法院”资金明细表" localSheetId="13">#REF!</definedName>
    <definedName name="“检察院”资金明细表" localSheetId="13">#REF!</definedName>
    <definedName name="Alpha" localSheetId="13">#REF!</definedName>
    <definedName name="Anzahl_1" localSheetId="13">#REF!</definedName>
    <definedName name="Anzahl_2" localSheetId="13">#REF!</definedName>
    <definedName name="Beg_Bal" localSheetId="13">#REF!</definedName>
    <definedName name="Bust" localSheetId="13">#REF!</definedName>
    <definedName name="Continue" localSheetId="13">#REF!</definedName>
    <definedName name="Data" localSheetId="13">#REF!</definedName>
    <definedName name="Database" localSheetId="13" hidden="1">#REF!</definedName>
    <definedName name="Documents_array" localSheetId="13">#REF!</definedName>
    <definedName name="Duty" localSheetId="13">#REF!</definedName>
    <definedName name="End_Bal" localSheetId="13">#REF!</definedName>
    <definedName name="Extra_Pay" localSheetId="13">#REF!</definedName>
    <definedName name="Full_Print" localSheetId="13">#REF!</definedName>
    <definedName name="Header_Row" localSheetId="13">ROW(#REF!)</definedName>
    <definedName name="Hello" localSheetId="13">#REF!</definedName>
    <definedName name="hhhh" localSheetId="13">#REF!</definedName>
    <definedName name="Ieff" localSheetId="13">#REF!</definedName>
    <definedName name="Imax" localSheetId="13">#REF!</definedName>
    <definedName name="Int" localSheetId="13">#REF!</definedName>
    <definedName name="Interest_Rate" localSheetId="13">#REF!</definedName>
    <definedName name="K_Imax" localSheetId="13">#REF!</definedName>
    <definedName name="Loan_Amount" localSheetId="13">#REF!</definedName>
    <definedName name="Loan_Start" localSheetId="13">#REF!</definedName>
    <definedName name="Loan_Years" localSheetId="13">#REF!</definedName>
    <definedName name="LTol" localSheetId="13">#REF!</definedName>
    <definedName name="MakeIt" localSheetId="13">#REF!</definedName>
    <definedName name="Morning" localSheetId="13">#REF!</definedName>
    <definedName name="N" localSheetId="13">#REF!</definedName>
    <definedName name="NDev" localSheetId="13">#REF!</definedName>
    <definedName name="Num_Pmt_Per_Year" localSheetId="13">#REF!</definedName>
    <definedName name="Number_of_Payments" localSheetId="13">MATCH(0.01,End_Bal,-1)+1</definedName>
    <definedName name="On" localSheetId="13">#REF!</definedName>
    <definedName name="P_Mos_Ges_1" localSheetId="13">#REF!</definedName>
    <definedName name="P_Mos_ges_2" localSheetId="13">#REF!</definedName>
    <definedName name="P_pro_Mos_1" localSheetId="13">#REF!</definedName>
    <definedName name="P_pro_Mos_2" localSheetId="13">#REF!</definedName>
    <definedName name="Pay_Date" localSheetId="13">#REF!</definedName>
    <definedName name="Pay_Num" localSheetId="13">#REF!</definedName>
    <definedName name="Payment_Date" localSheetId="13">DATE(YEAR(Loan_Start),MONTH(Loan_Start)+Payment_Number,DAY(Loan_Start))</definedName>
    <definedName name="Poppy" localSheetId="13">#REF!</definedName>
    <definedName name="Princ" localSheetId="13">#REF!</definedName>
    <definedName name="_xlnm.Print_Area" localSheetId="13">'无法列入2023年初预算 '!$A$1:$F$65</definedName>
    <definedName name="Print_Area_MI" localSheetId="13">#REF!</definedName>
    <definedName name="Print_Area_Reset" localSheetId="13">OFFSET(Full_Print,0,0,Last_Row)</definedName>
    <definedName name="_xlnm.Print_Titles" localSheetId="13">'无法列入2023年初预算 '!$1:$2</definedName>
    <definedName name="Pv" localSheetId="13">#REF!</definedName>
    <definedName name="RDSon_25_1" localSheetId="13">#REF!</definedName>
    <definedName name="RDSon_25_2" localSheetId="13">#REF!</definedName>
    <definedName name="RDSon_Last_1" localSheetId="13">#REF!</definedName>
    <definedName name="RDSon_Last_2" localSheetId="13">#REF!</definedName>
    <definedName name="Ron" localSheetId="13">#REF!</definedName>
    <definedName name="Rth_H" localSheetId="13">#REF!</definedName>
    <definedName name="Rth_JA" localSheetId="13">#REF!</definedName>
    <definedName name="Rth_JC" localSheetId="13">#REF!</definedName>
    <definedName name="RTHca" localSheetId="13">#REF!</definedName>
    <definedName name="RTHjc" localSheetId="13">#REF!</definedName>
    <definedName name="Sched_Pay" localSheetId="13">#REF!</definedName>
    <definedName name="Scheduled_Extra_Payments" localSheetId="13">#REF!</definedName>
    <definedName name="Scheduled_Interest_Rate" localSheetId="13">#REF!</definedName>
    <definedName name="Scheduled_Monthly_Payment" localSheetId="13">#REF!</definedName>
    <definedName name="Strom_1" localSheetId="13">#REF!</definedName>
    <definedName name="Strom_2" localSheetId="13">#REF!</definedName>
    <definedName name="SUB75N05_06" localSheetId="13">#REF!</definedName>
    <definedName name="Temp_25" localSheetId="13">#REF!</definedName>
    <definedName name="Ti" localSheetId="13">#REF!</definedName>
    <definedName name="Tj" localSheetId="13">#REF!</definedName>
    <definedName name="TMos_ges_1" localSheetId="13">#REF!</definedName>
    <definedName name="TMos_ges_2" localSheetId="13">#REF!</definedName>
    <definedName name="Total_Interest" localSheetId="13">#REF!</definedName>
    <definedName name="Total_Pay" localSheetId="13">#REF!</definedName>
    <definedName name="Total_Payment" localSheetId="13">Scheduled_Payment+Extra_Payment</definedName>
    <definedName name="Tu" localSheetId="13">#REF!</definedName>
    <definedName name="TUmax" localSheetId="13">#REF!</definedName>
    <definedName name="Un" localSheetId="13">#REF!</definedName>
    <definedName name="Values_Entered" localSheetId="13">IF(Loan_Amount*Interest_Rate*Loan_Years*Loan_Start&gt;0,1,0)</definedName>
    <definedName name="ww" localSheetId="13">#REF!</definedName>
    <definedName name="Zustand1" localSheetId="13">#REF!</definedName>
    <definedName name="Zustand2" localSheetId="13">#REF!</definedName>
    <definedName name="北河西路" localSheetId="13">#REF!</definedName>
    <definedName name="标准厂房代建款" localSheetId="13">#REF!</definedName>
    <definedName name="表" localSheetId="13">#REF!</definedName>
    <definedName name="不锈钢产业" localSheetId="13">#REF!</definedName>
    <definedName name="处罚事项1" localSheetId="13">#REF!</definedName>
    <definedName name="档案馆" localSheetId="13">#REF!</definedName>
    <definedName name="第九期旧改" localSheetId="13">#REF!</definedName>
    <definedName name="东环路扩建项目" localSheetId="13">#REF!</definedName>
    <definedName name="东门市场改扩建" localSheetId="13">#REF!</definedName>
    <definedName name="额外全额" localSheetId="13">IF(Values_Entered,Header_Row+Number_of_Payments,Header_Row)</definedName>
    <definedName name="福利中心" localSheetId="13">#REF!</definedName>
    <definedName name="工商大楼征迁" localSheetId="13">#REF!</definedName>
    <definedName name="公安局" localSheetId="13">#REF!</definedName>
    <definedName name="公路建设" localSheetId="13">#REF!</definedName>
    <definedName name="公墓地" localSheetId="13">#REF!</definedName>
    <definedName name="古武高速公路项目" localSheetId="13">#REF!</definedName>
    <definedName name="广告商档案" localSheetId="13">#REF!</definedName>
    <definedName name="汇率" localSheetId="13">#REF!</definedName>
    <definedName name="教育资金农田水利建设资金计提" localSheetId="13">#REF!</definedName>
    <definedName name="借用" localSheetId="13">#REF!</definedName>
    <definedName name="借用1" localSheetId="13">#REF!</definedName>
    <definedName name="客都汇旅游综合体至梁野山景区入口公路改造和绿化提升工程" localSheetId="13">#REF!</definedName>
    <definedName name="客家生态文化城" localSheetId="13">#REF!</definedName>
    <definedName name="梁野大道" localSheetId="13">#REF!</definedName>
    <definedName name="梁野山及旅游综合体" localSheetId="13">#REF!</definedName>
    <definedName name="龙洲公司及关联公司" localSheetId="13">#REF!</definedName>
    <definedName name="宁象公路" localSheetId="13">#REF!</definedName>
    <definedName name="农业土地开发资金" localSheetId="13">#REF!</definedName>
    <definedName name="平川镇工作经费" localSheetId="13">#REF!</definedName>
    <definedName name="平通路平通桥" localSheetId="13">#REF!</definedName>
    <definedName name="企业基础设施建设补助明细表" localSheetId="13">#REF!</definedName>
    <definedName name="人武部" localSheetId="13">#REF!</definedName>
    <definedName name="生产列1" localSheetId="13">#REF!</definedName>
    <definedName name="生产列11" localSheetId="13">#REF!</definedName>
    <definedName name="生产列15" localSheetId="13">#REF!</definedName>
    <definedName name="生产列16" localSheetId="13">#REF!</definedName>
    <definedName name="生产列17" localSheetId="13">#REF!</definedName>
    <definedName name="生产列19" localSheetId="13">#REF!</definedName>
    <definedName name="生产列2" localSheetId="13">#REF!</definedName>
    <definedName name="生产列20" localSheetId="13">#REF!</definedName>
    <definedName name="生产列3" localSheetId="13">#REF!</definedName>
    <definedName name="生产列4" localSheetId="13">#REF!</definedName>
    <definedName name="生产列5" localSheetId="13">#REF!</definedName>
    <definedName name="生产列6" localSheetId="13">#REF!</definedName>
    <definedName name="生产列7" localSheetId="13">#REF!</definedName>
    <definedName name="生产列8" localSheetId="13">#REF!</definedName>
    <definedName name="生产列9" localSheetId="13">#REF!</definedName>
    <definedName name="生产期" localSheetId="13">#REF!</definedName>
    <definedName name="生产期1" localSheetId="13">#REF!</definedName>
    <definedName name="生产期11" localSheetId="13">#REF!</definedName>
    <definedName name="生产期15" localSheetId="13">#REF!</definedName>
    <definedName name="生产期16" localSheetId="13">#REF!</definedName>
    <definedName name="生产期17" localSheetId="13">#REF!</definedName>
    <definedName name="生产期19" localSheetId="13">#REF!</definedName>
    <definedName name="生产期2" localSheetId="13">#REF!</definedName>
    <definedName name="生产期20" localSheetId="13">#REF!</definedName>
    <definedName name="生产期3" localSheetId="13">#REF!</definedName>
    <definedName name="生产期4" localSheetId="13">#REF!</definedName>
    <definedName name="生产期5" localSheetId="13">#REF!</definedName>
    <definedName name="生产期6" localSheetId="13">#REF!</definedName>
    <definedName name="生产期7" localSheetId="13">#REF!</definedName>
    <definedName name="生产期8" localSheetId="13">#REF!</definedName>
    <definedName name="生产期9" localSheetId="13">#REF!</definedName>
    <definedName name="狮岩景区工程" localSheetId="13">#REF!</definedName>
    <definedName name="十方工业集中区" localSheetId="13">#REF!</definedName>
    <definedName name="十方消防站" localSheetId="13">#REF!</definedName>
    <definedName name="市政建设" localSheetId="13">#REF!</definedName>
    <definedName name="收储资金" localSheetId="13">#REF!</definedName>
    <definedName name="水源建设" localSheetId="13">#REF!</definedName>
    <definedName name="台湾新村" localSheetId="13">#REF!</definedName>
    <definedName name="万星影视城" localSheetId="13">#REF!</definedName>
    <definedName name="武平大道" localSheetId="13">#REF!</definedName>
    <definedName name="县工业园区" localSheetId="13">#REF!</definedName>
    <definedName name="岩前工业集中区" localSheetId="13">#REF!</definedName>
    <definedName name="一园二区" localSheetId="13">#REF!</definedName>
    <definedName name="园丁桥" localSheetId="13">#REF!</definedName>
    <definedName name="政府融资还本付息" localSheetId="13">#REF!</definedName>
    <definedName name="中心粮库" localSheetId="13">#REF!</definedName>
    <definedName name="전" localSheetId="13">#REF!</definedName>
    <definedName name="주택사업본부" localSheetId="13">#REF!</definedName>
    <definedName name="철구사업본부" localSheetId="13">#REF!</definedName>
    <definedName name="Last_Row" localSheetId="7">IF('[14]15.商品和服务支出'!Values_Entered,Header_Row+'[14]15.商品和服务支出'!Number_of_Payments,Header_Row)</definedName>
    <definedName name="MmExcelLinker_4795041E_1062_4A6D_901F_4306994608A4" localSheetId="7">'[18]S19、A0 and JC22 BCM PIN V1.0'!M14-BCM-[19]ATECH编辑20090309!$B$51:$B$53</definedName>
    <definedName name="Number_of_Payments" localSheetId="7">MATCH(0.01,End_Bal,-1)+1</definedName>
    <definedName name="Payment_Date" localSheetId="7">DATE(YEAR(Loan_Start),MONTH(Loan_Start)+Payment_Number,DAY(Loan_Start))</definedName>
    <definedName name="_xlnm.Print_Area" localSheetId="7">'工资福利 （事业人员）'!$A$1:$BS$313</definedName>
    <definedName name="Print_Area_Reset" localSheetId="7">OFFSET(Full_Print,0,0,Last_Row)</definedName>
    <definedName name="_xlnm.Print_Titles" localSheetId="7">'工资福利 （事业人员）'!$1:$5</definedName>
    <definedName name="Total_Payment" localSheetId="7">Scheduled_Payment+Extra_Payment</definedName>
    <definedName name="Values_Entered" localSheetId="7">IF(Loan_Amount*Interest_Rate*Loan_Years*Loan_Start&gt;0,1,0)</definedName>
    <definedName name="额外全额" localSheetId="7">IF(Values_Entered,Header_Row+Number_of_Payments,Header_Row)</definedName>
    <definedName name="Last_Row" localSheetId="8">IF('[14]15.商品和服务支出'!Values_Entered,Header_Row+'[14]15.商品和服务支出'!Number_of_Payments,Header_Row)</definedName>
    <definedName name="MmExcelLinker_4795041E_1062_4A6D_901F_4306994608A4" localSheetId="8">'[18]S19、A0 and JC22 BCM PIN V1.0'!M14-BCM-[19]ATECH编辑20090309!$B$51:$B$53</definedName>
    <definedName name="Number_of_Payments" localSheetId="8">MATCH(0.01,End_Bal,-1)+1</definedName>
    <definedName name="Payment_Date" localSheetId="8">DATE(YEAR(Loan_Start),MONTH(Loan_Start)+Payment_Number,DAY(Loan_Start))</definedName>
    <definedName name="_xlnm.Print_Area" localSheetId="8">'工资福利（年初预算）'!$A$1:$AO$311</definedName>
    <definedName name="Print_Area_Reset" localSheetId="8">OFFSET(Full_Print,0,0,Last_Row)</definedName>
    <definedName name="_xlnm.Print_Titles" localSheetId="8">'工资福利（年初预算）'!$1:$6</definedName>
    <definedName name="Total_Payment" localSheetId="8">Scheduled_Payment+Extra_Payment</definedName>
    <definedName name="Values_Entered" localSheetId="8">IF(Loan_Amount*Interest_Rate*Loan_Years*Loan_Start&gt;0,1,0)</definedName>
    <definedName name="额外全额" localSheetId="8">IF(Values_Entered,Header_Row+Number_of_Payments,Header_Row)</definedName>
    <definedName name="_xlnm._FilterDatabase" localSheetId="0" hidden="1">#REF!</definedName>
    <definedName name="_xlnm._FilterDatabase" localSheetId="14" hidden="1">#REF!</definedName>
    <definedName name="_xlnm._FilterDatabase" localSheetId="15" hidden="1">#REF!</definedName>
    <definedName name="_xlnm._FilterDatabase" localSheetId="16" hidden="1">#REF!</definedName>
    <definedName name="_xlnm._FilterDatabase" localSheetId="18" hidden="1">#REF!</definedName>
    <definedName name="_xlnm.Print_Titles" localSheetId="19">存量安排的支出!$2:$4</definedName>
    <definedName name="_xlnm.Print_Area" localSheetId="19">存量安排的支出!$A$1:$K$121</definedName>
    <definedName name="_xlnm.Print_Area" localSheetId="21">'10 新增专项债券资金用途特殊调整情况表'!$A$1:$G$38</definedName>
    <definedName name="_xlnm.Print_Area" localSheetId="16">'7 基金支出'!$A$1:$G$15</definedName>
  </definedNames>
  <calcPr calcId="144525"/>
</workbook>
</file>

<file path=xl/comments1.xml><?xml version="1.0" encoding="utf-8"?>
<comments xmlns="http://schemas.openxmlformats.org/spreadsheetml/2006/main">
  <authors>
    <author>Administrator</author>
  </authors>
  <commentList>
    <comment ref="Z146" authorId="0">
      <text>
        <r>
          <rPr>
            <b/>
            <sz val="9"/>
            <rFont val="宋体"/>
            <charset val="134"/>
          </rPr>
          <t>Administrator:</t>
        </r>
        <r>
          <rPr>
            <sz val="9"/>
            <rFont val="宋体"/>
            <charset val="134"/>
          </rPr>
          <t xml:space="preserve">
挂暂付款12000万元，调减1050万元</t>
        </r>
      </text>
    </comment>
    <comment ref="AF146" authorId="0">
      <text>
        <r>
          <rPr>
            <b/>
            <sz val="9"/>
            <rFont val="宋体"/>
            <charset val="134"/>
          </rPr>
          <t>Administrator:</t>
        </r>
        <r>
          <rPr>
            <sz val="9"/>
            <rFont val="宋体"/>
            <charset val="134"/>
          </rPr>
          <t xml:space="preserve">
调减支出，列入2024年预算</t>
        </r>
      </text>
    </comment>
  </commentList>
</comments>
</file>

<file path=xl/comments2.xml><?xml version="1.0" encoding="utf-8"?>
<comments xmlns="http://schemas.openxmlformats.org/spreadsheetml/2006/main">
  <authors>
    <author>Administrator</author>
  </authors>
  <commentList>
    <comment ref="AW5" authorId="0">
      <text>
        <r>
          <rPr>
            <b/>
            <sz val="9"/>
            <rFont val="宋体"/>
            <charset val="134"/>
          </rPr>
          <t>Administrator:</t>
        </r>
        <r>
          <rPr>
            <sz val="9"/>
            <rFont val="宋体"/>
            <charset val="134"/>
          </rPr>
          <t xml:space="preserve">
2021年第四季度+2022年整年，未列入预算的金额</t>
        </r>
      </text>
    </comment>
  </commentList>
</comments>
</file>

<file path=xl/sharedStrings.xml><?xml version="1.0" encoding="utf-8"?>
<sst xmlns="http://schemas.openxmlformats.org/spreadsheetml/2006/main" count="4440">
  <si>
    <t>附件1</t>
  </si>
  <si>
    <t>2023年县本级一般公共预算收支平衡表</t>
  </si>
  <si>
    <t>单位：万元</t>
  </si>
  <si>
    <t>项   目</t>
  </si>
  <si>
    <t>年初预算数</t>
  </si>
  <si>
    <t>增减情况</t>
  </si>
  <si>
    <t>预算调整数</t>
  </si>
  <si>
    <t>备注</t>
  </si>
  <si>
    <t>一、一般公共预算总财力</t>
  </si>
  <si>
    <t>详见2023年县级一般公共预算财力预算调整表</t>
  </si>
  <si>
    <t>二、一般公共预算总支出</t>
  </si>
  <si>
    <t xml:space="preserve">   1.一般公共预算支出</t>
  </si>
  <si>
    <t xml:space="preserve">   2.债务还本支出</t>
  </si>
  <si>
    <t xml:space="preserve">   3.上解支出</t>
  </si>
  <si>
    <t xml:space="preserve">   4.调出资金（专项债券还本、付息、付费）</t>
  </si>
  <si>
    <t>三、财政收支平衡</t>
  </si>
  <si>
    <t>调减</t>
  </si>
  <si>
    <t>已支出</t>
  </si>
  <si>
    <t>隐债本金</t>
  </si>
  <si>
    <t>项目支出调减</t>
  </si>
  <si>
    <t>教师绩效奖</t>
  </si>
  <si>
    <t>商品服务支出</t>
  </si>
  <si>
    <t>合计</t>
  </si>
  <si>
    <t>附件2</t>
  </si>
  <si>
    <t>2023年县本级一般公共预算财力预算调整表</t>
  </si>
  <si>
    <t>项     目</t>
  </si>
  <si>
    <t>调整预算说明</t>
  </si>
  <si>
    <t>一、县级一般预算收入</t>
  </si>
  <si>
    <t>二、上级转移性支付补助收入</t>
  </si>
  <si>
    <t xml:space="preserve">   1.返还性收入</t>
  </si>
  <si>
    <t xml:space="preserve">   2.均衡性转移支付补助收入</t>
  </si>
  <si>
    <t>闽财预指〔2022〕36号、闽财预指〔2023〕12号</t>
  </si>
  <si>
    <t xml:space="preserve">   3.调整工资和养老保险制度改革转移支付</t>
  </si>
  <si>
    <t>闽财预指〔2022〕27号</t>
  </si>
  <si>
    <t xml:space="preserve">   4.津贴补贴转移支付</t>
  </si>
  <si>
    <t>闽财预指〔2022〕25号</t>
  </si>
  <si>
    <t xml:space="preserve">   5.农业转移人口市民化奖励资金</t>
  </si>
  <si>
    <t>闽财预指〔2022〕32号、闽财预指〔2023〕11号</t>
  </si>
  <si>
    <t xml:space="preserve">   6.县级基本财力保障机制奖补</t>
  </si>
  <si>
    <t>龙财预指〔2022〕12号、闽财预指〔2022〕34号</t>
  </si>
  <si>
    <t xml:space="preserve">   7.农村综合改革转移支付收入</t>
  </si>
  <si>
    <t>闽财农指〔2022〕87号、闽财预指〔2022〕21号、闽财预指〔2022〕23号</t>
  </si>
  <si>
    <t xml:space="preserve">   8.重点生态功能区转移支付收入</t>
  </si>
  <si>
    <t>闽财预指〔2022〕33号、闽财预指〔2023〕6号</t>
  </si>
  <si>
    <t xml:space="preserve">   9.原中央苏区财力补助收入</t>
  </si>
  <si>
    <t>闽财预指〔2022〕26号</t>
  </si>
  <si>
    <t xml:space="preserve">   10.贫困地区转移支付收入</t>
  </si>
  <si>
    <t>闽财预指〔2022〕30号</t>
  </si>
  <si>
    <t xml:space="preserve">   11.公共安全补助</t>
  </si>
  <si>
    <t>闽财政法指〔2022〕13号</t>
  </si>
  <si>
    <t xml:space="preserve">   12.结算补助收入</t>
  </si>
  <si>
    <t xml:space="preserve">   13.减税降费和留底退税转移支付收入</t>
  </si>
  <si>
    <t>闽财预指〔2022〕14号</t>
  </si>
  <si>
    <t xml:space="preserve">   14.其他转移支付补助收入</t>
  </si>
  <si>
    <t>闽财预〔2012〕168号、闽财预指〔2022〕22号</t>
  </si>
  <si>
    <t>三、上年结余结转收入</t>
  </si>
  <si>
    <t>县本级可统筹部分</t>
  </si>
  <si>
    <t>四、债务转贷收入（新增债券）</t>
  </si>
  <si>
    <t>五、债务转贷收入（置换债券）</t>
  </si>
  <si>
    <t>省厅从一体化下达再融资债券指标，本级预算只体现县本级财力承担的还本支出</t>
  </si>
  <si>
    <t>六、调入资金（基金调入）</t>
  </si>
  <si>
    <t>从政府性基金收入中调入24400万元</t>
  </si>
  <si>
    <t>七、调入资金</t>
  </si>
  <si>
    <t>调入从基本永久农田统筹规划经济补偿金10421万元</t>
  </si>
  <si>
    <t>八、调入资金（专项债券还本、付息、付费）</t>
  </si>
  <si>
    <t>根据上级规定，从政府性基金中调入，用于专项债券还本、付息、付费调账</t>
  </si>
  <si>
    <t>九、调入预算稳定调节基金</t>
  </si>
  <si>
    <t>县级财力合计</t>
  </si>
  <si>
    <t>附件3</t>
  </si>
  <si>
    <t>2023年一般公共预算收入预算调整表</t>
  </si>
  <si>
    <t>预算科目</t>
  </si>
  <si>
    <t>完成年初预算
（%）</t>
  </si>
  <si>
    <t>2022年决算数</t>
  </si>
  <si>
    <t>比上年增减金额</t>
  </si>
  <si>
    <t>与2022年完成数比增减（%）</t>
  </si>
  <si>
    <t>一、地方一般公共预算收入</t>
  </si>
  <si>
    <t>（一）税收收入</t>
  </si>
  <si>
    <t xml:space="preserve">    1.增值税</t>
  </si>
  <si>
    <t xml:space="preserve">    2.企业所得税</t>
  </si>
  <si>
    <t xml:space="preserve">    3.个人所得税</t>
  </si>
  <si>
    <t xml:space="preserve">    4.资源税</t>
  </si>
  <si>
    <t xml:space="preserve">    5.城市维护建设税</t>
  </si>
  <si>
    <t xml:space="preserve">    6.房产税</t>
  </si>
  <si>
    <t xml:space="preserve">    7.印花税</t>
  </si>
  <si>
    <t xml:space="preserve">    8.城镇土地使用税</t>
  </si>
  <si>
    <t xml:space="preserve">    9.土地增值税</t>
  </si>
  <si>
    <t xml:space="preserve">    10.车船税</t>
  </si>
  <si>
    <t xml:space="preserve">    11.耕地占用税</t>
  </si>
  <si>
    <t xml:space="preserve">    12.契税</t>
  </si>
  <si>
    <t xml:space="preserve">    13.烟叶税</t>
  </si>
  <si>
    <t xml:space="preserve">    14.环保税</t>
  </si>
  <si>
    <t xml:space="preserve">    15.其他税收收入</t>
  </si>
  <si>
    <t>（二）非税收入</t>
  </si>
  <si>
    <t xml:space="preserve">    1.专项收入</t>
  </si>
  <si>
    <t xml:space="preserve">    2.行政事业性收费收入</t>
  </si>
  <si>
    <t xml:space="preserve">    3.罚没收入</t>
  </si>
  <si>
    <t xml:space="preserve">    4.国有资本经营收入</t>
  </si>
  <si>
    <t xml:space="preserve">    5.国有资源(资产)有偿使用收入</t>
  </si>
  <si>
    <t xml:space="preserve">    6.捐赠收入</t>
  </si>
  <si>
    <t xml:space="preserve">    7.政府住房基金收入</t>
  </si>
  <si>
    <t xml:space="preserve">    8.其他收入</t>
  </si>
  <si>
    <t>二、上划中央收入</t>
  </si>
  <si>
    <t>　  1.国内增值税</t>
  </si>
  <si>
    <t>　  2.消费税</t>
  </si>
  <si>
    <t>　  3.企业所得税</t>
  </si>
  <si>
    <t>　  4.个人所得税</t>
  </si>
  <si>
    <t xml:space="preserve">    5.车辆购置税</t>
  </si>
  <si>
    <t>一般公共预算收入合计</t>
  </si>
  <si>
    <t xml:space="preserve">   其中：1.税收收入</t>
  </si>
  <si>
    <t xml:space="preserve">       　2.非税收入</t>
  </si>
  <si>
    <t>附件4</t>
  </si>
  <si>
    <t>2023年县本级一般公共预算支出总量预算调整表</t>
  </si>
  <si>
    <t>功能科目编码</t>
  </si>
  <si>
    <t xml:space="preserve">功能科目名称 </t>
  </si>
  <si>
    <t>年初预算</t>
  </si>
  <si>
    <t>增减支情况</t>
  </si>
  <si>
    <t>基本支出</t>
  </si>
  <si>
    <t>项目支出</t>
  </si>
  <si>
    <t>基本支出合计</t>
  </si>
  <si>
    <t>人员经费</t>
  </si>
  <si>
    <t>商品和服务支出</t>
  </si>
  <si>
    <t>人员经费
小计</t>
  </si>
  <si>
    <t>工资福利</t>
  </si>
  <si>
    <t>对个人和家庭的补助</t>
  </si>
  <si>
    <t>2023年当年收到上级</t>
  </si>
  <si>
    <t>总计</t>
  </si>
  <si>
    <t>一般公共服务支出</t>
  </si>
  <si>
    <t>国防支出</t>
  </si>
  <si>
    <t>公共安全支出</t>
  </si>
  <si>
    <t>教育支出</t>
  </si>
  <si>
    <t>科学技术支出</t>
  </si>
  <si>
    <t>文化旅游体育与传媒支出</t>
  </si>
  <si>
    <t>社会保障和就业支出</t>
  </si>
  <si>
    <t>卫生健康支出</t>
  </si>
  <si>
    <t>节能环保支出</t>
  </si>
  <si>
    <t>城乡社区支出</t>
  </si>
  <si>
    <t>农林水支出</t>
  </si>
  <si>
    <t>交通运输支出</t>
  </si>
  <si>
    <t>资源勘探工业信息等支出</t>
  </si>
  <si>
    <t>商业服务业等支出</t>
  </si>
  <si>
    <t>金融支出</t>
  </si>
  <si>
    <t>援助其他地区支出</t>
  </si>
  <si>
    <t>自然资源海洋气象等支出</t>
  </si>
  <si>
    <t>住房保障支出</t>
  </si>
  <si>
    <t>粮油物资储备支出</t>
  </si>
  <si>
    <t>灾害防治及应急管理支出</t>
  </si>
  <si>
    <t>预备费</t>
  </si>
  <si>
    <t>其他支出</t>
  </si>
  <si>
    <t>债务付息支出</t>
  </si>
  <si>
    <t>债务发行费用支出</t>
  </si>
  <si>
    <t>加：债务还本支出</t>
  </si>
  <si>
    <t>加：上解支出</t>
  </si>
  <si>
    <t>加：调出资金（专项债券还本、付息、付费）</t>
  </si>
  <si>
    <t>民生支出占比：</t>
  </si>
  <si>
    <t>调整预算工资福利支出汇总</t>
  </si>
  <si>
    <t>序号</t>
  </si>
  <si>
    <t>支出功能分类</t>
  </si>
  <si>
    <t>预算单位</t>
  </si>
  <si>
    <t>增减支</t>
  </si>
  <si>
    <t>调整后预算</t>
  </si>
  <si>
    <t>公务员、参公人员</t>
  </si>
  <si>
    <t>事业人员</t>
  </si>
  <si>
    <t>工资福利支出</t>
  </si>
  <si>
    <t>社会保障支出</t>
  </si>
  <si>
    <t>一</t>
  </si>
  <si>
    <t>二</t>
  </si>
  <si>
    <t>三</t>
  </si>
  <si>
    <t>四</t>
  </si>
  <si>
    <t>五</t>
  </si>
  <si>
    <t>六</t>
  </si>
  <si>
    <t>七</t>
  </si>
  <si>
    <t>八</t>
  </si>
  <si>
    <t>九</t>
  </si>
  <si>
    <t>十</t>
  </si>
  <si>
    <t>十一</t>
  </si>
  <si>
    <t>十二</t>
  </si>
  <si>
    <t>十三</t>
  </si>
  <si>
    <t>2023年预算内工资福利支出（公务员、参公人员）预算调整明细表</t>
  </si>
  <si>
    <t>财政内部机构</t>
  </si>
  <si>
    <t>单位类别</t>
  </si>
  <si>
    <t>社会保障性支出</t>
  </si>
  <si>
    <t>预算说明</t>
  </si>
  <si>
    <t>国库统发</t>
  </si>
  <si>
    <t>非国库统发</t>
  </si>
  <si>
    <t>小计</t>
  </si>
  <si>
    <t>机关参公在职人员基本工资</t>
  </si>
  <si>
    <t>机关参公在职人员津贴补贴</t>
  </si>
  <si>
    <t>机关参公在职人员年终一次性奖金</t>
  </si>
  <si>
    <t>机关参公在职人员乡镇工作补贴</t>
  </si>
  <si>
    <t>机关参公在职人员行业性津补贴</t>
  </si>
  <si>
    <t>机关参公在职人员基础绩效奖</t>
  </si>
  <si>
    <t>派遣人员工资（含五险一金）</t>
  </si>
  <si>
    <t>其他工资福利支出</t>
  </si>
  <si>
    <t>机关参公未休年休假报酬</t>
  </si>
  <si>
    <t>机关参公在职人员年度绩效奖</t>
  </si>
  <si>
    <t>养老保险 16%</t>
  </si>
  <si>
    <t>医疗保险  8%</t>
  </si>
  <si>
    <t>公务员医疗补助 6%</t>
  </si>
  <si>
    <t>工伤保险 0.2%</t>
  </si>
  <si>
    <t>生育保险 0.6%</t>
  </si>
  <si>
    <t>住房公积金 12%</t>
  </si>
  <si>
    <t>职业年金 8%</t>
  </si>
  <si>
    <t>[05]行政事业股</t>
  </si>
  <si>
    <t>行政机关</t>
  </si>
  <si>
    <t>[101001]武平县人民代表大会常务委员会办公室</t>
  </si>
  <si>
    <t>[2010101]行政运行</t>
  </si>
  <si>
    <t>事业核拨</t>
  </si>
  <si>
    <t>[101002]武平县人大常委会理论研究和代表服务中心</t>
  </si>
  <si>
    <t>[2010150]事业运行</t>
  </si>
  <si>
    <t>[131001]中国人民政治协商会议福建省武平县委员会办公室</t>
  </si>
  <si>
    <t>[2010201]行政运行</t>
  </si>
  <si>
    <t>[131002]武平县政协委员培训服务中心</t>
  </si>
  <si>
    <t>[2010250]事业运行</t>
  </si>
  <si>
    <t>[434001]武平县人民政府办公室</t>
  </si>
  <si>
    <t>[2010301]行政运行</t>
  </si>
  <si>
    <t>[08]企业外经股</t>
  </si>
  <si>
    <t>[435001]武平县行政服务中心管理委员会</t>
  </si>
  <si>
    <t>[205001]武平县人民政府信访局</t>
  </si>
  <si>
    <t>[2010308]信访事务</t>
  </si>
  <si>
    <t>[205002]武平县网络信访服务中心</t>
  </si>
  <si>
    <t>[2010350]事业运行</t>
  </si>
  <si>
    <t>[434002]武平县机关事务服务中心</t>
  </si>
  <si>
    <t>[434004]武平县大数据服务中心</t>
  </si>
  <si>
    <t>[434005]武平县效能建设服务中心</t>
  </si>
  <si>
    <t>[434006]武平县发展研究中心</t>
  </si>
  <si>
    <t>[435002]武平县行政服务保障中心</t>
  </si>
  <si>
    <t>[02]预算股</t>
  </si>
  <si>
    <t>[911001]武平县人民政府平川街道办事处</t>
  </si>
  <si>
    <t>[911005]武平县平川街道社区建设发展中心</t>
  </si>
  <si>
    <t>[912001]武平县城厢镇人民政府</t>
  </si>
  <si>
    <t>[912005]武平县城厢镇乡村振兴服务中心</t>
  </si>
  <si>
    <t>[913001]武平县万安镇人民政府</t>
  </si>
  <si>
    <t>[913005]武平县万安镇乡村振兴服务中心</t>
  </si>
  <si>
    <t>[914001]武平县东留镇人民政府</t>
  </si>
  <si>
    <t>[914005]武平县东留镇乡村振兴服务中心</t>
  </si>
  <si>
    <t>[915001]武平县中山镇人民政府</t>
  </si>
  <si>
    <t>[915005]武平县中山镇乡村振兴服务中心</t>
  </si>
  <si>
    <t>[916001]武平县民主乡人民政府</t>
  </si>
  <si>
    <t>[916005]武平县民主乡乡村振兴服务中心</t>
  </si>
  <si>
    <t>[917001]武平县下坝乡人民政府</t>
  </si>
  <si>
    <t>[917005]武平县下坝乡乡村振兴服务中心</t>
  </si>
  <si>
    <t>[918001]武平县中赤镇人民政府</t>
  </si>
  <si>
    <t>[918005]武平县中赤镇乡村振兴服务中心</t>
  </si>
  <si>
    <t>[919001]武平县岩前镇人民政府</t>
  </si>
  <si>
    <t>[919005]武平县岩前镇乡村振兴服务中心</t>
  </si>
  <si>
    <t>[920001]武平县象洞镇人民政府</t>
  </si>
  <si>
    <t>[920005]武平县象洞镇乡村振兴服务中心</t>
  </si>
  <si>
    <t>[921001]武平县十方镇人民政府</t>
  </si>
  <si>
    <t>[921005]武平县十方镇乡村振兴服务中心</t>
  </si>
  <si>
    <t>[922001]武平县武东镇人民政府</t>
  </si>
  <si>
    <t>[922005]武平县武东镇乡村振兴服务中心</t>
  </si>
  <si>
    <t>[923001]武平县中堡镇人民政府</t>
  </si>
  <si>
    <t>[923005]武平县中堡镇乡村振兴服务中心</t>
  </si>
  <si>
    <t>[924001]武平县永平镇人民政府</t>
  </si>
  <si>
    <t>[924005]武平县永平镇乡村振兴服务中心</t>
  </si>
  <si>
    <t>[925001]武平县桃溪镇人民政府</t>
  </si>
  <si>
    <t>[925005]武平县桃溪镇乡村振兴服务中心</t>
  </si>
  <si>
    <t>[926001]武平县大禾镇人民政府</t>
  </si>
  <si>
    <t>[926005]武平县大禾镇乡村振兴服务中心</t>
  </si>
  <si>
    <t>[927001]武平县湘店镇人民政府</t>
  </si>
  <si>
    <t>[927005]武平县湘店镇乡村振兴服务中心</t>
  </si>
  <si>
    <t>[06]经济发展股</t>
  </si>
  <si>
    <t>[303001]武平县发展和改革局</t>
  </si>
  <si>
    <t>[2010401]行政运行</t>
  </si>
  <si>
    <t>[303003]武平县项目服务中心</t>
  </si>
  <si>
    <t>[2010450]事业运行</t>
  </si>
  <si>
    <t>[303006]武平县苏区振兴发展服务中心</t>
  </si>
  <si>
    <t>[410001]武平县统计局</t>
  </si>
  <si>
    <t>[2010501]行政运行</t>
  </si>
  <si>
    <t>[410002]武平县城市社会经济调查队</t>
  </si>
  <si>
    <t>[410003]武平县农村社会经济调查队</t>
  </si>
  <si>
    <t>[410004]武平县统计局普查中心</t>
  </si>
  <si>
    <t>[410005]武平县统计服务中心</t>
  </si>
  <si>
    <t>[2010550]事业运行</t>
  </si>
  <si>
    <t>[318001]武平县财政局</t>
  </si>
  <si>
    <t>[2010601]行政运行</t>
  </si>
  <si>
    <t>[318003]武平县财政投资评审中心</t>
  </si>
  <si>
    <t>[2010608]财政委托业务支出</t>
  </si>
  <si>
    <t>[318002]武平县财政国库支付中心</t>
  </si>
  <si>
    <t>[2010650]事业运行</t>
  </si>
  <si>
    <t>[318005]武平县乡镇财政服务中心</t>
  </si>
  <si>
    <t>[318006]武平县国资金融中心</t>
  </si>
  <si>
    <t>[318019]武平县预算绩效评价中心</t>
  </si>
  <si>
    <t>[318020]武平县资金统筹服务中心</t>
  </si>
  <si>
    <t>[319001]武平县审计局</t>
  </si>
  <si>
    <t>[2010801]行政运行</t>
  </si>
  <si>
    <t>[319002]武平县审计举报中心</t>
  </si>
  <si>
    <t>[2010850]事业运行</t>
  </si>
  <si>
    <t>[222001]中国共产党武平县纪律检查委员会</t>
  </si>
  <si>
    <t>[2011101]行政运行</t>
  </si>
  <si>
    <t>其他工资福利30万元是监察协作看护辅警补贴</t>
  </si>
  <si>
    <t>[222002]武平县廉政警示教育中心</t>
  </si>
  <si>
    <t>[2011150]事业运行</t>
  </si>
  <si>
    <t>[304001]武平县工业信息化和科学技术局</t>
  </si>
  <si>
    <t>[2011301]行政运行</t>
  </si>
  <si>
    <t>调至206科学技术支出</t>
  </si>
  <si>
    <t>[304009]武平县军民融合项目服务中心</t>
  </si>
  <si>
    <t>[2011350]事业运行</t>
  </si>
  <si>
    <t>[436001]福建武平工业园区管理委员会</t>
  </si>
  <si>
    <t>派遣人员工资：（1500+300+919.28）*8人*12月+（1200+919.28）*6人*12月=41.36万</t>
  </si>
  <si>
    <t>[472001]武平县商务局</t>
  </si>
  <si>
    <t>其他工资福利支出：0.15*3=0.45万元（陈圣文、梁家树、连盛金2022年度考核优秀）</t>
  </si>
  <si>
    <t>[436002]武平工业园区规划发展中心</t>
  </si>
  <si>
    <t>[436003]武平工业园区安全生产和环境保护站</t>
  </si>
  <si>
    <t>[472002]武平县招商服务中心</t>
  </si>
  <si>
    <t>[472003]武平县商务行政执法大队</t>
  </si>
  <si>
    <t>[472004]武平县农村电子商务服务中心</t>
  </si>
  <si>
    <t>[437001]武平高新技术产业园区管理委员会</t>
  </si>
  <si>
    <t>[2011399]其他商贸事务支出</t>
  </si>
  <si>
    <t>[437002]武平高新技术产业园区发展服务中心</t>
  </si>
  <si>
    <t>[437003]武平高新技术产业园区安全生产和环境保护站</t>
  </si>
  <si>
    <t>[241001]武平县档案馆</t>
  </si>
  <si>
    <t>[2012601]行政运行</t>
  </si>
  <si>
    <t>[241002]武平县档案咨询服务中心</t>
  </si>
  <si>
    <t>[2012603]机关服务</t>
  </si>
  <si>
    <t>[714001]武平县工商业联合会</t>
  </si>
  <si>
    <t>[2012801]行政运行</t>
  </si>
  <si>
    <t>其他工资福利支出：考核优秀奖</t>
  </si>
  <si>
    <t>[714002]武平县国际贸易促进服务中心</t>
  </si>
  <si>
    <t>[2012850]事业运行</t>
  </si>
  <si>
    <t>[711001]武平县总工会</t>
  </si>
  <si>
    <t>[2012901]行政运行</t>
  </si>
  <si>
    <t>[712001]中国共产主义青年团武平县委员会</t>
  </si>
  <si>
    <t>[713001]武平县妇女联合会</t>
  </si>
  <si>
    <t>[717001]武平县关心下一代工作委员会</t>
  </si>
  <si>
    <t>[721001]武平县文学艺术界联合会</t>
  </si>
  <si>
    <t>[771001]武平县归国华侨联合会</t>
  </si>
  <si>
    <t>[712002]武平县青少年宫</t>
  </si>
  <si>
    <t>[2012950]事业运行</t>
  </si>
  <si>
    <t>[713002]武平县妇女儿童活动中心</t>
  </si>
  <si>
    <t>[721002]武平县刘亚楼文学院</t>
  </si>
  <si>
    <t>[771002]武平县侨联服务中心</t>
  </si>
  <si>
    <t>[201001]中国共产党武平县委员会办公室</t>
  </si>
  <si>
    <t>[2013101]行政运行</t>
  </si>
  <si>
    <t>[201006]武平县县委县政府接待处</t>
  </si>
  <si>
    <t>[206001]中国共产党武平县委县直机关工作委员会</t>
  </si>
  <si>
    <t>[206002]武平县直机关党建服务中心</t>
  </si>
  <si>
    <t>[2013150]事业运行</t>
  </si>
  <si>
    <t>[207001]中共武平县委精神文明建设办公室</t>
  </si>
  <si>
    <t>[216001]中国共产党武平县委员会政法委员会</t>
  </si>
  <si>
    <t>[201007]武平县政策研究中心</t>
  </si>
  <si>
    <t>[201008]中共武平县委总值班室</t>
  </si>
  <si>
    <t>[201009]武平县保密技术服务中心</t>
  </si>
  <si>
    <t>[201010]武平县电子政务内网和密码技术中心</t>
  </si>
  <si>
    <t>[201011]武平县党建工作协调中心</t>
  </si>
  <si>
    <t>[207002]武平县新时代文明实践中心</t>
  </si>
  <si>
    <t>[207003]武平县未成年人思想道德建设中心</t>
  </si>
  <si>
    <t>[216002]武平县法学研究与综治中心</t>
  </si>
  <si>
    <t>其他工资福利1.63万元补2022年少下达奖励性</t>
  </si>
  <si>
    <t>[203001]中国共产党武平县委员会组织部</t>
  </si>
  <si>
    <t>[2013201]行政运行</t>
  </si>
  <si>
    <t>[203002]武平县干部档案室</t>
  </si>
  <si>
    <t>[203003]武平县人才发展研究中心</t>
  </si>
  <si>
    <t>[2013250]事业运行</t>
  </si>
  <si>
    <t>[203004]武平县党员服务中心</t>
  </si>
  <si>
    <t>[211001]中国共产党武平县委员会宣传部</t>
  </si>
  <si>
    <t>[2013301]行政运行</t>
  </si>
  <si>
    <t>定额补助为电影公司养老定额补助</t>
  </si>
  <si>
    <t>[211002]武平县网络舆情中心</t>
  </si>
  <si>
    <t>[2013350]事业运行</t>
  </si>
  <si>
    <t>[213001]中国共产党武平县委员会统一战线工作部</t>
  </si>
  <si>
    <t>[2013401]行政运行</t>
  </si>
  <si>
    <r>
      <rPr>
        <sz val="10"/>
        <rFont val="宋体"/>
        <charset val="134"/>
        <scheme val="minor"/>
      </rPr>
      <t>[213004]</t>
    </r>
    <r>
      <rPr>
        <sz val="10"/>
        <rFont val="宋体"/>
        <charset val="134"/>
        <scheme val="minor"/>
      </rPr>
      <t>武平县统战事务服务中心</t>
    </r>
  </si>
  <si>
    <t>[2013450]事业运行</t>
  </si>
  <si>
    <t>[204001]中国共产党武平县委员会老干部局</t>
  </si>
  <si>
    <t>[2013601]行政运行</t>
  </si>
  <si>
    <t>[204010]武平县老干部活动中心</t>
  </si>
  <si>
    <t>[225001]中共武平县委机构编制委员会办公室</t>
  </si>
  <si>
    <t>[283001]中共武平县委党史和地方志研究室</t>
  </si>
  <si>
    <t>[204009]武平县老年大学</t>
  </si>
  <si>
    <t>[2013603]机关服务</t>
  </si>
  <si>
    <t>[204006]武平县老年人体育健身服务中心</t>
  </si>
  <si>
    <t>[2013650]事业运行</t>
  </si>
  <si>
    <t>[204011]武平县老干部人民调解服务中心</t>
  </si>
  <si>
    <t>[225003]武平县机构编制信息中心</t>
  </si>
  <si>
    <t>[424001]武平县市场监督管理局</t>
  </si>
  <si>
    <t>[2013801]行政运行</t>
  </si>
  <si>
    <t>[424002]武平县不锈钢技术研发中心</t>
  </si>
  <si>
    <t>[2013850]事业运行</t>
  </si>
  <si>
    <t>[424003]武平县知识产权信息服务中心</t>
  </si>
  <si>
    <t>[424004]武平县质量计量检验检测中心</t>
  </si>
  <si>
    <t>[312001]武平县公安局</t>
  </si>
  <si>
    <t>[2040201]行政运行</t>
  </si>
  <si>
    <t>[312003]武平县公安局交通警察大队</t>
  </si>
  <si>
    <t>[312004]武平县看守所</t>
  </si>
  <si>
    <t>[312006]武平县公安机关服务中心</t>
  </si>
  <si>
    <t>[2040250]事业运行</t>
  </si>
  <si>
    <t>[151001]武平县人民检察院</t>
  </si>
  <si>
    <t>[2040499]其他检察支出</t>
  </si>
  <si>
    <t>[315001]武平县司法局</t>
  </si>
  <si>
    <t>[2040601]行政运行</t>
  </si>
  <si>
    <t>事业自给</t>
  </si>
  <si>
    <t>[315002]福建省武平县公证处</t>
  </si>
  <si>
    <t>[2040650]事业运行</t>
  </si>
  <si>
    <t>[315003]武平县法律援助服务中心</t>
  </si>
  <si>
    <t>[315004]武平县社区矫正中心</t>
  </si>
  <si>
    <t>[813001]中国人民解放军福建省武平县人民武装部</t>
  </si>
  <si>
    <t>[2049999]其他公共安全支出</t>
  </si>
  <si>
    <t>[360001]武平县教育局</t>
  </si>
  <si>
    <t>[2050101]行政运行</t>
  </si>
  <si>
    <t>非义务教育</t>
  </si>
  <si>
    <t>[360002]福建省武平县第一中学</t>
  </si>
  <si>
    <t>[2050204]高中教育</t>
  </si>
  <si>
    <t>[360003]福建省武平县第二中学</t>
  </si>
  <si>
    <t>义务教育</t>
  </si>
  <si>
    <t>[360004]武平县实验小学</t>
  </si>
  <si>
    <t>[2050202]小学教育</t>
  </si>
  <si>
    <t>[360005]武平县教师进修学校附属小学</t>
  </si>
  <si>
    <t>[360006]福建省武平县教师进修学校</t>
  </si>
  <si>
    <t>[2050801]教师进修</t>
  </si>
  <si>
    <t>[360007]武平县特殊教育学校</t>
  </si>
  <si>
    <t>[2050701]特殊学校教育</t>
  </si>
  <si>
    <t>[360008]武平县下坝中心学校</t>
  </si>
  <si>
    <t>[360009]福建省武平职业中专学校</t>
  </si>
  <si>
    <t>[2050302]中等职业教育</t>
  </si>
  <si>
    <t>[360010]武平县大禾中学</t>
  </si>
  <si>
    <t>[2050203]初中教育</t>
  </si>
  <si>
    <t>[360011]武平县大禾中心学校</t>
  </si>
  <si>
    <t>[360012]福建广播电视大学武平县工作站</t>
  </si>
  <si>
    <t>[2050501]广播电视学校</t>
  </si>
  <si>
    <t>[360013]武平县中赤中学</t>
  </si>
  <si>
    <t>[360014]武平县中赤中心学校</t>
  </si>
  <si>
    <t>[360015]武平县中堡中学</t>
  </si>
  <si>
    <t>[360016]福建省武平县湘店中学</t>
  </si>
  <si>
    <t>[360017]武平县民主中心学校</t>
  </si>
  <si>
    <t>[360018]武平县中堡中心学校</t>
  </si>
  <si>
    <t>[360019]武平县十方中心学校</t>
  </si>
  <si>
    <t>[360020]福建省武平县十方中学</t>
  </si>
  <si>
    <t>[360021]武平县教师进修学校附属学校</t>
  </si>
  <si>
    <t>[360022]武平初级中学</t>
  </si>
  <si>
    <t>[360023]武平县东留中心学校</t>
  </si>
  <si>
    <t>[360024]武平县东留初级中学</t>
  </si>
  <si>
    <t>[360025]福建省武平县武东中学</t>
  </si>
  <si>
    <t>[360026]武平县武东中心学校</t>
  </si>
  <si>
    <t>[360027]武平县城厢中心学校</t>
  </si>
  <si>
    <t>[360028]武平县第二实验小学</t>
  </si>
  <si>
    <t>[360029]福建省武平县万安中学</t>
  </si>
  <si>
    <t>[360030]武平县万安中心学校</t>
  </si>
  <si>
    <t>[360031]福建省武平县桃溪中学</t>
  </si>
  <si>
    <t>[360032]武平县桃溪中心学校</t>
  </si>
  <si>
    <t>[360033]武平县实验幼儿园</t>
  </si>
  <si>
    <t>[2050201]学前教育</t>
  </si>
  <si>
    <t>[360034]武平县第三中学</t>
  </si>
  <si>
    <t>[360035]武平县湘店中心学校</t>
  </si>
  <si>
    <t>[360036]武平县永平中心学校</t>
  </si>
  <si>
    <t>[360037]福建省武平县帽村初级中学</t>
  </si>
  <si>
    <t>[360038]武平县中山中学</t>
  </si>
  <si>
    <t>[360039]武平县中山中心学校</t>
  </si>
  <si>
    <t>[360040]武平县象洞初级中学</t>
  </si>
  <si>
    <t>[360041]武平县象洞中心学校</t>
  </si>
  <si>
    <t>[360042]福建省武平县岩前中学</t>
  </si>
  <si>
    <t>[360043]武平县岩前中心学校</t>
  </si>
  <si>
    <t>[360045]武平县中小学生社会实践基地学校</t>
  </si>
  <si>
    <t>[2050299]其他普通教育支出</t>
  </si>
  <si>
    <t>[360046]武平县实验中学</t>
  </si>
  <si>
    <t>[360047]武平县第二实验幼儿园</t>
  </si>
  <si>
    <t>[360048]武平县平川幼儿园</t>
  </si>
  <si>
    <t>[360049]武平县刘亚楼红军小学</t>
  </si>
  <si>
    <t>[360050]武平县文山幼儿园</t>
  </si>
  <si>
    <t>[360051]武平县鼓楼幼儿园</t>
  </si>
  <si>
    <t>[360053]武平县第三实验小学</t>
  </si>
  <si>
    <t>[360055]武平县碧水幼儿园</t>
  </si>
  <si>
    <t>[360056]武平县梁野幼儿园</t>
  </si>
  <si>
    <t>[360057]武平县高新区幼儿园</t>
  </si>
  <si>
    <t>[360058]武平县教师进修学校附属小学集文校区</t>
  </si>
  <si>
    <t>[360059]武平县蓝天幼儿园</t>
  </si>
  <si>
    <t>[360060]武平县启文幼儿园</t>
  </si>
  <si>
    <t>[360101]武平县电化教育中心</t>
  </si>
  <si>
    <t>[2050199]其他教育管理事务支出</t>
  </si>
  <si>
    <t>[360102]武平县招生考试中心</t>
  </si>
  <si>
    <t>[281001]中共武平县委党校</t>
  </si>
  <si>
    <t>[2050802]干部教育</t>
  </si>
  <si>
    <t>[201005]武平县海峡两岸交流基地服务中心</t>
  </si>
  <si>
    <t>[2050899]其他进修及培训</t>
  </si>
  <si>
    <t>[2060101]行政运行</t>
  </si>
  <si>
    <t>[2060199]其他科学技术管理事务支出</t>
  </si>
  <si>
    <t>[731001]福建省武平县科学技术协会</t>
  </si>
  <si>
    <t>[2060701]机构运行</t>
  </si>
  <si>
    <t>[731002]武平县科技馆</t>
  </si>
  <si>
    <t>[357001]武平县文化体育和旅游局</t>
  </si>
  <si>
    <t>[2070101]行政运行</t>
  </si>
  <si>
    <t>[357005]武平县图书馆</t>
  </si>
  <si>
    <t>[2070104]图书馆</t>
  </si>
  <si>
    <t>事业差额</t>
  </si>
  <si>
    <t>[357002]武平县汉剧艺术传承保护中心</t>
  </si>
  <si>
    <t>[2070107]艺术表演团体</t>
  </si>
  <si>
    <t>[357003]武平县文化馆</t>
  </si>
  <si>
    <t>[2070109]群众文化</t>
  </si>
  <si>
    <t>[357007]武平县文化市场综合执法大队</t>
  </si>
  <si>
    <t>[2070112]文化和旅游市场管理</t>
  </si>
  <si>
    <t>[357009]武平县体育中心</t>
  </si>
  <si>
    <t>[2070199]其他文化和旅游支出</t>
  </si>
  <si>
    <t>[357010]武平县旅游质量监督管理所</t>
  </si>
  <si>
    <t>[357011]武平县文物保护服务中心</t>
  </si>
  <si>
    <t>[357013]武平县全域旅游服务中心</t>
  </si>
  <si>
    <t>[357006]武平县博物馆</t>
  </si>
  <si>
    <t>[2070205]博物馆</t>
  </si>
  <si>
    <t>[357004]武平县少年儿童体育学校</t>
  </si>
  <si>
    <t>[2070306]体育训练</t>
  </si>
  <si>
    <t>[211004]武平县融媒体中心</t>
  </si>
  <si>
    <t>[2070899]其他广播电视支出</t>
  </si>
  <si>
    <t>其他工资福利支出为高山艰苦补贴,职业年金为钟干龙自收自支人员及企业化管理事业人员缴纳的职业年金</t>
  </si>
  <si>
    <t>[357008]武平县兴贤坊传统文化街区服务中心</t>
  </si>
  <si>
    <t>[2079999]其他文化旅游体育与传媒支出</t>
  </si>
  <si>
    <t>[10]社保股</t>
  </si>
  <si>
    <t>[323001]武平县人力资源和社会保障局</t>
  </si>
  <si>
    <t>[2080101]行政运行</t>
  </si>
  <si>
    <t>[323008]武平县劳动保障监察大队</t>
  </si>
  <si>
    <t>[2080105]劳动保障监察</t>
  </si>
  <si>
    <t>[323006]武平县公共就业和人才服务中心</t>
  </si>
  <si>
    <t>[2080106]就业管理事务</t>
  </si>
  <si>
    <t>[323005]武平县机关事业单位社会保险中心</t>
  </si>
  <si>
    <t>[2080109]社会保险经办机构</t>
  </si>
  <si>
    <t>[323007]武平县城乡居民社会养老保险中心</t>
  </si>
  <si>
    <t>[314001]武平县民政局</t>
  </si>
  <si>
    <t>[2080201]行政运行</t>
  </si>
  <si>
    <t>1.年终一次性奖金=37951-4966/2（林元康上半年退休）=35468元。
2.派遣人员=（1200+919.28）*4人*12个月=101725.44元。</t>
  </si>
  <si>
    <t>[314005]武平县社会福利中心</t>
  </si>
  <si>
    <t>[2081005]社会福利事业单位</t>
  </si>
  <si>
    <t>[762001]福建省武平县残疾人联合会</t>
  </si>
  <si>
    <t>[2081101]行政运行</t>
  </si>
  <si>
    <t>[762002]福建省武平县残疾人就业指导中心</t>
  </si>
  <si>
    <t>[2081103]机关服务</t>
  </si>
  <si>
    <t>[361030]武平县红十字会</t>
  </si>
  <si>
    <t>[2081601]行政运行</t>
  </si>
  <si>
    <t>[317001]武平县退役军人事务局</t>
  </si>
  <si>
    <t>[2082801]行政运行</t>
  </si>
  <si>
    <t>[317003]武平县退役军人服务中心</t>
  </si>
  <si>
    <t>[2082850]事业运行</t>
  </si>
  <si>
    <t>[361001]武平县卫生健康局</t>
  </si>
  <si>
    <t>[2100101]行政运行</t>
  </si>
  <si>
    <t>[361025]武平县卫生进修学校</t>
  </si>
  <si>
    <t>[2100103]机关服务</t>
  </si>
  <si>
    <t>[362002]武平县医院</t>
  </si>
  <si>
    <t>[2100201]综合医院</t>
  </si>
  <si>
    <t>[362003]武平县中医院</t>
  </si>
  <si>
    <t>[2100202]中医（民族）医院</t>
  </si>
  <si>
    <t>[362001]武平县总医院</t>
  </si>
  <si>
    <t>[2100299]其他公立医院支出</t>
  </si>
  <si>
    <t>362004-武平县中堡中心卫生院</t>
  </si>
  <si>
    <t>2100302-乡镇卫生院</t>
  </si>
  <si>
    <t>362005-武平县武东卫生院</t>
  </si>
  <si>
    <t>362006-武平县象洞卫生院</t>
  </si>
  <si>
    <t>362007-武平县万安卫生院</t>
  </si>
  <si>
    <t>362008-武平县下坝卫生院</t>
  </si>
  <si>
    <t>362009-武平县城区社区卫生服务中心</t>
  </si>
  <si>
    <t>2100301-城市社区卫生机构</t>
  </si>
  <si>
    <t>362010-武平县中赤卫生院</t>
  </si>
  <si>
    <t>362011-武平县民主卫生院</t>
  </si>
  <si>
    <t>362012-武平县中山中心卫生院</t>
  </si>
  <si>
    <t>362013-武平县东留卫生院</t>
  </si>
  <si>
    <t>362014-武平县岩前中心卫生院</t>
  </si>
  <si>
    <t>362015-武平县十方中心卫生院</t>
  </si>
  <si>
    <t>362016-武平县湘店卫生院</t>
  </si>
  <si>
    <t>362017-武平县大禾卫生院</t>
  </si>
  <si>
    <t>362018-武平县桃溪中心卫生院</t>
  </si>
  <si>
    <t>362019-武平县永平卫生院</t>
  </si>
  <si>
    <t>[361003]武平县疾病预防控制中心</t>
  </si>
  <si>
    <t>2100401-疾病预防控制机构</t>
  </si>
  <si>
    <t>[361028]武平县卫生健康监督所</t>
  </si>
  <si>
    <t>2100402-卫生监督机构</t>
  </si>
  <si>
    <t>[362020]武平县妇幼保健院</t>
  </si>
  <si>
    <t>2100403-妇幼保健机构</t>
  </si>
  <si>
    <t>[363001]武平县计划生育协会</t>
  </si>
  <si>
    <t>[2100716]计划生育机构</t>
  </si>
  <si>
    <t>[333001]武平县住房和城乡建设局</t>
  </si>
  <si>
    <t>[2120101]行政运行</t>
  </si>
  <si>
    <t>[334001]武平县城市管理局</t>
  </si>
  <si>
    <t>[2120104]城管执法</t>
  </si>
  <si>
    <t>城管局普通协管员： （1500+919.28）*125人*12月=362.89万 
同工同酬协管员：（71237+19603.49+735）*12月=109.89万元 
其他工资福利协管绩效1.2*146人+值班补贴800*12*146</t>
  </si>
  <si>
    <t>[334006]武平县城市管理综合执法大队</t>
  </si>
  <si>
    <t>[333008]武平县住房保障站</t>
  </si>
  <si>
    <t>[2120109]住宅建设与房地产市场监管</t>
  </si>
  <si>
    <t>[333002]武平县建设工程造价站</t>
  </si>
  <si>
    <t>[2120199]其他城乡社区管理事务支出</t>
  </si>
  <si>
    <t>[333021]武平县房屋征收补偿站</t>
  </si>
  <si>
    <t>[334003]武平县市政维护所</t>
  </si>
  <si>
    <t>[333020]武平县村镇建设站</t>
  </si>
  <si>
    <t>[2120201]城乡社区规划与管理</t>
  </si>
  <si>
    <t>[334004]武平县环境卫生站</t>
  </si>
  <si>
    <t>[2120501]城乡社区环境卫生</t>
  </si>
  <si>
    <t>[334005]武平县园林所</t>
  </si>
  <si>
    <t>[333012]武平县建设工程质量安全站</t>
  </si>
  <si>
    <t>[2120601]建设市场管理与监督</t>
  </si>
  <si>
    <t>[11]农业农村股</t>
  </si>
  <si>
    <t>[326001]武平县农业农村局</t>
  </si>
  <si>
    <t>[2130101]行政运行</t>
  </si>
  <si>
    <t>[326002]武平县农业机械推广站</t>
  </si>
  <si>
    <t>[326004]武平县农业技术推广站</t>
  </si>
  <si>
    <t>[2130104]事业运行</t>
  </si>
  <si>
    <t>[07]资环股</t>
  </si>
  <si>
    <t>[327001]武平县林业局</t>
  </si>
  <si>
    <t>[2130201]行政运行</t>
  </si>
  <si>
    <t>参公事业</t>
  </si>
  <si>
    <t>[327003]福建梁野山国家级自然保护区管理局</t>
  </si>
  <si>
    <t>[327007]武平县林业产业服务中心</t>
  </si>
  <si>
    <t>[2130203]机关服务</t>
  </si>
  <si>
    <t>[327002]武平县森林资源资产评估中心</t>
  </si>
  <si>
    <t>[2130204]事业机构</t>
  </si>
  <si>
    <t>[332001]武平县水利局</t>
  </si>
  <si>
    <t>[2130301]行政运行</t>
  </si>
  <si>
    <t>[332006]武平县水利水电服务中心</t>
  </si>
  <si>
    <t>[2130303]机关服务</t>
  </si>
  <si>
    <t>[332002]武平县六甲水库工作站</t>
  </si>
  <si>
    <t>[2130399]其他水利支出</t>
  </si>
  <si>
    <t>[332003]武平县捷文水库工作站</t>
  </si>
  <si>
    <t>[348001]武平县交通运输局</t>
  </si>
  <si>
    <t>[2140101]行政运行</t>
  </si>
  <si>
    <t>[348008]武平县运输管理所</t>
  </si>
  <si>
    <t>[348002]武平县农村公路发展服务中心</t>
  </si>
  <si>
    <t>[2140199]其他公路水路运输支出</t>
  </si>
  <si>
    <t>[348003]武平县农村公路养护所</t>
  </si>
  <si>
    <t>[348005]武平县交通基本建设工程质量监督站</t>
  </si>
  <si>
    <t>[348004]武平县铁路建设发展中心</t>
  </si>
  <si>
    <t>[2140299]其他铁路运输支出</t>
  </si>
  <si>
    <t>[312005]武平县道路交通事故社会救助基金服务中心</t>
  </si>
  <si>
    <t>[2149999]其他交通运输支出</t>
  </si>
  <si>
    <t>[348006]武平县交通运输综合执法大队</t>
  </si>
  <si>
    <t>[975001]武平县供销合作社联合社</t>
  </si>
  <si>
    <t>[2160201]行政运行</t>
  </si>
  <si>
    <t>[975002]武平县农民合作社发展服务中心</t>
  </si>
  <si>
    <t>[2160250]事业运行</t>
  </si>
  <si>
    <t>[325001]武平县自然资源局</t>
  </si>
  <si>
    <t>[2200101]行政运行</t>
  </si>
  <si>
    <t>其他工资福利支出：科级干部考核</t>
  </si>
  <si>
    <t>[325002]武平县耕地保护中心</t>
  </si>
  <si>
    <t>[2200150]事业运行</t>
  </si>
  <si>
    <t>[325003]武平县土地收购储备中心</t>
  </si>
  <si>
    <t>[325004]武平县不动产登记中心</t>
  </si>
  <si>
    <t>[325005]武平县土地征收与补偿服务中心</t>
  </si>
  <si>
    <t>[325006]武平县矿产品流通服务中心</t>
  </si>
  <si>
    <t>[2200199]其他自然资源事务支出</t>
  </si>
  <si>
    <t>[416001]福建省武平县气象局</t>
  </si>
  <si>
    <t>[2200504]气象事业机构</t>
  </si>
  <si>
    <t>[342001]武平县应急管理局</t>
  </si>
  <si>
    <t>[2240101]行政运行</t>
  </si>
  <si>
    <t>[342005]武平县地震办公室</t>
  </si>
  <si>
    <t>[2240150]事业运行</t>
  </si>
  <si>
    <t>[807001]武平县消防救援大队</t>
  </si>
  <si>
    <t>[2240204]消防应急救援</t>
  </si>
  <si>
    <t>[304004]武平县煤炭行业服务中心</t>
  </si>
  <si>
    <t>[2240450]事业运行</t>
  </si>
  <si>
    <t>2023年预算内工资福利支出（事业人员）预算调整明细表</t>
  </si>
  <si>
    <t>事业单位在职人员基本工资</t>
  </si>
  <si>
    <t>事业单位在职人员津贴补贴</t>
  </si>
  <si>
    <t>事业单位在职人员基础性绩效工资</t>
  </si>
  <si>
    <t>事业单位在职人员乡镇工作补贴</t>
  </si>
  <si>
    <t>事业单位在职人员行业性津补贴</t>
  </si>
  <si>
    <t>事业单位在职人员基础绩效奖</t>
  </si>
  <si>
    <t>事业单位在职人员奖励性绩效工资</t>
  </si>
  <si>
    <t>定额补助</t>
  </si>
  <si>
    <t>事业单位在职人员年度绩效奖</t>
  </si>
  <si>
    <t>其他工资福利支出：0.30万元（钟丽华、刘慧琴2022年度考核优秀）</t>
  </si>
  <si>
    <t>其他工资福利支出：0.15*2=0.3万元（吴国平、王华英2022年度考核优秀）</t>
  </si>
  <si>
    <t>其他工资福利支出：0.15万元（朱玲2022年度考核优秀）</t>
  </si>
  <si>
    <t>其他工资福利支出：0.15万元（钟寿英2022年度考核优秀）</t>
  </si>
  <si>
    <t>[213004]武平县统战事务服务中心</t>
  </si>
  <si>
    <t>年初其他工资福利支出2113.46：代课教师补贴300万，工会定额补助30万，保安和校医工资913.464万，乡村教师补贴670万，人才绩效112万；教育强市88万（总校制40万、县级名校长12万、县级名师36万）。基础性绩效奖和考核奖14030.85万元（含阳光绩效）。</t>
  </si>
  <si>
    <t>新毕业生五险及奖励性绩效0.95，考核奖7.5+0.3（科级干部），退休五险减支-1.2，工伤险4.46</t>
  </si>
  <si>
    <t>新毕业生五险及奖励性绩效5.8，考核奖4.2，退休五险减支-1.85，工伤险3.23，在职死亡五险-0.39</t>
  </si>
  <si>
    <t>新毕业生五险及奖励性绩效9.48，考核奖5.55，退休五险减支-0.35，工伤险2.93</t>
  </si>
  <si>
    <t>新毕业生五险及奖励性绩效1.9，考核奖3.15，退休五险减支-0.76，工伤险1.67</t>
  </si>
  <si>
    <t>考核奖1.2，工伤险0.93</t>
  </si>
  <si>
    <t>新毕业生五险及奖励性绩效2.02，考核奖0.6，工伤险0.44，提高20%绩效1.18</t>
  </si>
  <si>
    <t>新毕业生五险及奖励性绩效2.81，考核奖0.75，工伤险0.35</t>
  </si>
  <si>
    <t>新毕业生五险及奖励性绩效2.24，考核奖4.35，退休五险减支-1.24，工伤险2.5</t>
  </si>
  <si>
    <t>新毕业生五险及奖励性绩效0.95，考核奖0.75，工伤险0.49</t>
  </si>
  <si>
    <t>新毕业生五险及奖励性绩效4.75，考核奖1.05，工伤险0.57</t>
  </si>
  <si>
    <t>考核奖0.3，工伤险0.22</t>
  </si>
  <si>
    <t>考核奖0.9，退休五险减支-0.63，工伤险0.5</t>
  </si>
  <si>
    <t>新毕业生五险及奖励性绩效4.63，考核奖0.75，退休五险减支-0.73，工伤险0.39</t>
  </si>
  <si>
    <t>年度考核奖1.05，工伤险0.63</t>
  </si>
  <si>
    <t>新毕业生五险及奖励性绩效0.95，考核奖0.75，工伤险0.42</t>
  </si>
  <si>
    <t>新毕业生五险及奖励性绩效2.79，考核奖0.6，工伤险0.35</t>
  </si>
  <si>
    <t>新毕业生五险及奖励性绩效5.58，考核奖2.25，退休五险减支-2.03，工伤险1.19</t>
  </si>
  <si>
    <t>新毕业生五险及奖励性绩效12.16，考核奖4.2，退休五险减支-1.54，工伤险2.12</t>
  </si>
  <si>
    <t>新毕业生五险及奖励性绩效2.84，考核奖2.85，退休五险减支-1.31，工伤险2.08</t>
  </si>
  <si>
    <t>考核奖1.65，工伤险1.14</t>
  </si>
  <si>
    <t>新毕业生五险及奖励性绩效0.95，考核奖1.8，工伤险1.41</t>
  </si>
  <si>
    <t>新毕业生五险及奖励性绩效0.95，考核奖2.7，退休五险减支-1.89，工伤险1.29</t>
  </si>
  <si>
    <t>考核奖1.65，工伤险1.01</t>
  </si>
  <si>
    <t>新毕业生五险及奖励性绩效0.95，考核奖1.35，工伤险0.8</t>
  </si>
  <si>
    <t>新毕业生五险及奖励性绩效6.58，考核奖1.35，退休五险减支-2.46，工伤险1.02</t>
  </si>
  <si>
    <t>新毕业生五险及奖励性绩效1.87，考核奖3，工伤险1.54</t>
  </si>
  <si>
    <t>新毕业生五险及奖励性绩效2.84，考核奖3.3，工伤险1.71</t>
  </si>
  <si>
    <t>考核奖1.05，工伤险0.63</t>
  </si>
  <si>
    <t>新毕业生五险及奖励性绩效0.95，考核奖2.25，退休五险减支-0.89，工伤险0.86</t>
  </si>
  <si>
    <t>新毕业生五险及奖励性绩效1.9，考核奖1.05，工伤险0.88</t>
  </si>
  <si>
    <t>新毕业生及外县调入五险及奖励性绩效6.47，考核奖2.4，退休及调外县五险减支-4.97，工伤险1.3</t>
  </si>
  <si>
    <t>新毕业生五险及奖励性绩效0.95，考核奖1.8，工伤险0.89</t>
  </si>
  <si>
    <t>新毕业生五险及奖励性绩效2.97，考核奖4.05，退休五险减支-3.68，工伤险3.05</t>
  </si>
  <si>
    <t>新毕业生五险及奖励性绩效1.87，考核奖1.35，工伤险0.73</t>
  </si>
  <si>
    <t>新毕业生五险及奖励性绩效0.95，考核奖1.8，退休五险-0.73，工伤险0.96</t>
  </si>
  <si>
    <t>考核奖0.9，工伤险0.49</t>
  </si>
  <si>
    <t>考核奖1.8，工伤险0.88</t>
  </si>
  <si>
    <t>新毕业生五险及奖励性绩效3.79，考核奖2.1，退休、死亡五险减支-1.66，工伤险1.03</t>
  </si>
  <si>
    <t>新毕业生五险及奖励性绩效0.95，考核奖1.05，工伤险0.59</t>
  </si>
  <si>
    <t>新毕业生五险及奖励性绩效4.66，考核奖1.8，退休五险减支-0.62，工伤险0.98</t>
  </si>
  <si>
    <t>新毕业生五险及奖励性绩效1.9，考核奖2.55，退休五险减支-1.65，工伤险1.61</t>
  </si>
  <si>
    <t>新毕业及外县调入生五险及奖励性绩效21.51，考核奖4.8，退休五险减支-1.84，工伤险2.54</t>
  </si>
  <si>
    <t>考核奖0.6，工伤险0.35</t>
  </si>
  <si>
    <t>新毕业生五险及奖励性绩效3.79，考核奖3.3，工伤险2.41</t>
  </si>
  <si>
    <t>新毕业生五险及奖励性绩效0.92，考核奖0.6，工伤险0.37</t>
  </si>
  <si>
    <t>新毕业生五险及奖励性绩效0.95，考核奖0.75，工伤险0.43</t>
  </si>
  <si>
    <t>新毕业生五险及奖励性绩效7.58，考核奖2.7，工伤险1.33</t>
  </si>
  <si>
    <t>考核奖0.9，工伤险0.32</t>
  </si>
  <si>
    <t>考核奖0.6，工伤险0.33</t>
  </si>
  <si>
    <t>新毕业生五险及奖励性绩效6.64，考核奖1.2，工伤险0.51</t>
  </si>
  <si>
    <t>考核奖0.3，工伤险0.16</t>
  </si>
  <si>
    <t>考核奖0.3，工伤险0.1</t>
  </si>
  <si>
    <t>考核奖0.15，工伤险0.11</t>
  </si>
  <si>
    <t>新毕业生五险及奖励性绩效0.95，考核奖0.45，工伤险0.3</t>
  </si>
  <si>
    <t>卫生院调入人员五险及奖励性绩效0.88，考核奖0.15，工伤险0.11</t>
  </si>
  <si>
    <t>考核奖0.75，工伤险0.32</t>
  </si>
  <si>
    <t>工伤险0.52</t>
  </si>
  <si>
    <t>工伤险0.44</t>
  </si>
  <si>
    <t>总院院长和总会计师年薪</t>
  </si>
  <si>
    <t>环卫站派遣： 【（2000+919.28）*6人+（1500+919.28）*11人+（1200+919.28）*8人】*12月=73.3万</t>
  </si>
  <si>
    <t>其他工资福利：事业人员安全监管岗位津贴3万元包干</t>
  </si>
  <si>
    <t>2023年预算内工资福利支出预算明细表</t>
  </si>
  <si>
    <t>预  算  内  工  资  福  利  支  出</t>
  </si>
  <si>
    <t>预算内工资福利
总计</t>
  </si>
  <si>
    <t>工资福利支出（公务员、参公人员）</t>
  </si>
  <si>
    <t>工资福利支出（事业）</t>
  </si>
  <si>
    <t>系统养老保险正确，本表公式有误数字错误</t>
  </si>
  <si>
    <r>
      <rPr>
        <sz val="10"/>
        <rFont val="SimSun"/>
        <charset val="134"/>
      </rPr>
      <t>[213004]</t>
    </r>
    <r>
      <rPr>
        <sz val="11"/>
        <rFont val="宋体"/>
        <charset val="134"/>
      </rPr>
      <t>武平县统战事务服务中心</t>
    </r>
  </si>
  <si>
    <t>其他工资福利支出2113.46：代课教师补贴300万，工会定额补助30万，保安和校医工资913.464万，乡村教师补贴670万，人才绩效112万；教育强市88万（总校制40万、县级名校长12万、县级名师36万）。基础性绩效奖和考核奖14030.85万元（含阳光绩效）</t>
  </si>
  <si>
    <t>其他为特校提高20%绩效工资总量</t>
  </si>
  <si>
    <t>1.年终一次性奖金=37951-4966/2（林元康上半年退休）=35468元。2.派遣人员=（1200+919.28）*4人*12个月=101725.44元。</t>
  </si>
  <si>
    <t>绩效工资错误，系统正确1.49</t>
  </si>
  <si>
    <t>10-社保股</t>
  </si>
  <si>
    <t>城管局普通协管员： 
（1500+919.28）*125人*12月=362.89万 
同工同酬协管员：（71237+19603.49+735）*12月=109.89万元 
、其他工资福利协管绩效1.2*146人+值班补贴800*12*146</t>
  </si>
  <si>
    <t xml:space="preserve">环卫站派遣： 
【（2000+919.28）*6人+（1500+919.28）*11人+（1200+919.28）*8人】*12月=73.3万
</t>
  </si>
  <si>
    <t>2023年预算内对个人和家庭的补助支出调整预算增减支明细表</t>
  </si>
  <si>
    <t>年初预算 说明</t>
  </si>
  <si>
    <t>对机关事业单位基本养老保险基金的补助</t>
  </si>
  <si>
    <t>离休人员代发款</t>
  </si>
  <si>
    <t>退休人员代发款</t>
  </si>
  <si>
    <t>退职退养人员费用</t>
  </si>
  <si>
    <t>离休人员生活补贴</t>
  </si>
  <si>
    <t>退休人员生活补贴</t>
  </si>
  <si>
    <t>离退休两费</t>
  </si>
  <si>
    <t>退休人员其他补助</t>
  </si>
  <si>
    <t>退休人员活动费</t>
  </si>
  <si>
    <t>机关参公遗属生活补助</t>
  </si>
  <si>
    <t>事业单位遗属生活补助</t>
  </si>
  <si>
    <t>生活补助</t>
  </si>
  <si>
    <t>民警加班补贴</t>
  </si>
  <si>
    <t>六大员补贴</t>
  </si>
  <si>
    <t>村居干部工资（含五险一金）</t>
  </si>
  <si>
    <t>其他对个人和家庭的补助</t>
  </si>
  <si>
    <t>其他对个人和家庭的补助：台胞资金1.08万/年（2022年及2023年）。</t>
  </si>
  <si>
    <t>其他对个人和家庭的补助：指原乡镇（公社）老电影放映生活补助27.14万元</t>
  </si>
  <si>
    <t>精简机构人员补助0.65万元</t>
  </si>
  <si>
    <t>生活补助为调查员及调查户补助</t>
  </si>
  <si>
    <t>六大员补贴为离任妇代主任补贴</t>
  </si>
  <si>
    <t>[2012999]其他群众团体事务支出</t>
  </si>
  <si>
    <t>其他对个人和家庭的补助：死亡抚恤金</t>
  </si>
  <si>
    <t>生活补助为人身意外伤害保险12.87万元，拘留人员伙食及医疗费、衣被费12.24万元</t>
  </si>
  <si>
    <t>生活补助为公安民警意外伤害保险1.04万元、民警误餐补贴8.28万元。</t>
  </si>
  <si>
    <t>在押人员经养费97.92万元，看守人员值班伙食费27万元，监管病区在押人员医疗费10万元。</t>
  </si>
  <si>
    <t>生活补助为人身意外伤害保险1.58万元</t>
  </si>
  <si>
    <t>追加生活补助131.95：补2022年民办代课教师50.34万元；补助免收困难生课后服务费80万元；考核优1.5（科级干部），工伤0.11。</t>
  </si>
  <si>
    <t>生活补助指民办代课教师补贴</t>
  </si>
  <si>
    <t>生活补助1200元为离休干部补助（学校发）</t>
  </si>
  <si>
    <t>[360022]武平县实验中学崇文校区</t>
  </si>
  <si>
    <t>[360027]武平县教师进修学校第二附属小学</t>
  </si>
  <si>
    <t>退休人员代发款是高龄补助1.44万元</t>
  </si>
  <si>
    <t>[2080299]其他民政管理事务支出</t>
  </si>
  <si>
    <t>(1)退休25人，遗属补助18人，生活补助1130.23万元；离任村主干生活补助710人,（其中第三季度614人44.37万元，因换届选举2023预计增加100人*200元*12=24万元）710*730元/人*4=2073200合计应补助207.32万元。武委组[2018]组字18号
(2)困难群众慰问费15万元（领导批示）
(3)80-99周岁高龄补贴693.336万元：80-89周岁11868人，每人每月50元；90-99周岁2320人，每人每月100元，（市县负担比例3:7）11868*50*12*0.7+2320*100*12*0.7=6933360元。龙政综【2014】260号
(4)百岁老人重阳节慰问费68人*1000=68000元（县领导批示）
(5)麻风病人生活费：3人*700元*12=25200元。龙卫疾病[2019]6号
(6)社会定补：40%救济47人（每月1300元）×12个月计73.32万元，社会定补人员4人（每月200元）×12个月计0.96万元,119退职人员1人：1人*2178.8元*12=26145.6元，（ 2019.7调资1873*1.0256+55+2=1977.95；2020.7调资1977.95*1.0235+55+2=2081.43；2021.7调资2081.43*1.0218+50+2=2178.8）合计 76.89万元。闽民事[2021]133号
(7)“8491”支前民兵患矽肺病人员补助：可疑10人、一二三期86人；合计65.28万元（其中县财负担10%）=6.528万元。闽民事[2022]99号
(8)完全失能老人护理补贴：对低保对象、计划生育特殊家庭中的完全失能老年人，按照每人每月不低于200元的标准，所需资金按省、市、县（市、区）3：3：4比例承担;13人*200*12= 31200元，县级负担48000*0.4=12480元。闽民养老[2018]39号
(9)五老人员生活补助：5人*1780*12=106800元，县级负担10%：10680元（龙民[2021]149号）
(10)敬老院工作人员工资：60*1660*12=1195200元（武政办[2019]58号）　　　　</t>
  </si>
  <si>
    <t>其他为原福利厂肖武生退休安家房屋修缮等</t>
  </si>
  <si>
    <t>退休30人，遗属补助2人，对个人和家庭补助支出小计208367元
1、退休高龄补贴及护理费9600元，其中：原福利厂8人*100元*12=9600元
2、福利厂遗属补助19920元，  原福利厂2人*830元*12=19920元
3、保险支出148847元
原福利厂人员养老保险、职业年金37832*12*24%=108956.16元
原福利厂人员医疗保险37832*12*8%=36318.72元
原福利厂人员公务员医疗补助37832*12*8%=36318.72元
原福利厂人员生育保险37832*12*0.06%=2723.904元
原福利厂人员工伤保险37832*12*0.02%=848.26元
4、其他支出：福利厂退休干部30人，过节费等支出30000元。</t>
  </si>
  <si>
    <t>生活补助：其中市级三支一扶142.66，退休人员其他补助：全县老年节春节慰问费</t>
  </si>
  <si>
    <t>[2080599]其他行政事业单位离退休支出</t>
  </si>
  <si>
    <t>2080899其他社会和保障支出</t>
  </si>
  <si>
    <t xml:space="preserve">1.追加汀江防洪堤项目和梁野山五村互通项目被征地农民养老金提高标准12人*（210-200）元/月*12月=1440元。 2.追加罗增红在职死亡增支在职死亡抚恤金98980元。合计追加100420元。                                                                              </t>
  </si>
  <si>
    <t>2081199-其他残疾人事业支出</t>
  </si>
  <si>
    <t>六大员补贴：乡镇（街道）残疾人联络员工资，按县级900元/月配套，17个乡镇，全年18.36万元</t>
  </si>
  <si>
    <t>其他单位</t>
  </si>
  <si>
    <t>[901004]武平县财政局（社保基金专户）</t>
  </si>
  <si>
    <t>[2080501]行政单位离退休费用</t>
  </si>
  <si>
    <t>[2089999]其他社会保障和就业支出</t>
  </si>
  <si>
    <t>社会定补等生活补助中调增7.5万元用于安排冲销社保专户暂付款7.5万。</t>
  </si>
  <si>
    <t>[2082601]对企业职工基本养老保险基金的补助</t>
  </si>
  <si>
    <t>核销2022年企业职工基本养老保险地方财政支出责任35万；2023年企业职工基本养老保险地方财政支出责任71万。</t>
  </si>
  <si>
    <t>其他为温天德死亡三费、补发年终一次性奖金</t>
  </si>
  <si>
    <t>[362009]武平县城区社区卫生服务中心</t>
  </si>
  <si>
    <t>[2100301]城市社区卫生机构</t>
  </si>
  <si>
    <t>[362004]武平县中堡卫生院</t>
  </si>
  <si>
    <t>[2100302]乡镇卫生院</t>
  </si>
  <si>
    <t>[362005]武平县武东卫生院</t>
  </si>
  <si>
    <t>[362006]武平县象洞卫生院</t>
  </si>
  <si>
    <t>[362007]武平县万安卫生院</t>
  </si>
  <si>
    <t>[362010]武平县中赤卫生院</t>
  </si>
  <si>
    <t>[362013]武平县东留卫生院</t>
  </si>
  <si>
    <t>[362014]武平县岩前中心卫生院</t>
  </si>
  <si>
    <t>[362015]武平县十方中心卫生院</t>
  </si>
  <si>
    <t>[362016]武平县湘店卫生院</t>
  </si>
  <si>
    <t>[362017]武平县大禾卫生院</t>
  </si>
  <si>
    <t>[362018]武平县桃溪中心卫生院</t>
  </si>
  <si>
    <t>[362008]武平县下坝卫生院</t>
  </si>
  <si>
    <t>[362012]武平县中山中心卫生院</t>
  </si>
  <si>
    <t>[362011]武平县民主卫生院</t>
  </si>
  <si>
    <t>[362019]武平县永平卫生院</t>
  </si>
  <si>
    <t>[2100401]疾病预防控制机构</t>
  </si>
  <si>
    <t>[2100403]妇幼保健机构</t>
  </si>
  <si>
    <t>生活补助：省劳模200元/月，市100元/月，县50元/月。</t>
  </si>
  <si>
    <t>事业单位在职人员死亡补助费(丧葬费1.162万,一次性困难补助费0.996万,一次性抚恤金8.516)</t>
  </si>
  <si>
    <t>六大员补贴：河道专管员</t>
  </si>
  <si>
    <t>[2130705]对村民委员会和村党支部的补助</t>
  </si>
  <si>
    <t>城厢119.45（社区），村干部188.34</t>
  </si>
  <si>
    <t>村干部177.6，社区20.87</t>
  </si>
  <si>
    <t>2010101-行政运行</t>
  </si>
  <si>
    <t>2023年商品和服务支出调整预算表</t>
  </si>
  <si>
    <t>调减支出（列暂付款）</t>
  </si>
  <si>
    <t>1-9月商品服务支出--实际支出数</t>
  </si>
  <si>
    <t>公用经费</t>
  </si>
  <si>
    <t>基本业务费</t>
  </si>
  <si>
    <t>专项业务费</t>
  </si>
  <si>
    <r>
      <rPr>
        <b/>
        <sz val="10"/>
        <rFont val="宋体"/>
        <charset val="134"/>
        <scheme val="major"/>
      </rPr>
      <t xml:space="preserve">调整预算说明
</t>
    </r>
    <r>
      <rPr>
        <sz val="10"/>
        <rFont val="宋体"/>
        <charset val="134"/>
        <scheme val="major"/>
      </rPr>
      <t>（追加定额基本业务费、其他基本业务费、其他专项业务费需说明）</t>
    </r>
  </si>
  <si>
    <t>定额公用经费</t>
  </si>
  <si>
    <t>车辆定额经费</t>
  </si>
  <si>
    <t>其他公用经费（机关参公人员车改补贴）</t>
  </si>
  <si>
    <t>教育生均经费</t>
  </si>
  <si>
    <t>乡镇运转体制补助</t>
  </si>
  <si>
    <t>定额基本业务费</t>
  </si>
  <si>
    <t>定额基本业务费说明</t>
  </si>
  <si>
    <t>①向上争取资金奖励</t>
  </si>
  <si>
    <t>②行政性收费和罚没办案费补助</t>
  </si>
  <si>
    <t>③乡镇税收分成</t>
  </si>
  <si>
    <r>
      <rPr>
        <sz val="10"/>
        <rFont val="宋体"/>
        <charset val="134"/>
      </rPr>
      <t>④</t>
    </r>
    <r>
      <rPr>
        <sz val="10"/>
        <rFont val="宋体"/>
        <charset val="134"/>
        <scheme val="major"/>
      </rPr>
      <t>其他基本业务费</t>
    </r>
  </si>
  <si>
    <t>其他基本业务费说明</t>
  </si>
  <si>
    <t>其他专项业务费小计</t>
  </si>
  <si>
    <t>项目类别</t>
  </si>
  <si>
    <t>其他专项业务费说明</t>
  </si>
  <si>
    <t>①2022向上争取资金奖励</t>
  </si>
  <si>
    <t>08-企业外经股</t>
  </si>
  <si>
    <t>2011301行政运行</t>
  </si>
  <si>
    <t>2229-其他专项业务费</t>
  </si>
  <si>
    <t>援藏援疆慰问2.7；企业与企业家联合会工作经费8万。</t>
  </si>
  <si>
    <t>（年初预算201科目调至206科目）</t>
  </si>
  <si>
    <t>2011350事业运行</t>
  </si>
  <si>
    <t>2012901行政运行</t>
  </si>
  <si>
    <t>基层侨联工作经费5万；海外华人华侨社团联谊经费5万。</t>
  </si>
  <si>
    <t>2012950事业运行</t>
  </si>
  <si>
    <t>1、质量安全可追溯体系建设及肉品质量安全信息追溯系统和信息录入员工资27万元；2、春节市场供应调节经费13万元（慰问部队、低保户、环卫工人等特殊群体费用）；3、电商一月一活动经费6万元；4、招商引资绩效考评奖金132.60万元；5、武平县商务局办公场所租赁费用6.72万元；6、委托招商60万元；7、招商引资专项业务费150万元。</t>
  </si>
  <si>
    <t>其他专项业务费：省一体化大融合行政执法平台设备配备工作经费1.5万元。</t>
  </si>
  <si>
    <t>2012801行政运行</t>
  </si>
  <si>
    <t>异地商会联系联络工作经费4.5万，非公企业职称评审费0.5万，异地商会(深圳）筹备经费10万</t>
  </si>
  <si>
    <t>其他基本业务费：北京商会工作经费10万，全国五好工商联经费5万。</t>
  </si>
  <si>
    <t>2012850事业运行</t>
  </si>
  <si>
    <t>2010301行政运行</t>
  </si>
  <si>
    <t>窗口运行经费及窗口绩效考勤：入驻人员经费19.80万元（165人*1200元/人.年）；劳务派遣人员窗口绩效考勤34.20万元（95人*300元/人.月*12月）。</t>
  </si>
  <si>
    <t>办事大厅工作业务费96万元：1至5楼办事大厅水电16万；e龙岩自助服务一体机项目建设运维服务费（0.6）及耗材费用（0.5）计1.1万元；新办企业免费刻印章费用16.45万(700家*235)元；电信费8万；物业费8.3万元；保洁服务6.72万（0.56*12）；保安服务7.53万（0.6500*12）；维修（护）费11.90万元（电梯、空调电路维修维护费8万元，网络信息运行维护及耗材3.9万元）；叫号系统改造提升费用10万元；房租10万（付国投公司）。</t>
  </si>
  <si>
    <t>定额基本业务费：追加窗口运行经费3.2万元。</t>
  </si>
  <si>
    <t>2010350事业运行</t>
  </si>
  <si>
    <t>02-预算股</t>
  </si>
  <si>
    <t>2010699其他财政事务支出</t>
  </si>
  <si>
    <t>税收征管经费</t>
  </si>
  <si>
    <t>2223-专业信息系统运行维护</t>
  </si>
  <si>
    <t>财政业务系统运维50万元；政府采购系统及网超服务费35万元；预算绩效项目重点评价第三方机构费用4万元</t>
  </si>
  <si>
    <t>2010650事业运行</t>
  </si>
  <si>
    <t>2010608财政委托业务支出</t>
  </si>
  <si>
    <t>水电及保洁等</t>
  </si>
  <si>
    <t>1.天睿商务派遣人员管理费15人*3万=45万；天睿商务派遣人员工资98.71万；天睿商务派遣人员五险二金37.11万；天睿商务派遣人员效益工资149万，共计329.83万；2.专业计价软件购买、升级、服务费5万；材料价格调查、查询（网络会员）费3.5万；整理档案费用25万，共计33.5万。</t>
  </si>
  <si>
    <t>[903003]国家税务总局武平县税务局</t>
  </si>
  <si>
    <t>2010799其他税收事务支出</t>
  </si>
  <si>
    <t>定额基本业务费：2022年考核奖励102.75万元、追加水利建设基金宣传经费4万、重点项目高质量落地攻坚行动个人奖励0.15万。</t>
  </si>
  <si>
    <t>2010399其他政府办公厅(室)及相关机构事务支出</t>
  </si>
  <si>
    <t>增加征迁运转经费补助</t>
  </si>
  <si>
    <t>团委妇联工作经费</t>
  </si>
  <si>
    <t>其他基本业务费：园区所在乡镇补助11.34万。
其他专项业务费：省一体化大融合行政执法平台设备配备工作经费1.5万元。</t>
  </si>
  <si>
    <t>其他基本业务费：矿山补助8.93万元，园区所在乡镇补助11.37万元，合计20.3万元。
其他专项业务费：省一体化大融合行政执法平台设备配备工作经费1.5万元。</t>
  </si>
  <si>
    <t>矿山补助110万元，服务园区经费135万元</t>
  </si>
  <si>
    <t>定额基本业务费：园区补助年初下达135万，实际结算100.4万，扣减34.6万。
其他基本业务费：打击盗采矿资源经费2.5万。
其他专项业务费：2023年福建省投资开发集团有限公司捐赠的工作经费30万；省一体化大融合行政执法平台设备配备工作经费1.5万元。</t>
  </si>
  <si>
    <t>服务园区经费</t>
  </si>
  <si>
    <t>定额基本业务费：园区补助年初下达16.5万，实际12.95万，扣减3.55万。
其他专项业务费：省一体化大融合行政执法平台设备配备工作经费1.5万元。</t>
  </si>
  <si>
    <t>其他专项业务费：2023年福建省投资开发集团有限公司捐赠的工作经费30万。省一体化大融合行政执法平台设备配备工作经费1.5万元。</t>
  </si>
  <si>
    <t>其他基本业务费：矿山补助8.06万元
其他专项业务费：省一体化大融合行政执法平台设备配备工作经费1.5万元。</t>
  </si>
  <si>
    <t>矿山补助</t>
  </si>
  <si>
    <t>06-经济发展股</t>
  </si>
  <si>
    <t>2010401行政运行</t>
  </si>
  <si>
    <t>1、成本监审8万；2、第二十一届6.18工作经费12万；3、重点项目管理系统维护费3.26万；4、节能评估专家审查及企业投资项目核准专家评审经费3万；5、外派龙岩驻京联络处人员经费14.74万；6、苏区振兴发展服务中心工作经费17万；7、第三产业发展服务中心工作经费17万；8、县粮食安全行政首长责任考核运行费3万；9、粮食流通监督检查费3万；10、粮油质量检验监管费4万元；11、粮食质量安全监测监管费4万；12、粮食应急供应网点补助及监管费8万元；13、粮食应急加工企业应急储运企业补助6万；14、粮食安全宣传教育活动经费3万；15、应急救灾物资储备管理费10万。</t>
  </si>
  <si>
    <t>其他专项业务费：“三对口”一帮扶工作经费30万。省一体化大融合行政执法平台设备配备工作经费1.5万元。</t>
  </si>
  <si>
    <t>2010450事业运行</t>
  </si>
  <si>
    <t>1、支付第三方谋划项目（预）可行性研究报告编制费9万、2.重点项目攻坚行动专项经费（攻坚周报和战报编制费、印刷费、广告费等）4万；3.“一月一签约”“每月开竣工”活动经费2万；4.制作重点项目每月挂旗展板等广告费2万；5.2023年重点项目宣传画册编制印刷费1万</t>
  </si>
  <si>
    <t>2011399其他商贸事务支出</t>
  </si>
  <si>
    <t>园区招商引资费用20万（园区聘请第三方公司招商）、项目策划6万（按项目策划任务2个计算，3万元/个，合计6万元。）</t>
  </si>
  <si>
    <t>[437002]武平高新技术产业园区规划发展中心</t>
  </si>
  <si>
    <t>05-行政事业股</t>
  </si>
  <si>
    <t>[204003武平县定光佛文化交流促进会</t>
  </si>
  <si>
    <t>2012999其他群众团体事务支出</t>
  </si>
  <si>
    <t>2013101行政运行</t>
  </si>
  <si>
    <t>；第七届全国文明城市总评迎检经费100万元（含全国县级文明城市创建经费41.2万元，41.2万人*1元=41.2万元）；第七届全国文明城市总评年优秀嘉奖表彰12万元；未成年人思想道德建设3万元；15个乡村学校少年宫运行经费7万元（15所学校*0.5万）；未成年人心理健康辅导站运行经费3万元；创建《中国文明网武平》20万元；新时代文明实践中心、所、站经费73万；“好人数字体验馆”运行维护经费10万。武平县诚信促进会办公经费8万；志愿者协会工作经费3万。</t>
  </si>
  <si>
    <t>2013150事业运行</t>
  </si>
  <si>
    <t>2013601行政运行</t>
  </si>
  <si>
    <t>老干部体检、慰问、走访、老干部等费用100万元。</t>
  </si>
  <si>
    <t>其他专项业务费：县政府审批老干部活动中心外包经费。</t>
  </si>
  <si>
    <t>对台工作交流经费、总值班经费等。（含2022年预拨50万元）</t>
  </si>
  <si>
    <t>机要通道专项业务费</t>
  </si>
  <si>
    <t>定额基本业务费：县政府已审批追加55万元。
其他专项业务费：省一体化大融合行政执法平台设备配备工作经费1.5万元。</t>
  </si>
  <si>
    <t>2013199其他党委办公厅(室)及相关机构事务支出</t>
  </si>
  <si>
    <t>县委县政府公务接待费、武台交流共计72万元</t>
  </si>
  <si>
    <t>党建工作经费（武委〔2019〕50号）及县直党群系统绩效考评工作经费</t>
  </si>
  <si>
    <t>2013201行政运行</t>
  </si>
  <si>
    <t>审核文书档案整理、党员远程教育34万元</t>
  </si>
  <si>
    <t>其他基本业务费：县委专题会议纪要【2023】16号主题教育专项经费25万元、武财事追字【2023】2号定额基本业务费26万元。
其他专项业务费：龙岩智慧社区党建服务平台建设资金--主题教育专项经费40万。</t>
  </si>
  <si>
    <t>2013250事业运行</t>
  </si>
  <si>
    <t>贫困妇女儿童救助金、妇联业务费（含巾帼文明岗创建经费、妇女之家创建工作经费、巾帼志愿服务工作经费、妇女儿童活动中心运转工作经费、三八活动经费等）共计23万元</t>
  </si>
  <si>
    <t>2010201行政运行</t>
  </si>
  <si>
    <t>政协履职工作经费</t>
  </si>
  <si>
    <t>政协会议费70万，客家联谊会专项经费10万元。</t>
  </si>
  <si>
    <t>2010250事业运行</t>
  </si>
  <si>
    <r>
      <rPr>
        <sz val="10"/>
        <rFont val="宋体"/>
        <charset val="134"/>
        <scheme val="major"/>
      </rPr>
      <t>清华大学社会实践经费</t>
    </r>
    <r>
      <rPr>
        <b/>
        <sz val="10"/>
        <rFont val="宋体"/>
        <charset val="134"/>
        <scheme val="major"/>
      </rPr>
      <t>、</t>
    </r>
    <r>
      <rPr>
        <sz val="10"/>
        <rFont val="宋体"/>
        <charset val="134"/>
        <scheme val="major"/>
      </rPr>
      <t>五四活动经费、预青工作经费、服务欠发达地区计划大学生志愿者国家助学贷款代偿资金、少工委工作经费、梁野社工购买服务费、少代会经费、政务讲解员经费等共计30万元。</t>
    </r>
  </si>
  <si>
    <t>青少年宫校外活动中心运转经10万。</t>
  </si>
  <si>
    <t>2013603机关服务</t>
  </si>
  <si>
    <t>业务费11.60万元，2万元返2022年缴的学费</t>
  </si>
  <si>
    <t>《南海文苑》办刊经费8.9万元，下属十二个协会活动经费21.6万元。用于补助个人自费出书经费2.5万元。</t>
  </si>
  <si>
    <t>全面实行政府权责清单制度工作经费，依法赋权乡镇（街道）实施行政处罚工作经费，县乡“属地管理”事项责任清单编制监管和调整工作经费，事业单位改革工作经费，党政群机关统一社会信用代码赋码工作等经费，2022年县乡“属地管理”事项责任清单编制工作经费。共计30万元</t>
  </si>
  <si>
    <t>其他基本业务费：县政府已审批追加30万元。
其他专项业务费：省一体化大融合行政执法平台设备配备工作经费1.5万元。</t>
  </si>
  <si>
    <t>2013650事业运行</t>
  </si>
  <si>
    <t>2010308信访事务</t>
  </si>
  <si>
    <t>信访维稳专项经费</t>
  </si>
  <si>
    <t>信访救助金5万元</t>
  </si>
  <si>
    <t>其他基本业务费：县政府已审批追加26万元。</t>
  </si>
  <si>
    <t>2013301行政运行</t>
  </si>
  <si>
    <t>落实意识形态工作、扫黄打非、接待媒体记者、宣传队伍建设、网信、新闻出版、社科宣传、党建活动、报刊征订、宣传系统日常工作经费、农家书提升改造、文改办公经费、社科基地帮扶等工作经费51万；县委理论学习中心组（梁野讲坛）活动经费、学习强国及小蜜蜂理论宣传18万；与上级媒体战略合作经费150万；对外宣传及外宣品制作、习近平新时代及党的二十大等重大活动宣传20万元；电影场次及设备维修费40万。</t>
  </si>
  <si>
    <t>2013350事业运行</t>
  </si>
  <si>
    <t>2011101行政运行</t>
  </si>
  <si>
    <t xml:space="preserve">市委县级交叉巡察71.2万；常规巡察（36+99）万；县委专项巡察25.8万；党风廉政教育及宣传经费等37万
</t>
  </si>
  <si>
    <t>其他基本业务费：县委巡查办工作经费45万</t>
  </si>
  <si>
    <t>2011150事业运行</t>
  </si>
  <si>
    <t>2010501行政运行</t>
  </si>
  <si>
    <t>四上企业统计基础工作考核奖励专项业务费68万（340家*2000元/家/年）；统计基础工作建设及统计调查专项业务费（武政办[2020]7号）40万；经济普查142万。人口普查归档及资料开发费用等20万元</t>
  </si>
  <si>
    <t>2010550事业运行</t>
  </si>
  <si>
    <t>2010101行政运行</t>
  </si>
  <si>
    <t>代表履职经费</t>
  </si>
  <si>
    <t>人代会会议费75万元，联网专线30万元。</t>
  </si>
  <si>
    <t>2010150事业运行</t>
  </si>
  <si>
    <t>《武平县组织史》；《武平家训家风故事集》编纂经费；《绝对忠诚》故事书出版；《武平县年鉴》；“中央苏区福建党政军机关红军最后战斗历程”史料挖掘采写。红色文化挖掘整理（含刘亚楼将军故事、林伟将军故事、罗斌将军故事、廖步云将军故事、蓝文兆将军故事各；武平县红色革命遗址通览、《火红的世界》总计90万元。</t>
  </si>
  <si>
    <t>2012601行政运行</t>
  </si>
  <si>
    <t>档案库房电费、电梯维护及设备维修维护、（消防、电脑、网络、库房智能化设备等）、档案数字化处理共计10万元（定额公用经费2元*27.3万册=54.6万元）</t>
  </si>
  <si>
    <t>2012603机关服务</t>
  </si>
  <si>
    <t>2013401行政运行</t>
  </si>
  <si>
    <t>香港工作经费、党外知识分子联谊会工作经费、新的社会阶层人士联谊会工作经费、民营经济统战工作经费、宗教团体工作及活动场所安全管理经费、海外统战工作经费共计72万元。</t>
  </si>
  <si>
    <t>[213003]武平县新的社会阶层人士服务中心</t>
  </si>
  <si>
    <t>2013450事业运行</t>
  </si>
  <si>
    <t>业务费及老年体育工作经费20万；聘用退休人员劳务费和培训费10万。</t>
  </si>
  <si>
    <t>市第十一届老年人健身大会经费17.72万。</t>
  </si>
  <si>
    <t>2010801行政运行</t>
  </si>
  <si>
    <t>审核项目委托第三方机构抽审经费、金审工程建设及维护费用共计30万元；</t>
  </si>
  <si>
    <t>其他专项业务费：县政府已审批追加50万元。
其他专项业务费：省一体化大融合行政执法平台设备配备工作经费1.5万元。</t>
  </si>
  <si>
    <t>2010850事业运行</t>
  </si>
  <si>
    <t>大督办、12345平台建设经费</t>
  </si>
  <si>
    <t>定额基本业务费：县政府已审批追加80万元。
其他专项业务费：智慧武平运行工作经费138万。</t>
  </si>
  <si>
    <t>行政后勤170万元；食堂130万元；公用经费51万元。</t>
  </si>
  <si>
    <t>县委县政府大院第一会场维修发行项目60万元</t>
  </si>
  <si>
    <t>[434003]武平县政府总值班室</t>
  </si>
  <si>
    <t>2013801行政运行</t>
  </si>
  <si>
    <t>其他专项业务费：（1）电梯应急救援指挥中心建设运营经费30万元；（2）食品安全工作专项经费60万元；（3）食品抽检经费50万元；（4）农产品快检10万元；（5）打击传销及无证经营5万元（6）制服购买款10万元;局办公楼及6个基层所办公楼维护费10万；执法装备和检测设备款10万。</t>
  </si>
  <si>
    <t>2013850事业运行</t>
  </si>
  <si>
    <t>检测与维护</t>
  </si>
  <si>
    <t>宣传，平台建设，培训等</t>
  </si>
  <si>
    <t>强制检定计量器具检定费</t>
  </si>
  <si>
    <t>综治中心业务费（含房租、视联网、综治中心视频升级改造）20万元，县综治中心网格化平台运行、设备维护及工作经费10万元，</t>
  </si>
  <si>
    <t>[204004]武平县老区建设促进会</t>
  </si>
  <si>
    <t>[204007]武平县老科学技术工作者协会</t>
  </si>
  <si>
    <t>[204003]武平县定光佛文化交流促进会</t>
  </si>
  <si>
    <t>劳模协会工作经费13万；基层一线职工疗休养费用18万元（按2022年省总要求计算安排职工疗休养人数不低于900人，县总工会人均每天需补助50元，按4天计算900*50*4=18万元。</t>
  </si>
  <si>
    <t>[204008]武平县慈善总会</t>
  </si>
  <si>
    <t>2040601行政运行</t>
  </si>
  <si>
    <t>法治政府督察费20</t>
  </si>
  <si>
    <t>法律顾问费用3.2万元；法律援助10万元；公职人员学法考试6.8万元；值班律师法律帮助案件10万元；社区矫正经费18.56万元（464人*2000元*0.2）；人民调解“以案定补”经费10万元；合计58.56万元</t>
  </si>
  <si>
    <t>2040650事业运行</t>
  </si>
  <si>
    <t>2040201行政运行</t>
  </si>
  <si>
    <t>公安英烈基金经费30万元，涉案财物管理中心经费23万元，禁毒经费90万元，扫黑险恶专工作经费42.5万元，反电信诈骗专项工作经费42.5万元</t>
  </si>
  <si>
    <t>2049999其他公共安全支出</t>
  </si>
  <si>
    <t>2225-大型专用设备租赁</t>
  </si>
  <si>
    <t>高清视频卡口及平安家园建设1300万元。</t>
  </si>
  <si>
    <t>2040250事业运行</t>
  </si>
  <si>
    <t>看守所80万，武警中队54万。</t>
  </si>
  <si>
    <t>看守所监房及附属楼安全技术防范工程及“磐石工程”一期维修服务费29.5万元(按工程总价格399.02+25.78+66.5=491.3万元的6%）29.5；政府购买医疗服务40万。</t>
  </si>
  <si>
    <t>道安办经费5万；军警民一体化建设5万；根据【2018】10号县委常委会纪要红绿灯维护经费79万元。交通事故调委会工作经费1万元。</t>
  </si>
  <si>
    <t>2040499其他检察支出</t>
  </si>
  <si>
    <t>[161001]人民法院</t>
  </si>
  <si>
    <t>2040599其他法院支出</t>
  </si>
  <si>
    <t>国防动员费5万；征兵工作经费40万（一年两征工作经费，含役前教育训练经费）；民兵训练补助90万；民兵应急连经费15万（民兵应急连120人常态化备勤及国旗护卫队保障国庆等重大活动）；民兵应急分队经费48万（共32人含班长等保障人员）。</t>
  </si>
  <si>
    <t>2050101行政运行</t>
  </si>
  <si>
    <t>教育生均经费：随班就读人员生均经费23万元。
其他专项业务费：考试经费239.08、教育督导55、教育费附加增加手续费42、校园周边安全1、教育培训经费794（项目支出调至商品和服务支出）。省一体化大融合行政执法平台设备配备工作经费1.5万元。</t>
  </si>
  <si>
    <t>2050204高中教育</t>
  </si>
  <si>
    <t>银行贷款政府贴息60万元（武委201711号）；课后辅导财政补助206.05万元（中共武平县委专题会议纪要201821号暑期、周末、晚自习教学辅导购买服务经费）</t>
  </si>
  <si>
    <t>2050202小学教育</t>
  </si>
  <si>
    <t>2050701特殊学校教育</t>
  </si>
  <si>
    <t>[360008]武平县下坝幼儿园</t>
  </si>
  <si>
    <t>2050201学前教育</t>
  </si>
  <si>
    <t>1、学前教育生均公用经费2.34万元；2、学前教育其他生均公用经费17.17万元</t>
  </si>
  <si>
    <t>2050302中等职业教育</t>
  </si>
  <si>
    <t>其他基本业务费：从项目支出中职教育免学费调剂至商品服务支出。</t>
  </si>
  <si>
    <t>2050203初中教育</t>
  </si>
  <si>
    <t>[360011]武平县大禾幼儿园</t>
  </si>
  <si>
    <t>1、学前教育生均公用经费3.29万元；2、学前教育其他生均公用经费18.4万元</t>
  </si>
  <si>
    <t>[360014]武平县中赤幼儿园</t>
  </si>
  <si>
    <t>1、学前教育生均公用经费4.37万元；2、学前教育其他生均公用经费26.24万元</t>
  </si>
  <si>
    <t>[360017]武平县民主幼儿园</t>
  </si>
  <si>
    <t>1、学前教育生均公用经费2.3万元；2、学前教育其他生均公用经费15.05万元</t>
  </si>
  <si>
    <t>[360018]武平县中堡幼儿园</t>
  </si>
  <si>
    <t>1、学前教育生均公用经费9.45万元；2、学前教育其他生均公用经费66.04万元</t>
  </si>
  <si>
    <t>[360019]武平县十方幼儿园</t>
  </si>
  <si>
    <t>1、学前教育生均公用经费21.02万元；2、学前教育其他生均公用经费151.6万元</t>
  </si>
  <si>
    <t>1、高中生均公用经费17.94万；2、初中生均公用经费13.82万元</t>
  </si>
  <si>
    <t>1、初中生均公用经费9.31万元；2、小学生均公用经费6.18万元</t>
  </si>
  <si>
    <t>[360022]武平实验中学崇文校区</t>
  </si>
  <si>
    <t>[360023]武平县东留幼儿园</t>
  </si>
  <si>
    <t>1、学前教育生均公用经费14.58万元；2、学前教育其他生均公用经费96.34万元</t>
  </si>
  <si>
    <t>[360026]武平县武东幼儿园</t>
  </si>
  <si>
    <t>1、学前教育生均公用经费6.12万元；2、学前教育其他生均公用经费43.71万元</t>
  </si>
  <si>
    <t>[360027]武平县启文幼儿园</t>
  </si>
  <si>
    <t>1、学前教育生均公用经费24.53万元；2、学前教育其他生均公用经费176.58万元</t>
  </si>
  <si>
    <t>[360030]武平县万安幼儿园</t>
  </si>
  <si>
    <t>1、学前教育生均公用经费11.66万元；2、学前教育其他生均公用经费83.99万元</t>
  </si>
  <si>
    <t>[360032]武平县桃溪幼儿园</t>
  </si>
  <si>
    <t>1、学前教育生均公用经费8.46万元；2、学前教育其他生均公用经费56.27万元</t>
  </si>
  <si>
    <t>1、学前教育生均公用经费45万元；2、学前教育其他生均公用经费386.23万元</t>
  </si>
  <si>
    <t>[360035]武平县湘店幼儿园</t>
  </si>
  <si>
    <t>1、学前教育生均公用经费7.16万元；2、学前教育其他生均公用经费46.28万元</t>
  </si>
  <si>
    <t>[360036]武平县永平幼儿园</t>
  </si>
  <si>
    <t>1、学前教育生均公用经费4.23万元；2、学前教育其他生均公用经费26.09万元</t>
  </si>
  <si>
    <t>[360039]武平县中山幼儿园</t>
  </si>
  <si>
    <t>1、学前教育生均公用经费11.12万元；2、学前教育其他生均公用经费81.24万元</t>
  </si>
  <si>
    <t>[360041]武平县象洞幼儿园</t>
  </si>
  <si>
    <t>1、学前教育生均公用经费8.64万元；2、学前教育其他生均公用经费61.24万元</t>
  </si>
  <si>
    <t>[360043]武平县岩前幼儿园</t>
  </si>
  <si>
    <t>1、学前教育生均公用经费45.05万元；2、学前教育其他生均公用经费303.66万元</t>
  </si>
  <si>
    <t>2050299其他普通教育支出</t>
  </si>
  <si>
    <t>学校运转经费</t>
  </si>
  <si>
    <t>其他基本业务费：县政府专题会议纪要【2023】33号，每年安排办学经费120万元。</t>
  </si>
  <si>
    <t>1、学前教育生均公用经费21.6万元；2、学前教育其他生均公用经费185.76万元</t>
  </si>
  <si>
    <t>1、学前教育生均公用经费20.79万元；2、学前教育其他生均公用经费178.79万元</t>
  </si>
  <si>
    <t>1、学前教育生均公用经费18.09万元；2、学前教育其他生均公用经费195.37万元</t>
  </si>
  <si>
    <t>1、学前教育生均公用经费21.51万元；2、学前教育其他生均公用经费185.76万元</t>
  </si>
  <si>
    <t>1、学前教育生均公用经费11.79万元；2、学前教育其他生均公用经费84.89万元</t>
  </si>
  <si>
    <t>1、学前教育生均公用经费4.73万元；2、学前教育其他生均公用经费34.02万元</t>
  </si>
  <si>
    <t>1、学前教育生均公用经费3.74万元；2、学前教育其他生均公用经费26.89万元</t>
  </si>
  <si>
    <t>1、学前教育生均公用经费13.46万元；2、学前教育其他生均公用经费96.88万元</t>
  </si>
  <si>
    <t>2050802干部教育</t>
  </si>
  <si>
    <t>2023年干部能力素质提升系列专师班培训经费40万元，日常运转及社会主义学院工作经费10万元，免收费干部培训50万元。</t>
  </si>
  <si>
    <t>2060101行政运行</t>
  </si>
  <si>
    <t>（年初预算201科目调至206科目）
其他专项业务费：省一体化大融合行政执法平台设备配备工作经费1.5万元。</t>
  </si>
  <si>
    <t>2060199其他科学技术管理事务支出</t>
  </si>
  <si>
    <t>2060701机构运行</t>
  </si>
  <si>
    <t>[731001]武平县科学技术协会</t>
  </si>
  <si>
    <t>科技示范县建设</t>
  </si>
  <si>
    <t>2070101行政运行</t>
  </si>
  <si>
    <t>办公室租金2023年租金1509.42元/月*12月=1.81万元、文化文艺活动专项100.19万元、文物保护50、体育专项10万元，共计162万元</t>
  </si>
  <si>
    <t>2070104图书馆</t>
  </si>
  <si>
    <t>用于图书馆征订报刊杂志、开展阅读推广活动及日常运行等63万元。</t>
  </si>
  <si>
    <t>其他专项业务费：图书馆新馆定制家居及购书经费、信息化设备购置费（原来300万现有慈善总会捐款100万元，财政追加200万元）。</t>
  </si>
  <si>
    <t>2070107艺术表演团体</t>
  </si>
  <si>
    <t>定向委培生学费24.3万(6.48万/4年*15人)；公益演出经费40万（含梨园物业水电等）。</t>
  </si>
  <si>
    <t>其他专项业务费：2023年新春团拜会演出经费3万元。</t>
  </si>
  <si>
    <t>2070109群众文化</t>
  </si>
  <si>
    <t>群众文化示范建设</t>
  </si>
  <si>
    <t>2070112文化和旅游市场管理</t>
  </si>
  <si>
    <t>扫黄打非经费2万</t>
  </si>
  <si>
    <t>2070199其他文化和旅游支出</t>
  </si>
  <si>
    <t>2070205博物馆</t>
  </si>
  <si>
    <t>2070306体育训练</t>
  </si>
  <si>
    <t>运动员伙食补助（武委【2010】13号文件）</t>
  </si>
  <si>
    <t>2079999其他文化旅游体育与传媒支出</t>
  </si>
  <si>
    <t>2023年度梁山书院、文庙物业费、兴贤坊传统文化街区服务中心日常运行经费小计33.5万；2023年度政务讲解费1.5万；2023年度匾额博物馆（树德堂）运营管理费70万。</t>
  </si>
  <si>
    <t>2070899其他广播电视支出</t>
  </si>
  <si>
    <t>设备更新购置、广电网络技术平台年费、人民政府网微信号运维费14项费共计198万元。</t>
  </si>
  <si>
    <t>其他专项业务费：与央视网开展制作推广全国林改第一县“网上展馆”合作经费39万元。</t>
  </si>
  <si>
    <t>2080201行政运行</t>
  </si>
  <si>
    <t>1.农村留守儿童关爱保护及未成年人保护法宣传工作经费25万；
（龙未保委20211号）
2.城乡低保特困救助工作专项业务费55万；
（武政办201724号）
3.残疾人二项补贴工作专项业务费20万；（武政办201724号）
4.养老事业发展专项业务费45万；（武委发201711号）
5.委托第三方评估代理费28万:（儿童收养、寄养评估费县内20例，每例0.2万元，县外10例，每例0.3万元，合计7万元，福蕾行动计划评估4个项目合计4万元，养老社区养老服务中心2万元、互联网+养老2万元、乡镇敬老院第三方运营2万元、失能失智困难老年人2万元、社工站购买服务运营情况5万元，社会组织第三方专项审计4万元。）（闽民2020144号，武民2016130号，武政办201958号，龙政综2020122号）
6.精神障碍社区康复服务（康乐家园）购买服务10万元；（领导批示）
7.全县救助申请家庭经济状况核对系统维护经费5万；（武政办201724号）
8.街道、村委会地名标志牌建设维10万元；（根据《福建省地名管理办法》第三十三条）9.行政区域界线维护5万元；（闽民勘2018131号）
10.殡葬改革及移风易俗工作经费11万元；（根据武政文2019259号）
11.老区工作经费1万元。（福建省促进革命老区发展条例）
12.武委政〔2022〕11号县殡仪馆无名尸体等疑难遗体火化费用5</t>
  </si>
  <si>
    <t>2081005社会福利事业单位</t>
  </si>
  <si>
    <t>专项业务费64000元，其中：婚姻书工本费8000对*5元=40000元，婚姻档案整理费8000对*3元=24000元，</t>
  </si>
  <si>
    <t>2082801行政运行</t>
  </si>
  <si>
    <t xml:space="preserve">烈士纪念日等系列纪念活动专项经费（《英雄烈士保护法》）、退役军人政策宣传工作经费（《福建省拥军优属条例》）、
退役军人信息采集经费。（闽退役军人厅〔2020〕51号）、
退役军人移交安置、权益维护、信访维稳工作经费
（《退役士兵安置条例》）、“解三难”专项业务费。
（市“五项政策”）、光荣院维修维护费、退役军人安置就业教育工作经费、退役军人档案整理工作经费、英烈事迹编撰整理工作经费、双拥工作经费等71万。
（《光荣院管理办法》）、县人武部工会经费6万元。
2022年创省级“双拥模范县”经费一次性补助13万元，
</t>
  </si>
  <si>
    <t>2082850事业运行</t>
  </si>
  <si>
    <t>2080101行政运行</t>
  </si>
  <si>
    <t>工伤调查认定工作经费、劳动仲裁办案经费、事业单位招聘考试业务费、工人及大中专毕业生档案管理费、社保基金征缴扩面及人力资源网络运行维护费等88万；政府购买服务费200万。</t>
  </si>
  <si>
    <t>2080109社会保险经办机构</t>
  </si>
  <si>
    <t>业务档案信息化处理及信息系统本地化服务费等工作经费。</t>
  </si>
  <si>
    <t>2080106就业管理事务</t>
  </si>
  <si>
    <t>用于企业缺工材料、招用工宣传横幅制作、社保补贴及公益性岗位等就业创业政策宣传资料印制、基金运行安全工作经费、外出招用工工资经费、失业保险宣传扩面经费、下岗工人及大学毕业生等流动人员档案扫描、寄送费用等。</t>
  </si>
  <si>
    <t>1、业务信息系统专网费。2、村级平台建设工作运行经费。3、业务档案整理扫描并移交档案馆等费用。4、基金安全运行工作经费。5、城乡居民基本养老保险个人权益对账单制作。6、城乡居民基本养老保险、被征地农民养老保障政策宣传、参保扩面工作经费。7、城乡居民基本养老保险待遇领取人员生存资格认证工作经费。</t>
  </si>
  <si>
    <t>2080105劳动保障监察</t>
  </si>
  <si>
    <t>劳动保障监察执法专项业务费</t>
  </si>
  <si>
    <t>[323009]武平县社会劳动保险管理中心</t>
  </si>
  <si>
    <t>工伤保险业务经费。</t>
  </si>
  <si>
    <t>[323014]武平县企业退休人员管理服务办公室</t>
  </si>
  <si>
    <t>2089999其他社会保障和就业支出</t>
  </si>
  <si>
    <t>企业退休人员活动经费10万（企业退休人员活动经费参照行政事业退休人员80/人*888人＝7.1万，县退管办与乡镇企业退管站工作经费2.9）。（武政文2004306号）国有企业退休人员社会化管理经费475人*100＝4.75万（武委办发202025号）</t>
  </si>
  <si>
    <t>2081601行政运行</t>
  </si>
  <si>
    <t>组织无偿献血、开展精神传播及活动、群众性现场应急救护知识普及培训和人道救助等活动经费5万。</t>
  </si>
  <si>
    <t>2081101行政运行</t>
  </si>
  <si>
    <t>扶持15户残疾人养蜂、180名残疾人社会保险补助、2家集中安置企业奖励补助、接纳高校残疾学生补助、辅助5人以上智力、精神及重度残疾人就业、为60名残疾人提供农村实用技术培训；福建省梁野残疾人慈善基金会注册资金由县财政预拨200万，预拨资金从安排县残联一般公共预算专项（残保金安排的支出）中每年扣回50万；帮助20名残疾学生、低保户残疾人子女完成学业、“一户多残”生活困难补助、残疾人意外伤害保险、助残日和两节慰问、特殊学校教育培训、第三代智能证模块材料费、打证机维护费、残疾人保障法宣传、动态更新等。</t>
  </si>
  <si>
    <t>2081103机关服务</t>
  </si>
  <si>
    <t>爱国卫生工作经费（国家卫生县城复审经费、县城中心城区“四害”消杀经费；2023年为国家卫生县城“复审年”）、疾病预防控制及应急专项经费（卫生应急队伍运转维护经费、儿童青少年近视调查工作经费、结核病防治工作经费）、老龄工作经费、医疗纠纷调委会等业务经费136万元。老龄工作及老年学会研究经费（70岁老年人免费乘坐公交车15万元（武财社函202138号）老年协会研究小组经费6万元）；</t>
  </si>
  <si>
    <t>2010103机关服务</t>
  </si>
  <si>
    <t>[361028]武平县卫生局卫生监督所</t>
  </si>
  <si>
    <t>2100402卫生监督机构</t>
  </si>
  <si>
    <t>公共场所卫生安全监督、医疗机构卫生安全监督、计划生育监督、职业卫生安全监督、学校卫生安全监督、生活饮用水卫生安全专项监督、卫生监督员培训、突发公共卫生事件处置、尘毒专项整治、卫生监督协管、公共场所、生活饮用水、放射卫生等卫生知识培训等</t>
  </si>
  <si>
    <t>[324001]龙岩市医疗保障基金管理中心武平管理部</t>
  </si>
  <si>
    <t>2101506医疗保障经办事务</t>
  </si>
  <si>
    <t>特殊人群医疗保障工作经费5万；城乡居民医疗保险征缴经费30万（岩税发201953号、龙政综2019160号）；重精医疗救助基金管理专项经费1万（龙政办201919号）。</t>
  </si>
  <si>
    <t>2100499其他公共卫生支出</t>
  </si>
  <si>
    <t>二类疫苗预防接种服务</t>
  </si>
  <si>
    <t>二类疫苗23年未缴库，待明年缴库后预算。</t>
  </si>
  <si>
    <t>2100401疾病预防控制机构</t>
  </si>
  <si>
    <t>(1）预防接种工作运转经费：根据《福建省卫生厅转发卫生部关于加强预防接种工作的通知》闽卫疾控函2012603号文件"县级疾病预防控制机构开展预防接种技术指导、人员培训、绩效考核、监测评估、疫苗运输等工作运转经费25万元。（2）应急保障及物资储备经费：根据《龙岩市卫生计生委关于转发（福建省市、县两级卫生应急队伍装备目录试行》（龙卫应急（2018）2号文件，应急设施、设备、消杀药品和器械、防护用品等物资储备费10万元。（3）生活饮用水卫生监测经费：据《生活饮用水卫生监督管理办法》、《福建省十三五地方病防治规划》、《武平县人民政府关于印发武平县农村饮用水安全检测管理办法的通知》（武政文（2016）450号）文件，农村、学校生活饮用水日常监测经费5万元。（4）结核病、艾滋病、地方病等防治经费：根据《国务院办公厅关于印发中国遏制与防治艾滋病十三五行动计划等通知》（国办发（2017）8号）、《武平县人民政府办公厅关于印发武平县结核病分级诊疗和综合防治服务模式试点实施方案的通知》（武政办（2017）116号）、《福建省十三五地方病防治规划》、结核病、地方病、传染病等防治经费10万元。（5）取消预防性体检等行政性收费补助：根据县财政局、发展和改革局（关于贯彻国家清理规范一批行政事业性收费政策的通知）（武财综（2017）5号）文件要求，我单位已取消卫生检测费、委托性卫生防疫费和预防性体检费等行政事业性收费项目，要求预算经费10万元，用于购买试剂耗材，支、水电费、仪器设备维修费、折旧费、差旅费、培训费等。</t>
  </si>
  <si>
    <t>2100403妇幼保健机构</t>
  </si>
  <si>
    <t>药品、耗材零差价补助</t>
  </si>
  <si>
    <t>药品、耗材零差价补助、免费婚前医学检查项目等</t>
  </si>
  <si>
    <t>2100716计划生育机构</t>
  </si>
  <si>
    <t>计生家庭意外险、生育关怀等业务费</t>
  </si>
  <si>
    <t>07-资环股</t>
  </si>
  <si>
    <t>[365001]龙岩市武平生态环境局</t>
  </si>
  <si>
    <t>2110199其他环境保护管理事务支出</t>
  </si>
  <si>
    <t>其他基本业务费：生态督查队工作经费15万，重点项目高质量落地攻坚行动奖励0.3。</t>
  </si>
  <si>
    <t>2120199其他城乡社区管理事务支出</t>
  </si>
  <si>
    <t>人防警报器设备21.9万（增加6台*3.65万元/台）；9.18人防警报试鸣暨人防疏散综合演练5万。</t>
  </si>
  <si>
    <t>其他专项业务费：农村污水治理工作经费5万。省一体化大融合行政执法平台设备配备工作经费1.5万元。</t>
  </si>
  <si>
    <t>[333002武平县建设工程造价站</t>
  </si>
  <si>
    <t>2120109住宅建设与房地产市场监管</t>
  </si>
  <si>
    <t>保障性住房配租配售申请审批各类表格印刷费、保障性住房政策等宣传费用4万、保障性住房配租售摇号公正费0.4万。</t>
  </si>
  <si>
    <t>2120601建设市场管理与监督</t>
  </si>
  <si>
    <t>聘请专家费10万</t>
  </si>
  <si>
    <t>其他专项业务费：房屋修缮及办公经费10万元，桩基复核费用5万元。（县政府审批）</t>
  </si>
  <si>
    <t>2120201城乡社区规划与管理</t>
  </si>
  <si>
    <t>2120104城管执法</t>
  </si>
  <si>
    <t>2120501城乡社区环境卫生</t>
  </si>
  <si>
    <t>环卫车辆费用15万；12座公厕22万；17座爱心驿站6.5万；垃圾中转站日常维护费用9万；春节、环卫工人节慰问费6万。</t>
  </si>
  <si>
    <t>儿童乐园保安管理项目50、监控音箱维护项目15</t>
  </si>
  <si>
    <t>11-农业农村股</t>
  </si>
  <si>
    <t>2130101行政运行</t>
  </si>
  <si>
    <t>巩固脱贫攻坚成果工作经费100万（含5个脱贫乡镇25万，每个乡镇5万）；县委乡村振兴办经费20万；扶贫协会工作经费8万；省市驻村干部住宿费10万；土地承包经营纠纷调解仲裁经费2万元（闽农政改函2021785号：平安建设考评要求）。</t>
  </si>
  <si>
    <t>其他基本业务费：农业事业发展资金112.8万元（县政府审批）（武财农预[2023]2号）。
其他专项业务费：省一体化大融合行政执法平台设备配备工作经费1.5万元。</t>
  </si>
  <si>
    <t>闽农综202286号：市、县财政每年要安排农机购置与应用补贴经费和必要的组织管理经费。</t>
  </si>
  <si>
    <t>2130104事业运行</t>
  </si>
  <si>
    <t>2130301行政运行</t>
  </si>
  <si>
    <t>城乡一体化建设指挥部办公经费、水资源管理系统互联网专线联通通信服务费15.7万；武平县河长制办公经费30万（根据岩河长组办〔2021〕1号关于市县乡三级河长制办公室标准化建设的实施意见，河长制目标考核要求每县办公经费不少于30万）</t>
  </si>
  <si>
    <t>2130399其他水利支出</t>
  </si>
  <si>
    <t>其他基本业务费：根据县政府常务会议纪要[2021]7号及武平县人民政府备忘录[2021]15号精神，由县财政每年对六甲水库工作站的实际运转支出所需缺口资金统筹安排（2021年测算六甲水库工作站人员的差额工资、五险一金及工作站正常运转经费等缺口资金约40万元），追加2022年缺口资金22.87万元，2023年缺口资金19.73万元，合计43.6万元。</t>
  </si>
  <si>
    <t>2130303机关服务</t>
  </si>
  <si>
    <t>2130201行政运行</t>
  </si>
  <si>
    <t>2130203机关服务</t>
  </si>
  <si>
    <t>2130705对村民委员会和村党支部的补助</t>
  </si>
  <si>
    <t>社区办公经费、党建经费</t>
  </si>
  <si>
    <t>村级办公经费39.6万元，社区办公经费、党建经费60万元</t>
  </si>
  <si>
    <t>村级办公经费</t>
  </si>
  <si>
    <t>村级办公经费40.9万元，社区办公经费、党建经费20万元</t>
  </si>
  <si>
    <t>2140101行政运行</t>
  </si>
  <si>
    <t>其他基本业务费：中堡公路站过户经费0.4万。
其他专项业务费：省一体化大融合行政执法平台设备配备工作经费1.5万元。</t>
  </si>
  <si>
    <t>2140199其他公路水路运输支出</t>
  </si>
  <si>
    <t>2140299其他铁路运输支出</t>
  </si>
  <si>
    <t>印刷费4、差旅费4万、劳务费7万、委托业务费7万、其他商品服务支出5万</t>
  </si>
  <si>
    <t>2149999其他交通运输支出</t>
  </si>
  <si>
    <t>[348006]武平县交通综合行政执法大队</t>
  </si>
  <si>
    <t>2021、2022年汽车租赁费</t>
  </si>
  <si>
    <t>14-国资金融股</t>
  </si>
  <si>
    <t>[902011]武平工业园区投资发展有限公司</t>
  </si>
  <si>
    <t>2150899其他支持中小企业发展和管理支出</t>
  </si>
  <si>
    <t>[902109]武平县梁川水利投资有限公司</t>
  </si>
  <si>
    <t>[902101]武平县天恒城市建设投资集团有限公司</t>
  </si>
  <si>
    <t>[902013]福建梁野山农业开发有限公司</t>
  </si>
  <si>
    <t>[902008]武平县天然文化旅游有限公司</t>
  </si>
  <si>
    <t>2160201行政运行</t>
  </si>
  <si>
    <t>武平县农民专业合作社发展领导小组办公室工作经费</t>
  </si>
  <si>
    <t>2160250事业运行</t>
  </si>
  <si>
    <t>武平县农民合作社发展服务中心工作经费</t>
  </si>
  <si>
    <t>[975022]武平县梁野烟农专业合作社</t>
  </si>
  <si>
    <t>2169999其他商业服务业等支出</t>
  </si>
  <si>
    <t>[903001]中国人民银行武平县支行</t>
  </si>
  <si>
    <t>2170399其他金融发展支出</t>
  </si>
  <si>
    <t>奖补资金</t>
  </si>
  <si>
    <t>定额基本业务费：扣减22年第一季度开门红任务完成扣款2.5万，调减年初97.5万元。</t>
  </si>
  <si>
    <t>银监经费10万；处非经费10万元；普惠金融工作经费（含金融服务实体经济）45万；购买劳务服务费6万；</t>
  </si>
  <si>
    <t>其他专项业务费：银监经费30万。</t>
  </si>
  <si>
    <t>2200101行政运行</t>
  </si>
  <si>
    <t>2022年基金安排土地出让经费50万</t>
  </si>
  <si>
    <t>定额基本业务费：工作经费419万（往年在基金列支），领导已批示。
其他专项业务费：省一体化大融合行政执法平台设备配备工作经费1.5万元。</t>
  </si>
  <si>
    <t>2200150事业运行</t>
  </si>
  <si>
    <t>2022年基金安排土地出让经费60万</t>
  </si>
  <si>
    <t>其他基本业务费：追加25万元（县政府审批）</t>
  </si>
  <si>
    <t>其他基本业务费：2022年契税协助征收经费30万，2023年1-9月契税协助征收经费26.0621万元。</t>
  </si>
  <si>
    <t>乡镇、各指挥部土地房屋征收工作经费</t>
  </si>
  <si>
    <t>2200199其他自然资源事务支出</t>
  </si>
  <si>
    <t>岩前站及磅房正常运转和设施设备维护等正常支出费用</t>
  </si>
  <si>
    <t>2200504气象事业机构</t>
  </si>
  <si>
    <t>人工影响天气经费、火箭弹存储运输费、乡镇自动气象站维护费、防灾减灾信息系统维护更新费、“中国天然氧吧”维持费等地方气象事业经费（武气发20195号、闽政办202129号、闽政202123号等）</t>
  </si>
  <si>
    <t>2240450事业运行</t>
  </si>
  <si>
    <t>煤矿安全生产监察经费1.2万；煤矿安全监控系统网络租金及运行维护费1.96万；省市专家检查等业务费用1.5万元,煤矿安全监管执法系统专项业务费用1万元（根据闽应急【2022】55号文件要求，开展煤矿安全监管现场执法支出）。</t>
  </si>
  <si>
    <t>2240101行政运行</t>
  </si>
  <si>
    <t>安全生产、应急管理等专项业务费40万；防震减灾10万；无人机管理专项业务费4万。</t>
  </si>
  <si>
    <t>[342005]武平县防震减灾中心</t>
  </si>
  <si>
    <t>2240599其他地震事务支出</t>
  </si>
  <si>
    <t>其他基本业务费：日常运行公用经费376、消防车辆经费66、灭火药剂储备经费40、装备统型经费14。
其他专项业务费：省一体化大融合行政执法平台设备配备工作经费1.5万元。</t>
  </si>
  <si>
    <t>2023年项目支出预算调整情况表（县本级）</t>
  </si>
  <si>
    <t>资金管理处室</t>
  </si>
  <si>
    <t>一级项目类别</t>
  </si>
  <si>
    <t>项目名称</t>
  </si>
  <si>
    <t>一般公共预算资金</t>
  </si>
  <si>
    <t>1-9月实际支出数</t>
  </si>
  <si>
    <t>11-12月急需支出数</t>
  </si>
  <si>
    <t>年初预算说明</t>
  </si>
  <si>
    <t>调减意见</t>
  </si>
  <si>
    <t>调减支出
（列暂付款）</t>
  </si>
  <si>
    <t>本级发展性支出</t>
  </si>
  <si>
    <t>本级补贴清算类支出</t>
  </si>
  <si>
    <t>其他特定目标类项目</t>
  </si>
  <si>
    <t>债务还本支出</t>
  </si>
  <si>
    <t>发行费用支出</t>
  </si>
  <si>
    <t>201一般公共服务支出</t>
  </si>
  <si>
    <t>203001-中国共产党武平县委员会组织部</t>
  </si>
  <si>
    <t>2013299-其他组织事务支出</t>
  </si>
  <si>
    <t>[3]特定目标类</t>
  </si>
  <si>
    <t>39-其他特定目标类项目</t>
  </si>
  <si>
    <t>含各种人才资源开发专项经费，用于培养造就一支优良的人才队伍</t>
  </si>
  <si>
    <t>各种人才资源开发专项经费，用于培养造就一支优良的人才队伍1000万元。</t>
  </si>
  <si>
    <t>不调减</t>
  </si>
  <si>
    <t>2022年村居干部五项考评资金</t>
  </si>
  <si>
    <t>县政府批准武财事追指【2023】40号追加，2022年村居干部五项考评资金。</t>
  </si>
  <si>
    <t>2023年村居干部五项考评资金63万元</t>
  </si>
  <si>
    <t>关心关爱基层党员干部专项资金</t>
  </si>
  <si>
    <t>县级关心关爱基层党员干部专项资金13.5万元。</t>
  </si>
  <si>
    <t>16-项目资金管理股</t>
  </si>
  <si>
    <t>303001-武平县发展和改革局</t>
  </si>
  <si>
    <t>2010499-其他发展与改革事务支出</t>
  </si>
  <si>
    <t>311-本级发展性支出</t>
  </si>
  <si>
    <t>重点项目前期工作经费</t>
  </si>
  <si>
    <t>含项目储备奖励经费、项目谋划工作经费。</t>
  </si>
  <si>
    <t>项目落地攻坚战役专项经费</t>
  </si>
  <si>
    <t>含五个一批正向激励经费、开竣工活动经费、项目特派员经费等。</t>
  </si>
  <si>
    <t>服务业扶持奖励</t>
  </si>
  <si>
    <t>预拨资金，武财发预[2023]21号</t>
  </si>
  <si>
    <t>303003-武平县项目服务中心</t>
  </si>
  <si>
    <t>项目谋划补助经费</t>
  </si>
  <si>
    <t>用于补助各单位谋划项目经费</t>
  </si>
  <si>
    <t>437001-武平高新技术产业园区管理委员会</t>
  </si>
  <si>
    <t>2011399-其他商贸事务支出</t>
  </si>
  <si>
    <t>园区零星项目支出</t>
  </si>
  <si>
    <t>用于支付园区路灯、井盖等市政工程维护；园区安全隐患排查；园区迎检绿化工程支出；环保临时监测等其他零星支出。</t>
  </si>
  <si>
    <t>武平高新区水土保持监测费用</t>
  </si>
  <si>
    <t>按照2022年4月7日龙岩市水利局约谈要求，需依法开展水土保持监测工作</t>
  </si>
  <si>
    <t>436001-福建武平工业园区管理委员会</t>
  </si>
  <si>
    <t>总体规划环境影响跟踪评价经费</t>
  </si>
  <si>
    <t>预拨资金，武财发预[2023]17号</t>
  </si>
  <si>
    <t>福建省中触科技有限公司中触全自动数字智能显示产业项目建设补助</t>
  </si>
  <si>
    <t>预拨资金，武财发预[2023]28号，全景型玻璃视窗补助11.64万元、工业4.0新型研学基地补助50万元。</t>
  </si>
  <si>
    <t>201001-中国共产党武平县委员会办公室</t>
  </si>
  <si>
    <t>2013105-专项业务</t>
  </si>
  <si>
    <t>基层党建工作经费</t>
  </si>
  <si>
    <t>基层党建工作经费122万元，党建目管奖金85万元。</t>
  </si>
  <si>
    <t>424001-武平县市场监督管理局</t>
  </si>
  <si>
    <t>2013899-其他市场监督管理事务</t>
  </si>
  <si>
    <t>专利发展专项资金</t>
  </si>
  <si>
    <t>“万人专利拥有量”51万元，知识产权专项资金51万元，不锈钢质检中心实验室搬迁57万元。</t>
  </si>
  <si>
    <t>204公共安全支出</t>
  </si>
  <si>
    <t>216001-中国共产党武平县委员会政法委员会</t>
  </si>
  <si>
    <t>2049902-国家司法救助支出</t>
  </si>
  <si>
    <t>涉法涉诉及应急维稳救助基金</t>
  </si>
  <si>
    <t>2049999-其他公共安全支出</t>
  </si>
  <si>
    <t>平安建设村居三个10%及其他奖补</t>
  </si>
  <si>
    <t>312003-武平县公安局交通警察大队</t>
  </si>
  <si>
    <t>军警民一体训练服务基地项目工作经费</t>
  </si>
  <si>
    <t>预拨资金。武财预目预〔2023〕8号</t>
  </si>
  <si>
    <t>312001-武平县公安局</t>
  </si>
  <si>
    <t>军警民一体训练服务基地项目工程款</t>
  </si>
  <si>
    <t>预拨资金。武财项目预〔2023〕4号</t>
  </si>
  <si>
    <t>325005-武平县土地征收与补偿服务中心</t>
  </si>
  <si>
    <t>军警民一体训练服务基地项目（核销国库垫付款项）</t>
  </si>
  <si>
    <t>2023年新增一般债券。</t>
  </si>
  <si>
    <t>902101-武平县天恒城市建设投资集团有限公司</t>
  </si>
  <si>
    <t>军警民一体训练服务基地（变电站场平土方工程）</t>
  </si>
  <si>
    <t>预拨资金</t>
  </si>
  <si>
    <t>武平县军警民一体训练服务基地项目划拨土地成本及缴纳耕地占用税</t>
  </si>
  <si>
    <t>205教育支出</t>
  </si>
  <si>
    <t>360001-武平县教育局</t>
  </si>
  <si>
    <t>2050199-其他教育管理事务支出</t>
  </si>
  <si>
    <t>师范类定向培养生经费</t>
  </si>
  <si>
    <t>考试经费</t>
  </si>
  <si>
    <t>调整至商品服务支出（其他专项业务费）</t>
  </si>
  <si>
    <t>教育督导</t>
  </si>
  <si>
    <t>教育费附加增加手续费</t>
  </si>
  <si>
    <t>校园周边安全</t>
  </si>
  <si>
    <t>教育培训经费</t>
  </si>
  <si>
    <t>18-债务股</t>
  </si>
  <si>
    <t>360002-福建省武平县第一中学</t>
  </si>
  <si>
    <t>2050204-高中教育</t>
  </si>
  <si>
    <t>武平县一中扩容项目</t>
  </si>
  <si>
    <t>2023年新增一般债券。武财（债）指[2023]5号500万元、武财（债）指[2023]14号500万元</t>
  </si>
  <si>
    <t>2050299-其他普通教育支出</t>
  </si>
  <si>
    <t>武平县基础教育扩容建设项目</t>
  </si>
  <si>
    <t>2023年新增一般债券。武财（债）指[2023]5号1500万元、武财（债）指[2023]14号1000万元</t>
  </si>
  <si>
    <t>321-本级补贴清算类支出</t>
  </si>
  <si>
    <t>小学家庭经济困难学生生活补助</t>
  </si>
  <si>
    <t>按上级财政规定比例进行县级配套</t>
  </si>
  <si>
    <t>按上级财政规定比例配套</t>
  </si>
  <si>
    <t>初中家庭经济困难学生生活补助</t>
  </si>
  <si>
    <t>学前教育家庭经济困难学生生活补助</t>
  </si>
  <si>
    <t>学前教育、高校学生学费奖励建档立卡贫困户学生资助经费县级配套</t>
  </si>
  <si>
    <t>农村义务教育学生营养改善计划</t>
  </si>
  <si>
    <t>普通高中学生资助</t>
  </si>
  <si>
    <t>免除建档立卡等家庭经济困难学生学杂费</t>
  </si>
  <si>
    <t>免作业本县级配套</t>
  </si>
  <si>
    <t>教师公寓楼维修资金</t>
  </si>
  <si>
    <t>2050999-其他教育费附加安排的支出</t>
  </si>
  <si>
    <t>网络提速及视频监控</t>
  </si>
  <si>
    <t>全县中小及幼儿园学校网络提速及视频监控</t>
  </si>
  <si>
    <t>初中壮腰</t>
  </si>
  <si>
    <t>改善办学条件</t>
  </si>
  <si>
    <t>学校扩容</t>
  </si>
  <si>
    <t>其中一中扩容100万元；根据增值税消费税预计数测算。</t>
  </si>
  <si>
    <t>360009-福建省武平职业中专学校</t>
  </si>
  <si>
    <t>中职教育免学费</t>
  </si>
  <si>
    <t>调整至商品服务支出（其他基本业务费）</t>
  </si>
  <si>
    <t>中职教育学生资助</t>
  </si>
  <si>
    <t>2059999-其他教育支出</t>
  </si>
  <si>
    <t>继续教育基地（一期）装饰装修二期、智慧校园等工程尾款</t>
  </si>
  <si>
    <t>预拨资金。武财项目预〔2023〕10号</t>
  </si>
  <si>
    <t>206科学技术支出</t>
  </si>
  <si>
    <t>304001-武平县工业信息化和科学技术局</t>
  </si>
  <si>
    <t>2069999-其他科学技术支出</t>
  </si>
  <si>
    <t>科技特派员创新创业基金</t>
  </si>
  <si>
    <t>障科技特派员工作的正常运行，扶持一批科特派实施的后补助项目，培育一批科特派创新创业示范基地。</t>
  </si>
  <si>
    <t>疫情应急物资储存保管费用</t>
  </si>
  <si>
    <t>入驻龙洲物流园区、高新区的物流、快递企业租金补贴。</t>
  </si>
  <si>
    <t>工信科技高质量发展落实赶超十八条措施奖励</t>
  </si>
  <si>
    <t>472001-武平县商务局</t>
  </si>
  <si>
    <t>招商引资优惠政策奖补</t>
  </si>
  <si>
    <t>总部经济项目优惠政策奖补</t>
  </si>
  <si>
    <t>招商引资优惠政策奖补（2021年商务局履约保证金垫付）</t>
  </si>
  <si>
    <t>207文化旅游体育与传媒支出</t>
  </si>
  <si>
    <t>211001-中国共产党武平县委员会宣传部</t>
  </si>
  <si>
    <t>2070199-其他文化和旅游支出</t>
  </si>
  <si>
    <t>村村响广播电视公共服务（含农家书屋提升改造等）</t>
  </si>
  <si>
    <t>村村响广播电视公共服务（含农家书屋提升改造等）（武财办【2011】100号、闽政办【2016】191号、武政办【2008】29号）</t>
  </si>
  <si>
    <t>三下乡活动（含宣传思想文化设施与阵地建设、农民文化体育节）</t>
  </si>
  <si>
    <t>宣传部“三下乡”活动（含宣传思想文化设施与阵地建设、农民文化体育节）（闽委宣明电【2020】17号）</t>
  </si>
  <si>
    <t>文化产业发展</t>
  </si>
  <si>
    <t>2023年文化产业发展专项资金（武政文【2020】221号）</t>
  </si>
  <si>
    <t>舆情应对与网评员队伍建设</t>
  </si>
  <si>
    <t>舆情应对与网评员队伍建设经费</t>
  </si>
  <si>
    <t>357001-武平县文化体育和旅游局</t>
  </si>
  <si>
    <t>武平县城北片区改造一期（兴贤坊）项目政府购买服务(还本付息）</t>
  </si>
  <si>
    <t>yz2023年归还本金1000万元、利息173.15万元</t>
  </si>
  <si>
    <t>2023年归还本金1000万元、利息184.33万元</t>
  </si>
  <si>
    <t>902008-武平县天然文化旅游投资有限公司</t>
  </si>
  <si>
    <t>梁野山旅游服务中心工程款</t>
  </si>
  <si>
    <t>[2]特定目标类</t>
  </si>
  <si>
    <t>中山古镇保护与旅游开发建设项目</t>
  </si>
  <si>
    <t>yz2023年归还利息61.74万元，含经责审计整改</t>
  </si>
  <si>
    <t>武平县梁野山创5A级景区项目</t>
  </si>
  <si>
    <t>yz2023年归还利息290.77万元，含经责审计整改</t>
  </si>
  <si>
    <t>武平县定光祖庙旅游开发项目</t>
  </si>
  <si>
    <t>yz2023年归还利息12.97万元,含经责审计整改</t>
  </si>
  <si>
    <t>全域旅游项目（梁野山旅游服务中心工程款）</t>
  </si>
  <si>
    <t>[4]特定目标类</t>
  </si>
  <si>
    <t>全域旅游项目（继续教育基地一期工程尾款）</t>
  </si>
  <si>
    <t>927001-武平县湘店镇人民政府</t>
  </si>
  <si>
    <t>[5]特定目标类</t>
  </si>
  <si>
    <t>全域旅游项目（刘亚楼将军诞辰110周年纪念活动项目尾款）</t>
  </si>
  <si>
    <t>2070399-其他体育支出</t>
  </si>
  <si>
    <t>武平县体育公园项目</t>
  </si>
  <si>
    <t>yz2023年归还利息10.31万元，含经责审计整改</t>
  </si>
  <si>
    <t>208社会保障和就业支出</t>
  </si>
  <si>
    <t>317001-武平县退役军人事务局</t>
  </si>
  <si>
    <t>2080899-其他优抚支出</t>
  </si>
  <si>
    <t>其他优抚经费</t>
  </si>
  <si>
    <t>《军人抚恤优待条例》、退役军人部发〔2020〕22号、市五项政策、《福建省拥军优属条例》、县委议军会议纪要〔2021〕21号、《英雄烈士保护法》：价格临时补贴60、一级至四级残疾军人护理费7.56、光荣院院民生活费4.96、烈士亲属异地祭扫费用5.4、立功及优秀士兵增发优待金奖励19.78、大学生士兵一次性奖励金140、两参人员、困难优抚对象等慰问金30、双拥慰问活动费用15、立功受奖奖励金8、烈士纪念设施修缮维护费及纪念活动费用35</t>
  </si>
  <si>
    <t>义务兵优待金</t>
  </si>
  <si>
    <t>根据当年义务兵实际人数发放，调减334.65万元，其中：1.中央义务优待金资金通过密件下达，但未明确2023年度是否下达，年初按540.5万元预算，实际发放445万元（中央配套资金下达189万元，县级资金256万元），义务兵优待金调减284.4万元；2.进藏进疆人员优待金及一次性优待补助金调减53.25万元；3.预备消防士优待金增加3万元。</t>
  </si>
  <si>
    <t>《福建省拥军优属条例》、岩征〔2017〕1号、岩征〔2018〕2号、闽动〔2021〕15号、龙应急〔2021〕9号：义务兵优待金540.5、进藏进疆人员增发优待金及一次性优待补助金85.25、预备消防士优待11.75。</t>
  </si>
  <si>
    <t>优抚对象抚恤经费</t>
  </si>
  <si>
    <t>武退役军人局综〔2022〕19号：烈士遗属11.76、因公牺牲军人遗属13.57、病故军人遗属9.64、复员军人7.42、带病回乡退伍军人301.56、参战退役人员99.19、参与铀矿开采退役人员31、伤残军人122.64、60周岁以上农村籍退役士兵生活补助45.5、复企人员退休补助5.76。</t>
  </si>
  <si>
    <t>314001-武平县民政局</t>
  </si>
  <si>
    <t>2080206-社会组织管理</t>
  </si>
  <si>
    <t>持证社会工作者职业津贴</t>
  </si>
  <si>
    <t>经县政府批示同意，民政局印发了《武平县持证社会工作专业人才奖励津贴实施办法（试行）》（武民规[2023]1号）,应发放2022年度社工站持证工作人员职业津贴7.66万，扣除上级20%补助1.53万及人才专项安排的支出2.48万，追加3.65万</t>
  </si>
  <si>
    <t>323006-武平县公共就业和人才服务中心</t>
  </si>
  <si>
    <t>2080799-其他就业补助支出</t>
  </si>
  <si>
    <t>引工留工政策奖补</t>
  </si>
  <si>
    <t>按2021、2022年度数据测算：招工介绍人奖励20万元、购房补贴32.5万元、高技能人才补贴13.5万元。</t>
  </si>
  <si>
    <t>2081004-殡葬</t>
  </si>
  <si>
    <t>平川街道竹篙塘公益性公墓建设项目一期工程</t>
  </si>
  <si>
    <t>2023年新增一般债券。武财（债）指[2023]14号</t>
  </si>
  <si>
    <t>武平县村级公益性骨灰堂建设项目</t>
  </si>
  <si>
    <t>2081006-养老服务</t>
  </si>
  <si>
    <t>养老事业发展经费</t>
  </si>
  <si>
    <t>政策性支出，年初已申报受财力影响未能列入年初预算，经县政府批示同意，追加社区养老服务运行经费、意外保险登记评定奖补、信息服务费208万（武财社预拨[2023]2号）</t>
  </si>
  <si>
    <t>养老机构运营补助</t>
  </si>
  <si>
    <t>政策性支出，年初已申报受财力影响未能列入年初预算，经县政府批示同意，追加民办非营利性养老机构运营补助、已建成投入使用幸福院运营补助、入住养老机构老人护理补助247万（武财社预拨[2023]2号）</t>
  </si>
  <si>
    <t>政策性支出，年初已申报受财力影响未能列入年初预算，经县政府批示同意支出108万，扣除慈善总会捐赠安排50万元，追加幸福院质量提升、一级以上医疗机构一次性补助58万元（武财社预拨[2023]2号）</t>
  </si>
  <si>
    <t>902002-福建武平天润实业有限公司</t>
  </si>
  <si>
    <t>2081099-其他社会福利支出</t>
  </si>
  <si>
    <t>武平县社会福利中心项目</t>
  </si>
  <si>
    <t>yz2023年归还利息6.08万元，含经责审计整改</t>
  </si>
  <si>
    <t>社会福利支出</t>
  </si>
  <si>
    <r>
      <rPr>
        <b/>
        <sz val="10"/>
        <rFont val="宋体"/>
        <charset val="134"/>
      </rPr>
      <t>1.城区骨灰堂及安置墓管理人员工资：</t>
    </r>
    <r>
      <rPr>
        <sz val="10"/>
        <rFont val="宋体"/>
        <charset val="134"/>
      </rPr>
      <t>城区公益性骨灰堂管理人员2人、安置墓管理人员3人，（工资1500元/人/月、五险一金989.28元/人/月、特殊岗位补贴380元/人/月、夜班补贴800元/人/月，绩效1.2万元/人/年，每人合计5.6万元）合计28万元，2.福利中心建设专项基金利息：6.09万元（1.根据武政文[2019]259号及（根据县政府会议纪要[2022]5号）2.根据武天润[2019]5号）</t>
    </r>
  </si>
  <si>
    <t>2081107-残疾人生活和护理补贴</t>
  </si>
  <si>
    <t>残疾人生活和护理补贴</t>
  </si>
  <si>
    <r>
      <rPr>
        <sz val="10"/>
        <rFont val="宋体"/>
        <charset val="134"/>
      </rPr>
      <t>补助对象减少，其中1.生活</t>
    </r>
    <r>
      <rPr>
        <sz val="10"/>
        <color indexed="10"/>
        <rFont val="宋体"/>
        <charset val="134"/>
      </rPr>
      <t>补贴</t>
    </r>
    <r>
      <rPr>
        <sz val="10"/>
        <rFont val="宋体"/>
        <charset val="134"/>
      </rPr>
      <t>减少人数1276人*424.8（年初预算县级负担部分）=54.2万元；2.护理</t>
    </r>
    <r>
      <rPr>
        <sz val="10"/>
        <color indexed="10"/>
        <rFont val="宋体"/>
        <charset val="134"/>
      </rPr>
      <t>补贴</t>
    </r>
    <r>
      <rPr>
        <sz val="10"/>
        <rFont val="宋体"/>
        <charset val="134"/>
      </rPr>
      <t>人数减少1411人*422（年初预算县级负担部分）=59.54万元，两项合计113.74万元。</t>
    </r>
  </si>
  <si>
    <t>1.生活补贴：5800人，每人每月119元（其中99元省负担80%，县负担20%，提标的20元，市县各负担50%）。县：5800人*99元*12个月*20%+
5800人*20元*12个月*50%= 207.408万元。2.生活困难的重度残疾人一级护理补贴人数1800，每人每月119元；非生活困难的重度残疾人一级护理补贴人数500，每人每月115元；生活困难的重度残疾人二级护理补贴人数2700，每人每月99元；非生活困难的重度残疾人二级护理补贴人数700，每人每月85元；（省负担80%，县负担20%）。1800*119*12个月*20%+500*115*12个月*20%+2700*99*12个月*20%+700*85*12个月*20%=143.64万元(根据武民[2022]3号）</t>
  </si>
  <si>
    <t>361030-武平县红十字会</t>
  </si>
  <si>
    <t>2081699-其他红十字事业支出</t>
  </si>
  <si>
    <t>公共场所配置自动体外除颤器（AED）项目</t>
  </si>
  <si>
    <t>从慈善捐赠资金中安排45万元.</t>
  </si>
  <si>
    <t xml:space="preserve">购置自动体外除颤器（AED）15台，每台费用22000元（含管理维护费），计33万元；日常维护3万元；培训1500人次，每人240元，计36万元（省市列入为民办实事项目）。
</t>
  </si>
  <si>
    <t>323007-武平县城乡居民社会养老保险中心</t>
  </si>
  <si>
    <t>2082602-财政对城乡居民基本养老保险基金的补助</t>
  </si>
  <si>
    <t>城乡居民基本养老保险</t>
  </si>
  <si>
    <t>1、参保缴费补助106万元；2、低保重残等特殊群体代缴保费补助127万元；3、计生对象缴费补助18万元；4、县级基础养老金补助1741万元；5、缴费奖励加发养老金补助281万元；6、丧葬金补助630万元；7、计生对象加发养老金补助22万元。</t>
  </si>
  <si>
    <t>2083001-财政代缴城乡居民基本养老保险费支出</t>
  </si>
  <si>
    <t>2023年城乡居民基本养老保险（低保重残等特殊群体代缴保费补助）</t>
  </si>
  <si>
    <t>2082899-其他退役军人事务管理支出</t>
  </si>
  <si>
    <t>2022年自主就业退役士兵安置一次性地方经济补助</t>
  </si>
  <si>
    <t>政策性支出，年初已申报受财力影响未能列入年初预算，经县政府批示同意支出428万，当年度实际发放自主就业退役士兵安置一次性地方经济补助400.48万（武财社追指[2023]6号）</t>
  </si>
  <si>
    <t>317003-武平县退役军人服务中心</t>
  </si>
  <si>
    <t>服务中心保障支出</t>
  </si>
  <si>
    <t>2089999-其他社会保障和就业支出</t>
  </si>
  <si>
    <t>困难群众救助补助资金</t>
  </si>
  <si>
    <t>补助对象减少，其中1.城乡低保人数减少468人*0.14（年初预算县级负担部分）=65.52万元；2.城乡特困人数减少158人*1万元（年初预算县级负担部分）=158万元；3.上级补助增加810万。三项合计减少1023.52万元。</t>
  </si>
  <si>
    <r>
      <rPr>
        <sz val="10"/>
        <rFont val="宋体"/>
        <charset val="134"/>
      </rPr>
      <t>计算公式：</t>
    </r>
    <r>
      <rPr>
        <b/>
        <sz val="10"/>
        <rFont val="宋体"/>
        <charset val="134"/>
      </rPr>
      <t>1.城市低保金：</t>
    </r>
    <r>
      <rPr>
        <sz val="10"/>
        <rFont val="宋体"/>
        <charset val="134"/>
      </rPr>
      <t>300人×500元/人、月×12*1.03（含0.03购买服务）=185.4万元；高龄补贴：10人×100元/人、月×12=1.2万元；其中省级补助：5100元/年*300*90%=137.7万元。县级配套185.4+1.2-137.7=</t>
    </r>
    <r>
      <rPr>
        <b/>
        <u/>
        <sz val="10"/>
        <rFont val="宋体"/>
        <charset val="134"/>
      </rPr>
      <t>48.9</t>
    </r>
    <r>
      <rPr>
        <sz val="10"/>
        <rFont val="宋体"/>
        <charset val="134"/>
      </rPr>
      <t>万元。</t>
    </r>
    <r>
      <rPr>
        <b/>
        <sz val="10"/>
        <rFont val="宋体"/>
        <charset val="134"/>
      </rPr>
      <t>2.农村低保金：</t>
    </r>
    <r>
      <rPr>
        <sz val="10"/>
        <rFont val="宋体"/>
        <charset val="134"/>
      </rPr>
      <t>9500人×500元/人、月×12*1.03（含0.03购买服务）=5871万元；高龄补贴：700人×100元/人、月×12=84万元；其中省级补助：5100元/年*9500*90%=4360.5万元。县级配套5871+84-4360.5=</t>
    </r>
    <r>
      <rPr>
        <b/>
        <u/>
        <sz val="10"/>
        <rFont val="宋体"/>
        <charset val="134"/>
      </rPr>
      <t>1594.5万元。</t>
    </r>
    <r>
      <rPr>
        <b/>
        <sz val="10"/>
        <rFont val="宋体"/>
        <charset val="134"/>
      </rPr>
      <t>3.特困供养：</t>
    </r>
    <r>
      <rPr>
        <sz val="10"/>
        <rFont val="宋体"/>
        <charset val="134"/>
      </rPr>
      <t>1300人×1600元/人、月×12*1.03（含0.03购买服务）=2570.88万元，其中省级补助：5100*2*1300*90%=1193.4万元。县级配套2570.88-1193.4=</t>
    </r>
    <r>
      <rPr>
        <b/>
        <u/>
        <sz val="10"/>
        <rFont val="宋体"/>
        <charset val="134"/>
      </rPr>
      <t>1377.48万元</t>
    </r>
    <r>
      <rPr>
        <u/>
        <sz val="10"/>
        <rFont val="宋体"/>
        <charset val="134"/>
      </rPr>
      <t>。</t>
    </r>
    <r>
      <rPr>
        <b/>
        <sz val="10"/>
        <rFont val="宋体"/>
        <charset val="134"/>
      </rPr>
      <t>4.孤儿及事实无人抚养儿童生活费：</t>
    </r>
    <r>
      <rPr>
        <sz val="10"/>
        <rFont val="宋体"/>
        <charset val="134"/>
      </rPr>
      <t>集中养育孤儿3人，每人每月1800元。社会散居孤儿15人，事实无人扶养儿童150人,每人每月1400元。县级负担（省负担80%，县负担20%）：(1800*3*12+165*1400*12）*20％=</t>
    </r>
    <r>
      <rPr>
        <b/>
        <u/>
        <sz val="10"/>
        <rFont val="宋体"/>
        <charset val="134"/>
      </rPr>
      <t>56.736万元。</t>
    </r>
    <r>
      <rPr>
        <b/>
        <sz val="10"/>
        <rFont val="宋体"/>
        <charset val="134"/>
      </rPr>
      <t xml:space="preserve"> </t>
    </r>
    <r>
      <rPr>
        <sz val="10"/>
        <rFont val="宋体"/>
        <charset val="134"/>
      </rPr>
      <t>(1-3点根据龙政规[2022]3号、龙政办[2021]65号，第4点闽民童[2020]125号）</t>
    </r>
  </si>
  <si>
    <t>323009-武平县社会劳动保险管理中心</t>
  </si>
  <si>
    <t>未参保老年生活保障金县级补助资金</t>
  </si>
  <si>
    <t>210卫生健康支出</t>
  </si>
  <si>
    <t>361001-武平县卫生健康局</t>
  </si>
  <si>
    <t>2100199-其他卫生健康管理事务支出</t>
  </si>
  <si>
    <t>家庭医生签约服务县级财政补助</t>
  </si>
  <si>
    <t>实际仅补助五类特殊人员部分</t>
  </si>
  <si>
    <t>特殊人群家庭医生签约服务个人付费部分由县政府补助（共计48.03万元）24015人×20元/人/年＝480300元（特困人员1180人、低保8402人、革命五老6人、重点优抚1209人、残疾11400人、计生特殊家庭268人、严重精神障碍患者1550人），根据省卫计委等七部门《关于加快推进家庭医生签约服务工作》（闽卫基层[2017]66号）和《武平县人民政府关于印发武平县家庭医生签约服务工作实施方案（试行）的通知》（武政文[2017]295号）文件精神。</t>
  </si>
  <si>
    <t>362001-武平县总医院</t>
  </si>
  <si>
    <t>2100201-综合医院</t>
  </si>
  <si>
    <t>县医院南部院区建设项目</t>
  </si>
  <si>
    <t>362002-武平县医院</t>
  </si>
  <si>
    <t>2023年度定额补助经费</t>
  </si>
  <si>
    <t>经常性支出，年初已申报受财力影响未能列入年初预算，经县政府批示同意支出330万（武财社追指[2023]10号）</t>
  </si>
  <si>
    <t>362003-武平县中医院</t>
  </si>
  <si>
    <t>2100202-中医（民族）医院</t>
  </si>
  <si>
    <t>经常性支出，年初已申报受财力影响未能列入年初预算，经县政府批示同意支出286万（武财社追指[2023]10号）</t>
  </si>
  <si>
    <t>2100399-其他基层医疗卫生机构支出</t>
  </si>
  <si>
    <t>基本药物制度改革补偿</t>
  </si>
  <si>
    <t>基层医疗卫生机构药品零差率补助（300万元）2000万元×15%/年＝300万， 根据福建省人民政府办公室《关于做好全面实施基本药物零差率销售改革工作的通知》（闽政办[2011]131号）、武平县人民政府办公室《关于做好全面实施基本药物零差率销售改革工作的通知》（武政办[2011]51号）文件精神。</t>
  </si>
  <si>
    <t>362020-武平县妇幼保健院</t>
  </si>
  <si>
    <t>孕产妇免费产前筛查诊断项目经费</t>
  </si>
  <si>
    <t>武卫【2012】96号</t>
  </si>
  <si>
    <t>2100408-基本公共卫生服务</t>
  </si>
  <si>
    <t>基本公共卫生服务经费</t>
  </si>
  <si>
    <t>按（常住人口27.8万人+流动人口0.4万）*80元/人/年*20%（县级财政负担）=451.20万元，根据中共中央、国务院《关于深化医药卫生体制改革的意见》（中发〔2009〕6号）和国家卫生计生委、财政部、国家中医药管理局《关于做好2013年国家基本公共卫生服务项目工作的通知》（卫计生发〔2013〕26号）要求。</t>
  </si>
  <si>
    <t>2100409-重大公共卫生服务</t>
  </si>
  <si>
    <t>县新冠肺炎疫情防控指挥部专项经费</t>
  </si>
  <si>
    <t>根据实际审批支出汇总确定，应追加31.79万元。该项目作年度支出，县政府已批示同意。</t>
  </si>
  <si>
    <t>疫情防控应急指挥部办公室经费50万元；疫情防控核酸检测经费5000万；集中隔离场所经费预算250万元；支援人员隔离场所费用：50万。根据《中华人民共和国传染病法》和国家、省市县有关防控新冠肺炎疫情的防控要求。</t>
  </si>
  <si>
    <t>361003-武平县疾病预防控制中心</t>
  </si>
  <si>
    <t>2100410-突发公共卫生事件应急处理</t>
  </si>
  <si>
    <t>医务人员一次性补助资金</t>
  </si>
  <si>
    <t>闽人卫[2023]2号关于印发〈全省公立医疗机构医务人员发放一次性补助方案〉的通知，县级配套部分，县政府已批示同意。</t>
  </si>
  <si>
    <t>闽人卫[2023]2号关于印发〈全省公立医疗机构医务人员发放一次性补助方案〉的通知、县级配套部分，县政府已批示同意。</t>
  </si>
  <si>
    <t>2100799-其他计划生育事务支出</t>
  </si>
  <si>
    <t>计生奖励扶助费</t>
  </si>
  <si>
    <t>计划生育政策放宽，享受政策人数减少。</t>
  </si>
  <si>
    <t>1、55周岁以前（2015年1月1日以前结扎的）的农村二女夫妇奖励人数6960人*30元*12月*75%=187.92万元；60周岁以上的农村二女户1100人*20元*12月=26.4万元，计扶助214.32万元；2、55-59周岁农村独生子女户、二女户人数：4500人*100元*12月=540万元，低保人数：200人*100元*12月=24万元，计扶助564万元；奖扶60周岁以上独生子女户、二女户人数：3500人*100元*12月*10%=42万元，低保人数：300人*100元*12月*10%=3.6万元，计扶助45.6万元；4、女方49周岁以上的特别扶助人数：100人（49-59岁）*750元*12月*10%=9万元，50人（60岁以上）*850元*12月*10%=5.1万元，低保人数：35人*290元*12月*10%=1.22万元，特别救助金150人*5000元*50%=37.5万元；当年失独救助15人*50000元=75万元；辅助生育补助5户*30000元=15万元；计扶助142.82万元；5、手术并发症人数2人*360元*12月*10%=0.86万元，一次性救助金2人*3000元*50%=0.3万元，计扶助1.16万元；6、贡献奖（农村生育一个女儿）人数487人*30元*12月*10%=1.75万元，计扶助1.75万元；计生家庭困难帮扶5000元*50户=25万元；独生子女法定奖励费1000元*20人=2万元。根据《中华人民共和国人口与计划生育法》、《社会抚养费征收管理办法》、《计划生育技术服务管理条例》、《流动人口计划生育工作条例》、《福建省人口与计划生育条例》、《福建省禁止非医学需要鉴定胎儿性别和选择性别终止妊娠条例》、《福建省流动人口计划生育管理办法》等法律法规实施好新时期的人口与计划生育工作。</t>
  </si>
  <si>
    <t>计生事业费</t>
  </si>
  <si>
    <t>计划生育免费基本技术服务50万元。[福建省物价局、省财政厅、省卫生厅、省人口和计划生育委员会《关于调整计划生育技术服务收费结算标准的通知》（闽价服【2009】295号）及龙岩市人口计生工作领导小组关于印发《龙岩市计划生育技术服务改革实施方案》（试行）的通知（龙人口领[2017]5号）]。</t>
  </si>
  <si>
    <t>324001-龙岩市医疗保障基金管理中心武平管理部</t>
  </si>
  <si>
    <t>2101299-财政对其他基本医疗保险基金的补助支出</t>
  </si>
  <si>
    <t>改制企业职工退休补缴医保费</t>
  </si>
  <si>
    <t>经结算，实际应补缴改制企业职工2022年度退休医保费34.190072万，需追加支出4.190072万。</t>
  </si>
  <si>
    <t>我县从2005年8月1日起施行企业基本医疗保险制度，部分国有、集体因资金紧缺无法按时参保，改制后造成中断缴纳2005年8月至改制时的医疗保险费。2022年办理退休应补缴医疗保险费约30万元。文件依据：《武平县人民政府关于我县部分原国有、集体改制企业退休职工医保遗留问题的批复》(武政文﹝2015﹞307号)</t>
  </si>
  <si>
    <t>2109999-其他卫生健康支出</t>
  </si>
  <si>
    <t>乡村医生养老保险及生活补助</t>
  </si>
  <si>
    <t>部分享受政策人员死亡、退出乡村医生行列。</t>
  </si>
  <si>
    <t>1.60周岁以上的乡村医生养老生活补助：
584人×9552元／人／年=557.84万元；584人中是否有参加企业职工基本养老保险的乡村医生。2.60周岁以下养老保险补助：
230人×（8822元／人／年×50%)=101.45万元武平县人民政府办公室转发县卫计局等部门《关于进一步加强乡村医生队伍建设实施方案的通知》（武政办[2017]49号、福建省人民政府办公厅转发省卫生厅 省财政厅《关于继续实行乡村医生津贴补助实施意见的通知》（闽政办[2008]140号、武平县人民政府关于印发《武平县实施乡村医生享受政府津贴的意见》的通知（武政文[2005]232号。</t>
  </si>
  <si>
    <t>2023年定向委培补助</t>
  </si>
  <si>
    <t>政策性支出，年初已申报受财力影响未能列入年初预算，经县政府批示同意支出114.88万（武财社追指[2023]10号）</t>
  </si>
  <si>
    <t>2023年计生城乡居民医保个人缴费补助</t>
  </si>
  <si>
    <t>政策性支出，年初已申报受财力影响未能列入年初预算，经县政府批示同意支出532万（武财社追指[2023]10号）</t>
  </si>
  <si>
    <t>重精医疗救助基金</t>
  </si>
  <si>
    <t>政策性支出项目，应上缴2022年度市医保中心重精医疗费98.807829万元。</t>
  </si>
  <si>
    <t>武平县妇幼保健院迁建一期项目</t>
  </si>
  <si>
    <t>武平县医养中心项目</t>
  </si>
  <si>
    <t>yz2023年归还本金300万元,监管局核查整改</t>
  </si>
  <si>
    <t>yz2023年归还利息15.8万元,监管局核查整改</t>
  </si>
  <si>
    <t>903005-福建省龙岩市财政局</t>
  </si>
  <si>
    <t>中国医疗卫生改革促进结果导向型贷款还本资金</t>
  </si>
  <si>
    <t>外债根据龙财债函[2022]3号文件要求，汇兑损失在此科目列支</t>
  </si>
  <si>
    <t>2101399-其他医疗救助支出</t>
  </si>
  <si>
    <t>2023年强制送医流浪乞讨（三无）严重精神障碍患者医疗救助基金</t>
  </si>
  <si>
    <t>政策性支出，年初已申报受财力影响未能列入年初预算，经县政府批示同意支出120.17万（武财社追指[2023]10号）</t>
  </si>
  <si>
    <t>211节能环保支出</t>
  </si>
  <si>
    <t>902103-武平县天泉供水有限公司</t>
  </si>
  <si>
    <t>2110302-水体</t>
  </si>
  <si>
    <t>武平县污水处理设施建设项目</t>
  </si>
  <si>
    <t>yz2023年归还利息5.05万元</t>
  </si>
  <si>
    <t>913001-武平县万安镇人民政府</t>
  </si>
  <si>
    <t>万安镇捷文水库水源地水质安全保障及其上游水系生态修复工程</t>
  </si>
  <si>
    <t>预拨资金，武财资环预指[2023]9号</t>
  </si>
  <si>
    <t>湘店镇汀江流域水污染综合治理工程</t>
  </si>
  <si>
    <t>916001-武平县民主乡人民政府</t>
  </si>
  <si>
    <t>民主溪水生态环境综合整治工程</t>
  </si>
  <si>
    <t>919001-武平县岩前镇人民政府</t>
  </si>
  <si>
    <t>岩前镇岩前溪流域水环境综合治理工程</t>
  </si>
  <si>
    <t>925001-武平县桃溪镇人民政府</t>
  </si>
  <si>
    <t>桃溪镇桃溪河流域整治工程</t>
  </si>
  <si>
    <t>921001-武平县十方镇人民政府</t>
  </si>
  <si>
    <t>十方镇处明溪、彭寨溪水环境综合治理工程</t>
  </si>
  <si>
    <t>365001-龙岩市武平县生态环境局</t>
  </si>
  <si>
    <t>2110302水体</t>
  </si>
  <si>
    <t>环境质量监控平台建设</t>
  </si>
  <si>
    <t>预拨资金，武财资环预指[2023]13号</t>
  </si>
  <si>
    <t>2119999其他节能环保支出</t>
  </si>
  <si>
    <t>省控小流域水质自动监测站</t>
  </si>
  <si>
    <t>农田灌溉水水质检测、2021年考核饮用水水源地水质及农村环境质量试点</t>
  </si>
  <si>
    <t>园丰水自动站搬迁费</t>
  </si>
  <si>
    <t>绿水青山就是金山银山实践创新基地创建</t>
  </si>
  <si>
    <t>326001-武平县农业农村局</t>
  </si>
  <si>
    <t>2110399-其他污染防治支出</t>
  </si>
  <si>
    <t>偿还武平县生猪退养生态环境治理项目贷款（还本付息）</t>
  </si>
  <si>
    <t>yz2023年归还本金2800万元、利息401.59万元</t>
  </si>
  <si>
    <t>2023年归还本金2800万元、利息428.62万元</t>
  </si>
  <si>
    <t>902109-武平县梁川水利投资有限公司</t>
  </si>
  <si>
    <t>武平县象洞溪流域水环境综合治理贷款利息</t>
  </si>
  <si>
    <t>yz2023年归还利息56.49万元，含经责审计整改</t>
  </si>
  <si>
    <t>2130399-其他水利支出</t>
  </si>
  <si>
    <t>武平县城区供水扩容提升工程</t>
  </si>
  <si>
    <t>yz2023年归还利息18.16万元，含经责审计整改</t>
  </si>
  <si>
    <t>2021年度、2022年度污水处理费、垃圾处理费代征手续费</t>
  </si>
  <si>
    <t>武平岩前工业集中区投资发展有限公司</t>
  </si>
  <si>
    <t>岩前工业集中区电子废弃物综合利用项目贷款（还本）</t>
  </si>
  <si>
    <t>yz</t>
  </si>
  <si>
    <t>334001-武平县城市管理局</t>
  </si>
  <si>
    <t>污水处理费</t>
  </si>
  <si>
    <t>保底3.6万吨，每吨1.56元，一年3.6万*1.56元/吨*365天=2049.84万元，扣除基金收入576万元，缺口1473.84万元。2022年调整预算转下年预算300万</t>
  </si>
  <si>
    <t>生活垃圾无害化处理场垃圾处理费</t>
  </si>
  <si>
    <t>生活垃圾无害化处理场地下水治理经费</t>
  </si>
  <si>
    <t>生活垃圾无害化处理场渗滤液应急处理费</t>
  </si>
  <si>
    <t>212城乡社区支出</t>
  </si>
  <si>
    <t>2120104-城管执法</t>
  </si>
  <si>
    <t>两违整治专项经费</t>
  </si>
  <si>
    <t>县政府常务会议纪要[2013]9号</t>
  </si>
  <si>
    <t>333001-武平县住房和城乡建设局</t>
  </si>
  <si>
    <t>2120199-其他城乡社区管理事务支出</t>
  </si>
  <si>
    <t>迎宾路地块公共停车位和公厕补助资金</t>
  </si>
  <si>
    <t>预拨资金，武财发预[2023]10号，县政府已批示同意。</t>
  </si>
  <si>
    <t>福建省城市供水水质监测信息系统水质监测设备费</t>
  </si>
  <si>
    <t>预拨资金，超两年以上上级专款收回存量，现重新安排（武财发预[2023]20号），县政府已批示同意。</t>
  </si>
  <si>
    <t>中医院人防地下室项目工程款</t>
  </si>
  <si>
    <t>武财发追指[2023]9号，从人防费中安排。</t>
  </si>
  <si>
    <t>902102-天安城市建设投资发展有限公司</t>
  </si>
  <si>
    <t>2120399-其他城乡社区公共设施支出</t>
  </si>
  <si>
    <t>武平县城区排水设施改扩建工程</t>
  </si>
  <si>
    <t>yz2023年归还利息9.73万元</t>
  </si>
  <si>
    <t>武平县城区市政公用设施建设工程项目</t>
  </si>
  <si>
    <t>2023年新增一般债券。武财（债）指[2023]5号1800万元</t>
  </si>
  <si>
    <t>333020-武平县村镇建设站</t>
  </si>
  <si>
    <t>2120501-城乡社区环境卫生</t>
  </si>
  <si>
    <t>垃圾分类试点补助资金</t>
  </si>
  <si>
    <t>调整预算调减，县领导批示从省级生活垃圾常态化建设资金中安排。</t>
  </si>
  <si>
    <t>县政府批示</t>
  </si>
  <si>
    <t>334004-武平县环境卫生站</t>
  </si>
  <si>
    <t>焚烧发电垃圾处理服务费</t>
  </si>
  <si>
    <t>每天300吨，138.8元/吨，300吨*138.8元/吨*365天=1519.86万元</t>
  </si>
  <si>
    <t>城区环卫一体化服务</t>
  </si>
  <si>
    <t>其中：2022年调整预算转下年预算300万，2023年1093.08万元。</t>
  </si>
  <si>
    <t>911001-武平县人民政府平川街道办事处</t>
  </si>
  <si>
    <t>二级环卫</t>
  </si>
  <si>
    <t>2023年二级环卫196.1005万元，根据合同，县财承担60%即121.42万元，以及往年环卫费用40万，共需161.42万元。</t>
  </si>
  <si>
    <t>县级承担104.2万元，2023年安排78.15万元。</t>
  </si>
  <si>
    <t>2120601-建设市场管理与监督</t>
  </si>
  <si>
    <t>建筑业扶持奖励</t>
  </si>
  <si>
    <t>预拨资金，建筑施工企业资质晋级奖励资金200万（武财发预[2023]15号）；2020年度建筑施工企业奖励金576.0039万（武财发预[2023]18号）；2021年度建筑施工企业奖励金643.8584万元（武财发预[2023]22号）</t>
  </si>
  <si>
    <t>333008-武平县住房保障站</t>
  </si>
  <si>
    <t>2129999-其他城乡社区支出</t>
  </si>
  <si>
    <t>廉租住房租赁补贴</t>
  </si>
  <si>
    <t>武政文[2016]181号，5元/月*15㎡*12个月*60人=54000元。</t>
  </si>
  <si>
    <t>建筑产业发展经费</t>
  </si>
  <si>
    <t>《武平县人民政府关于进一步扶持建筑业发展壮大的八条实施意见》</t>
  </si>
  <si>
    <t>334005-武平县园林所</t>
  </si>
  <si>
    <t>国家园林城市复查经费</t>
  </si>
  <si>
    <t>预拨资金，武财发预[2023]14号</t>
  </si>
  <si>
    <t>千鹭湖景区一期绿化提升费用</t>
  </si>
  <si>
    <t>912001-武平县城厢镇人民政府</t>
  </si>
  <si>
    <t>东云淘宝立面改造工程</t>
  </si>
  <si>
    <t>902011-武平工业园区投资发展有限公司</t>
  </si>
  <si>
    <t>职工周转宿舍楼装修工程</t>
  </si>
  <si>
    <t>平川河（东门桥--七坊桥）两岸生态修复改造工程</t>
  </si>
  <si>
    <t>缴交北门路（中段）道路、档案路道路工程项目划拨用地成本</t>
  </si>
  <si>
    <t>十方农产品批发市场</t>
  </si>
  <si>
    <t>yz2023年归还利息19.25万元，含经责审计整改</t>
  </si>
  <si>
    <t>902101-武平天恒城市建设投资集团有限公司</t>
  </si>
  <si>
    <t>武平县沿河西路三期工程（中医院至初级中学）道路工程</t>
  </si>
  <si>
    <t>2023年新增一般债券。武财（债）指[2023]14号1000万元</t>
  </si>
  <si>
    <t>武平县龙河文化长廊（中心）</t>
  </si>
  <si>
    <t>2023年新增一般债券。武财（债）指[2023]5号</t>
  </si>
  <si>
    <t>城区道路改扩建项目（武安路广电局-北环路道路改造工程尾款150万元、鼓楼路武安路至育才路段道路工程尾款110万元）</t>
  </si>
  <si>
    <t>武平县革命老区城乡融合发展示范区建设项目</t>
  </si>
  <si>
    <t>2023年新增一般债券。武财（债）指[2023]15号1000万元、武财（债）指[2023]22号1233万元</t>
  </si>
  <si>
    <t>213农林水支出</t>
  </si>
  <si>
    <t>2130199-其他农业农村支出</t>
  </si>
  <si>
    <t>动物强制免疫疫苗县级配套</t>
  </si>
  <si>
    <t>动物强制免疫疫苗县级配套25万元</t>
  </si>
  <si>
    <t>财政代编（梁野烟农专业合作社）</t>
  </si>
  <si>
    <t>烟基工程管护资金</t>
  </si>
  <si>
    <t>预拨资金（2022年预算调减100万）</t>
  </si>
  <si>
    <t>拨付经费给烟农合作社及烟基项目村，对我县2005-2022年度在运行状态的和密集式烤房进行管护和维修。</t>
  </si>
  <si>
    <t>农业保险</t>
  </si>
  <si>
    <t>预拨资金，2023年农业保险299.7万元（2023年“三农”综合保险219万元、烟叶综合保险20.7万元、水稻种植保险60万元）；2022年农业保险暂付的297.1万元。县政府已审批。</t>
  </si>
  <si>
    <t>高标准农田建后管护资金</t>
  </si>
  <si>
    <t>县政府已审批。</t>
  </si>
  <si>
    <t>327003-福建梁野山国家级自然保护区管理局</t>
  </si>
  <si>
    <t>2130209-森林生态效益补偿</t>
  </si>
  <si>
    <t>森林生态效益补偿县级补助资金</t>
  </si>
  <si>
    <t>327001-武平县林业局</t>
  </si>
  <si>
    <t>2130299-其他林业和草原支出</t>
  </si>
  <si>
    <t>森林生态效益补偿</t>
  </si>
  <si>
    <t>生态公益林增补县级财政负担部分（0.2元/亩）。</t>
  </si>
  <si>
    <t>古树复壮保护</t>
  </si>
  <si>
    <t>《福建省古树名木保护管理办法》
第四条　县级以上人民政府应当加强对古树名木保护管理工作的领导，将其纳入本行政区域行业专项规划，所需经费列入同级财政预算。</t>
  </si>
  <si>
    <t>森林资源建档</t>
  </si>
  <si>
    <t>编制武平县国家森林康养基地总体规划</t>
  </si>
  <si>
    <t>根据武财资环函[2021]5号关于将国家康养基地总体规划编制经费列入财政预算的复函</t>
  </si>
  <si>
    <t>林业改革发展专项</t>
  </si>
  <si>
    <t>预拨资金，武财预(2023)5号文件</t>
  </si>
  <si>
    <t>2020年市级财政马尾松改造优化示范基地建设</t>
  </si>
  <si>
    <t>2020年中央财政林业专项</t>
  </si>
  <si>
    <t>2020年省级财政造林绿化资金</t>
  </si>
  <si>
    <t>造林补助资金</t>
  </si>
  <si>
    <t>2020年森林资源调查补助</t>
  </si>
  <si>
    <t>2023年生态公益林布局优化调整工作经费</t>
  </si>
  <si>
    <t>预拨资金，领导批示件</t>
  </si>
  <si>
    <t>2023年森林综合保险县级财政补贴资金</t>
  </si>
  <si>
    <t>林业改革与发展专项经费</t>
  </si>
  <si>
    <t>预拨资金，武财预(2023)22号、武财预(2023)23号文件</t>
  </si>
  <si>
    <t>森林步道建设</t>
  </si>
  <si>
    <t>林业有害生物防治经费</t>
  </si>
  <si>
    <t>县政府审批</t>
  </si>
  <si>
    <t>林业站服务能力建设</t>
  </si>
  <si>
    <t>《标准化林业工作站建设检查验收办法》（林站发〔2018〕32号）</t>
  </si>
  <si>
    <t>护林防火工作经费</t>
  </si>
  <si>
    <t>护林防火巡查、宣传等，保护森林资源，维护生态安全</t>
  </si>
  <si>
    <t>林地湿地管理及野生动物保护</t>
  </si>
  <si>
    <t>用于编制林地保护利用规划（2021-2030年）和生物多样性保护利用规划（2021-2035年）及林地湿地巡查检查、野生动物疫源疫病监测防控救护等费用</t>
  </si>
  <si>
    <t>林长制建设工作经费</t>
  </si>
  <si>
    <t>林长制平台建设、宣传等经费。</t>
  </si>
  <si>
    <t>林业有害生物防治</t>
  </si>
  <si>
    <t>主要用于林业有害生物监测调查、防治费用，松材线虫病防控专项费用。</t>
  </si>
  <si>
    <t>林业执法经费</t>
  </si>
  <si>
    <t>林业局调减9万元，森林公安调增9万元。林业执法经费含林业物证认定费2.7万元。《闽林文[2022]74号福建省林业局福建省公安厅关于进一步加强执法协作的通知》。</t>
  </si>
  <si>
    <t>福建省林业局福建省公安厅关于进一步加强执法协作的通知（闽林文[2022]74号），2023年办理林业行政执法案件所需的人员经费、车辆费、材料、资质评估部门进行现场勘验和评估等相关费用。林业行政案件查处文件通知。</t>
  </si>
  <si>
    <t>保护区功能区调整专项经费</t>
  </si>
  <si>
    <t>332001-武平县水利局</t>
  </si>
  <si>
    <t>2130305-水利工程建设</t>
  </si>
  <si>
    <t>武平县公益性小型水库雨水情测报及大坝安全监测项目</t>
  </si>
  <si>
    <t>2023年新增一般债券。武财（债）指[2023]5号500万元</t>
  </si>
  <si>
    <t>342001-武平县应急管理局</t>
  </si>
  <si>
    <t>2130314-防汛</t>
  </si>
  <si>
    <t>防汛抗旱资金（含防汛抗旱宣传、培训、演练）</t>
  </si>
  <si>
    <t>用于添置紧缺防汛抗旱设备物资、购买应力资源、开展宣传培训演练、汛期防汛值班伙食补助等。</t>
  </si>
  <si>
    <t>水土保持与乡村发展（武平捷文水库及供水配套工程）还本付息资金</t>
  </si>
  <si>
    <t>外债已还本息40.24万元+预计下半年需付本息46.28万元，按要求列线上支出。</t>
  </si>
  <si>
    <t>电灌站运行经费</t>
  </si>
  <si>
    <t>根据《武平县人民政府办公室关于解决城厢镇上东村蓝塘电灌站等历史遗留问题专题会议纪要》（武政办[2016]60号），我县每年应分别承担城厢镇上东村蓝塘电灌站2.5万元和平川街道青云山电灌站1.25万元的日常运行管理工作经费。</t>
  </si>
  <si>
    <t>棉花滩水电站库区保洁经费</t>
  </si>
  <si>
    <t>用于汀江流域棉花滩水电站库区日常保洁工作经费。</t>
  </si>
  <si>
    <t>江海堤防设施保险配套资金</t>
  </si>
  <si>
    <t>闽水函[2022]351号《福建省水利厅关于做好2022-2024年江海堤防设施保险工作的通知》：2022年-2024年继续开展全省江海堤防保险工作。根据福建省财政厅和水利厅《关于印发&lt;福建省江海堤防保险实施意见（试行）&gt;的通知&gt;》（闽财农[2017]59号）精神，落实县级分摊保费，年保险费36.24万元，其中省级补助80%，县级配套20%计7.25万。</t>
  </si>
  <si>
    <t>城区河道保洁经费</t>
  </si>
  <si>
    <t>预拨资金（2022年调减16.47万元）</t>
  </si>
  <si>
    <t>与第三方签订协议每年32.74万元。根据《城区环境卫生保洁实施方案》（武政办[2015]95号），委托第三方保洁，包括河道保洁和河道种植管护工作。</t>
  </si>
  <si>
    <t>水土保持示范县创建经费</t>
  </si>
  <si>
    <t>水土保持示范县创建经费,根据龙岩市人民政府办公室印发&lt;关于贯彻落实习近平总书记重要讲话重要指示批示精神进一步加快水土保持高质量发展的实施方案&gt;的通知》（岩委办发〔2021〕10号）和县委办《责任分解表》文件要求，我县需在2025年前通过国家水土保持示范县评审认定，并争创一批国家水土保持科技示范园。</t>
  </si>
  <si>
    <t>农业水价综合改革实施配套经费</t>
  </si>
  <si>
    <t>上级部门要求地方配套农业水价综合改革实施配套经费，已纳入市对县的目标考核中。</t>
  </si>
  <si>
    <t>六甲水库维修养护经费</t>
  </si>
  <si>
    <t>水库维修养护费用依据水利部对水库、堤防、水闸加强运行管理办法对公益性中小型水库、水闸、等水利工程维修养护，上级部门检查发现很多地方需要维护整改，维护经费需要纳入本级预算。</t>
  </si>
  <si>
    <t>三峡资产管理有限公司诉讼案资金</t>
  </si>
  <si>
    <t>914001-武平县武东镇人民政府</t>
  </si>
  <si>
    <t>2130504-农村基础设施建设</t>
  </si>
  <si>
    <t>衔接推进乡村振兴--武平集镇示范街区改造项目</t>
  </si>
  <si>
    <t>2023年新增一般债券。武财〔债〕指〔2023〕19号</t>
  </si>
  <si>
    <t>918001-武平县中赤镇人民政府</t>
  </si>
  <si>
    <t>348001-武平县交通运输局</t>
  </si>
  <si>
    <t>衔接推进乡村振兴--G358线城厢下东至中山阳民段道路工程</t>
  </si>
  <si>
    <t>2023年新增一般债券。武财（债）指[2023]5号759万元</t>
  </si>
  <si>
    <t>调整科目</t>
  </si>
  <si>
    <t>2130599-其他巩固脱贫衔接乡村振兴支出</t>
  </si>
  <si>
    <t>2022年扶持壮大村集体经济</t>
  </si>
  <si>
    <t>中共武平县委武平县人民政府印发《关于2023年扶持发展新型农村集体经济试点村的实施方案》的通知：中央、省级财政对每个被扶持的行政村一次性补助50万元，市县财政安排不少于10万元补助资金。龙财农指[2023]25号、26号下达城厢镇下东村等15个村支持发展新型农村集体经济750万元，县级应配套150万元，年初预算90万元，按文件精神需追加60万元。</t>
  </si>
  <si>
    <t>2023年扶持壮大村集体经济</t>
  </si>
  <si>
    <t>衔接推进乡村振兴--粮食安全专项</t>
  </si>
  <si>
    <t>预拨资金84.9924万元</t>
  </si>
  <si>
    <t xml:space="preserve">
用于扶持早稻生产、粮食安全行政首长责任制、撂荒地复垦种粮补助、水稻种植统计样方点水稻种植补助、种子储备等。</t>
  </si>
  <si>
    <t>衔接推进乡村振兴--垃圾清运补助</t>
  </si>
  <si>
    <t>33.9万人*15元/人=508.5万（按农村户籍人口33.9万人给予补助，补助标准为15元/人）</t>
  </si>
  <si>
    <t>衔接推进乡村振兴--农村公路养护</t>
  </si>
  <si>
    <t>县级配套768.25万元</t>
  </si>
  <si>
    <t>根据省、市及《武平县人县政府关于建立农村公路路长制和乡村道专管员制度全面推进“四好农村路”建设的实施意见》（武政文〔2018〕25号）等文件要求，管养全县农村公路里程1460公里，其中县道342.3公里，乡道761.6公里，村道356.1公里。</t>
  </si>
  <si>
    <t>武平县城区造福工程集中安置点一、二期建设项目</t>
  </si>
  <si>
    <t>yz2023年归还利息43.39万元，经责审计整改</t>
  </si>
  <si>
    <t>“十三五”异地扶贫搬迁项目</t>
  </si>
  <si>
    <t>yz2023年归还利息59.84万元，含经责审计整改</t>
  </si>
  <si>
    <t>易地扶贫搬迁项目地方政府债券利息</t>
  </si>
  <si>
    <t>yz2023年归还利息70.8万元，含经责审计整改</t>
  </si>
  <si>
    <t>财政衔接推进乡村振兴补助资金</t>
  </si>
  <si>
    <t>1.巩固成效资金100万元（含产业帮扶、就业帮扶、易地搬迁后续扶持等资金）；2.“健康扶贫”保险费5万元；3.打造环千鹭湖城乡一体协调发展试验区建设“五朵金花”特色优势产业全链条项目100万；4.过渡期脱贫人口产业帮扶保险、乡镇村发展项目、农村人居环境整治和小型公益性基础设施建设短板等。</t>
  </si>
  <si>
    <t>1.县级激励性资金200万元
2.“健康扶贫”保险费50万元
3.“扶贫保”农业保险费45万元
4.气象指数保险费58万元
5.脱贫户意外险保费32万元</t>
  </si>
  <si>
    <t>乡村振兴资金</t>
  </si>
  <si>
    <t>1.县级配套乡村振兴试点村471.3万元（闽财农[2019]51号、龙财农[2020]4号）；2.思明区对口支持资金用于乡村振兴试点村1200万（闽财农[2020]4号）；3.支持打造产业振兴示范村补助县级配套资金150万元（十方镇黎畲、中山镇阳民村、中赤镇上赤村各50万元—闽财农指[2023]55号）；4.“两治一拆”验收村奖补项目、乡镇村产业发展项目等资金246万元。</t>
  </si>
  <si>
    <t>1.县级配套乡村振兴试点村471.3万元（闽财农[2019]51号、龙财农[2020]4号）；
2.思明区对口支持资金用于乡村振兴试点村1200万（闽财农[2020]4号）
3.支持打造产业振兴示范村补助县级配套资金100万元；
4.“两治一拆”验收村奖补项目、乡镇村产业发展项目等资金296万元</t>
  </si>
  <si>
    <t>财政衔接推进乡村振兴补助资金（2022）</t>
  </si>
  <si>
    <t>预拨资金，2022年结转2023年为预拨指标，目前已支出235.77万元。涉及财政衔接推进乡村振兴考核。</t>
  </si>
  <si>
    <t>09-综合股</t>
  </si>
  <si>
    <t>万安镇捷文村紫灵芝产业扶持项目资金</t>
  </si>
  <si>
    <t>2022年国家开发投资集团有限公司定点帮扶资金纳入预算管理</t>
  </si>
  <si>
    <t>924001-武平县永平镇人民政府</t>
  </si>
  <si>
    <t>帽村红色资源开发保护项目资金</t>
  </si>
  <si>
    <t>922001-武平县武东镇人民政府</t>
  </si>
  <si>
    <t>武东六甲村屋顶光伏发电项目资金</t>
  </si>
  <si>
    <t>2022年福建省投资开发集团有限公司捐赠资金纳入预算管理</t>
  </si>
  <si>
    <t>武平一中活力运动场馆项目</t>
  </si>
  <si>
    <t>2023年福建省投资开发集团有限公司挂钩帮扶项目</t>
  </si>
  <si>
    <t>“大道同行--富氧武平  智显未来”2023年新型显示产业发展推进会活动项目</t>
  </si>
  <si>
    <t>岩前大布村老村道道路修缮工程建设项目</t>
  </si>
  <si>
    <t>环六甲湖生态文旅康养项目</t>
  </si>
  <si>
    <t>915001-武平县中山镇人民政府</t>
  </si>
  <si>
    <t>乡镇乡村振兴环境整治提升改造项目</t>
  </si>
  <si>
    <t>2023年思明区山海协作对口帮扶资金</t>
  </si>
  <si>
    <t>920001-武平县象洞镇人民政府</t>
  </si>
  <si>
    <t>太山公路及乡村振兴建设</t>
  </si>
  <si>
    <t>财政代编（各乡镇）</t>
  </si>
  <si>
    <t>2130701-对村级公益事业建设的补助</t>
  </si>
  <si>
    <t>农村公益事业建设财政奖补资金</t>
  </si>
  <si>
    <t>项目涉及全县16个乡（镇），涵盖农村道路、村庄绿化美化等多个村级公益事业建设领域。财政奖补资金由各级财政部门安排，其中中央及省财政负担80%，县财政负担20%。每年省财政厅下达我县奖补资金控制规模，我县在省财政厅下达的资金控制规模内申报项目。</t>
  </si>
  <si>
    <t>武平县万安镇人民政府</t>
  </si>
  <si>
    <t>美丽乡村建设补助资金：万安镇捷文村</t>
  </si>
  <si>
    <t>预拨资金，项目已完成（县政府审批）。</t>
  </si>
  <si>
    <t>美丽乡村建设补助资金：十方镇黎畲村</t>
  </si>
  <si>
    <t>武平县中赤镇人民政府</t>
  </si>
  <si>
    <t>2020年农村公益事业建设：壮畲村黄惊下道路建设24万元；万营村村内道路建设10万元</t>
  </si>
  <si>
    <t>武平县桃溪镇人民政府</t>
  </si>
  <si>
    <t>2020年农村公益事业建设：桃溪镇桃溪村文化活动中心项目</t>
  </si>
  <si>
    <t>相关乡镇</t>
  </si>
  <si>
    <t>预拨资金，2021年度项目265万元，2022年度项目282.5万元（为平衡预算暂付列支）。</t>
  </si>
  <si>
    <t>2130804-创业担保贷款贴息及奖补</t>
  </si>
  <si>
    <t>创业担保贷款贴息资金</t>
  </si>
  <si>
    <t>2023年度补贴2022年度贷款，2022年度市级下达贷款金额为900万元的目标，大约需要10万元。</t>
  </si>
  <si>
    <t>975001-武平县供销合作社联合社</t>
  </si>
  <si>
    <t>2139999-其他农林水支出</t>
  </si>
  <si>
    <t>化肥冬储贴息</t>
  </si>
  <si>
    <t>214交通运输支出</t>
  </si>
  <si>
    <t>桃溪镇、永平镇、中堡镇</t>
  </si>
  <si>
    <t>2140104-公路建设</t>
  </si>
  <si>
    <t>革命基地村道路硬化扶贫项目</t>
  </si>
  <si>
    <t>龙岩市人民政府办公室《关于进一步加快革命基点村脱贫攻坚全面建成小康社会十六条措施的通知》（龙政办[2020]42号，革命基点村道路硬化由市级每公里20万元、县级按每公里20万元进行补助。县政府已批示。</t>
  </si>
  <si>
    <t>县道X646至陈禾坑公路改建工程（骑游道项目）</t>
  </si>
  <si>
    <t>902106-武平县天顺交通投资发展有限公司</t>
  </si>
  <si>
    <t>客都汇至梁野山景区入口道路提升工程</t>
  </si>
  <si>
    <t>农村公路改造项目（岩前矿兴路工程82万元、上东赖屋垇至下东上徐屋段公路改建工程尾款26万元、城厢镇客都汇至梁野山景区道路工程尾款97万元）</t>
  </si>
  <si>
    <t>2140106-公路养护</t>
  </si>
  <si>
    <t>公交首末站建设补助</t>
  </si>
  <si>
    <t>公交首末站场站固定资产按照国家会计制度规定计提的折旧计入当期损益，从2017年2月开始按照30年提取折旧。</t>
  </si>
  <si>
    <t>公交车运营补助</t>
  </si>
  <si>
    <t>城区公交车36辆，农村客运公交82辆，118辆*10万1180万元；1路2路夜班车补助10万元；5路车延伸至公交首末站补助3辆*1.5万=4.5万元；集文校区专线补助3辆*5万=15万元；上杭古田专线2辆*10万=20万；旅游专线2辆*10万=20万。合计1249.5万元。2023年安排647万元。</t>
  </si>
  <si>
    <t>348006-武平县交通综合行政执法大队</t>
  </si>
  <si>
    <t>2140199-其他公路水路运输支出</t>
  </si>
  <si>
    <t>公路智能化管理暨科技治超项目</t>
  </si>
  <si>
    <t>《关于催缴龙岩市公路智能化管理暨科技治超项目建设资金的通知》（龙交财〔2023〕27号），县级承担429.14万元。</t>
  </si>
  <si>
    <t>2140399-其他民用航空运输支出</t>
  </si>
  <si>
    <t>龙岩冠豸山机场航线运营补贴</t>
  </si>
  <si>
    <t>缴市财政局2023年度市级财政代垫航线运营补贴资金，县级按5%比例承担，金额为326.03万元。</t>
  </si>
  <si>
    <t>2140601-车辆购置税用于公路等基础设施建设支出</t>
  </si>
  <si>
    <t>车辆购置税补助地方建设项目资金（第三批）</t>
  </si>
  <si>
    <t>预拨资金，武财发预[2023]12号，超过两年以上上级专款（闽财建指[2020]14号）收回作存量，现重新安排。县政府已批示。</t>
  </si>
  <si>
    <t>2149999-其他交通运输支出</t>
  </si>
  <si>
    <t>漳武高速十方互通及连接线工程</t>
  </si>
  <si>
    <t>核销暂付款（武财资环指[2021]追基字25号）</t>
  </si>
  <si>
    <t>农村公交车购置补助</t>
  </si>
  <si>
    <t>预拨资金，武财发预[2023]4号</t>
  </si>
  <si>
    <t>215资源勘探工业信息等支出</t>
  </si>
  <si>
    <t>国资金融股</t>
  </si>
  <si>
    <t>902001-福建武平国有投资集团有限公司</t>
  </si>
  <si>
    <t>2150899-其他支持中小企业发展和管理支出</t>
  </si>
  <si>
    <t>云礤水库运行管理费</t>
  </si>
  <si>
    <t>1.根据县政府工作安排，2021年5月由天然文旅公司接管，所需经费及水库管理人员工资性费用（4人）由县财政负担，2021年5月至2023年费用83.70万元，主要为人员工资及日常维修费用，其中：2021年11.09万元；2022年43.63万元（含设备更换16.65万元）；
2.2023年安排支出22万元。</t>
  </si>
  <si>
    <t>客家生态城运营成本</t>
  </si>
  <si>
    <t>1.根据《中共武平县委 武平县人民政府关于客家生态文化城运营管理的意见》（武委[2013]155号）文件精神，县财政主要投入劳务派遣人员工资、绿化管理、水电费用、公共区域维修费用等。2021至2023年需物业管理费用（外包）、水电费、维修费等384.39万元，其中：2021年117.65万元；2022年133.37万元；2023年133.37万元。
2.2023年安排支出120万元。</t>
  </si>
  <si>
    <t>客都汇运营成本</t>
  </si>
  <si>
    <t>1.根据《武平县人民政府专题会议纪要》([2016]64)文件规定，“结合文山集团对周边店铺实行三年免费租赁的实际，对以财审后的广场日常管理维护费三年内由县财政列入预算，第四年视客都汇发展情况另行确定”，在2021年后县财政用未核定费用。因该资产属无收益项目，县天然文旅公司在2021年请示县财政局后，县财政局同意列入预算。
2.2021年2023年需费用73.28万元，其中：2021年22.68万元；2022年25.30万元；2023年25.30万元。主要用于物业费、水电费、维修费及消防维保费等。
3.2023年安排支出24万元。</t>
  </si>
  <si>
    <t>902000-福建武平国有投资集团有限公司</t>
  </si>
  <si>
    <t>平桥翠柳森林公园运营成本</t>
  </si>
  <si>
    <t>1.根据县财政局领导对《关于要求下拨2021年客家生态城、客都汇、狮岩景区、平桥翠柳森林公园公益支出经费的请示》（武文旅[2021]45号）批示，平桥翠柳森林公园运营成本列入财政预算，2021-2023年成本费用72.57万元，主要为人员工资（2人）及维护、公众保险费用。
2.2023年安排支出24万元。</t>
  </si>
  <si>
    <t>狮岩景区运营成本</t>
  </si>
  <si>
    <t>1.根据县财政局领导对《关于要求下拨2021年客家生态城、客都汇、狮岩景区、平桥翠柳森林公园公益支出经费的请示》（武文旅[2021]45号）批示，狮岩景区运营成本列入财政预算，2021-2023年扣除收入后还需成本费用210.69万元，主要为人员工资（2人）及物业管理费、维护、公众保险费用。
2.2023年安排支出24万元。</t>
  </si>
  <si>
    <t>2023年天睿商务公运行经费</t>
  </si>
  <si>
    <t>1.县天睿商务公司2023年预计收入184.47万元，主营业务成本40万元，工资等管理费用304.30万元，资本性费用支出11万元，根据《武平县行政事业单位代理记账暂行管理办法》的通知（武财会[2018]5号）文件精神，预计需补亏170.83万元。
2.2023年安排支出154万元。</t>
  </si>
  <si>
    <t>资本金（公共停车场运营成本）</t>
  </si>
  <si>
    <t>2022年公共停车场租金收入已上缴财政，2023年安排资本金35.81万元，用于弥补2022年度建设、运营成本。</t>
  </si>
  <si>
    <t>902002-福建武平国有投资集团有限公司</t>
  </si>
  <si>
    <t>资本金（代管理资产运营成本）</t>
  </si>
  <si>
    <t>2023年9月补缴入库2017-2022年代管资产租金收入13069288.77元，应下拨国投集团公司代管资产管理成本（含维修、税费等）13069288.77*38%=4966329.73元</t>
  </si>
  <si>
    <t>2022年资产管理运营成本及税费，根据管理协议，按收入总额的40%计算约（207.51*40%）83万元。</t>
  </si>
  <si>
    <t>原国企改制企业人员遗属补助</t>
  </si>
  <si>
    <t>根据2022年10月份人数、标准计算，2023年需支付改制企业遗属补助129.08万元。</t>
  </si>
  <si>
    <t>粮食企业改制人员遗属补助</t>
  </si>
  <si>
    <t>根据2022年10月份人数、标准计算，2023年需支付改制粮食企业遗属补助39.84万元。</t>
  </si>
  <si>
    <t>天宏市场东南、西门市场管理费用</t>
  </si>
  <si>
    <t>核定20人，按4.50万元/人.年计算。</t>
  </si>
  <si>
    <t>资本金（龙龙铁路武平站房保函贴息）</t>
  </si>
  <si>
    <t>2019年龙龙铁路站房再原有的基础上扩建3000平方米，财政在2019至2021年期间每年安排36万元至天润实业公司，用于该项工程建设。</t>
  </si>
  <si>
    <t>城区广告牌（位）建设运营成本</t>
  </si>
  <si>
    <t>2022年城区广告位租金收入县天然文旅公司已上缴财政，2023年安排资本金20.28万元，用于弥补2022年建设、运营成本。</t>
  </si>
  <si>
    <t>资本金</t>
  </si>
  <si>
    <t>预拨资金，领导批示（后以资产处置收益上缴700万）</t>
  </si>
  <si>
    <t>预拨资金，领导批示（无指标拨款）</t>
  </si>
  <si>
    <t>216商业服务业等支出</t>
  </si>
  <si>
    <t>2160201-行政运行</t>
  </si>
  <si>
    <t>县级示范农民合作社奖励资金</t>
  </si>
  <si>
    <t>武供联[2023]5号</t>
  </si>
  <si>
    <t>217金融支出</t>
  </si>
  <si>
    <t>220自然资源海洋气象等支出</t>
  </si>
  <si>
    <t>325001-武平县自然资源局</t>
  </si>
  <si>
    <t>2200199-其他自然资源事务支出</t>
  </si>
  <si>
    <t>“十四五”县矿产资源总体规划编制费用</t>
  </si>
  <si>
    <t>根据自然资发〔2020〕43号）和闽自然资发〔2020〕21号）要求，已委托中介机构编制《武平县矿产资源总体规划（2021-2025年）》，规划已经市自然资源局批复和县政府印发。属已签订合同、已完成、待支付事项。</t>
  </si>
  <si>
    <t>2021年自然灾害风险普查调查服务费</t>
  </si>
  <si>
    <t>2020-2022年地质灾害应急技术支撑服务费</t>
  </si>
  <si>
    <t>地质灾害技术支撑服务费3年未支付（2020-2022年），每年5万</t>
  </si>
  <si>
    <t>2022年地质灾害气象服务费</t>
  </si>
  <si>
    <t>每年需支出</t>
  </si>
  <si>
    <t>卫片执法技术服务费</t>
  </si>
  <si>
    <t>为做好2023年度自然资源部及省自然资源厅每月下发的土地、矿产卫片执法工作，聘请第三方技术服务公司根据卫片影像数据与矢量数据，应用国土调查云进行实地拍照举证；套合输出土地利用现状图、总体规划图、卫片影像图等，与土地利用数据库等进行叠加分析，分析占用的地类、面积等以及因卫片执法工作需要的其他应急工作。</t>
  </si>
  <si>
    <t>2200104-自然资源规划及管理</t>
  </si>
  <si>
    <t>武平县招商一张图项目</t>
  </si>
  <si>
    <t>根据《福建省自然资源厅办公室关于抓紧上报招商一张图编制成果的通知》要求，组织开展武平县招商一张图编制工作。</t>
  </si>
  <si>
    <t>城厢镇始通村蓝塘片区成片开发方案</t>
  </si>
  <si>
    <t>2200106-自然资源利用与保护</t>
  </si>
  <si>
    <t>2022年土地整治专项资金（第二批）补助资金</t>
  </si>
  <si>
    <t>预拨资金，武财资环预指[2023]31号，县政府已批示。</t>
  </si>
  <si>
    <t>2200107-自然资源社会公益服务</t>
  </si>
  <si>
    <t>全国自然资源节约示范县宣传视频制作费用</t>
  </si>
  <si>
    <t>预拨资金，武财资环预指[2023]7号，县政府已批示。</t>
  </si>
  <si>
    <t>集体土地所有权登记成果更新汇交工作专项经费</t>
  </si>
  <si>
    <t>预拨资金，武财资环预指[2023]10号，县政府已批示。</t>
  </si>
  <si>
    <t>325004-武平县不动产登记中心</t>
  </si>
  <si>
    <t>不动产交易登记一体化平台建设项目</t>
  </si>
  <si>
    <t>预拨资金，武财资环预指[2023]11号，县政府已批示。</t>
  </si>
  <si>
    <t>222粮油物资储备支出</t>
  </si>
  <si>
    <t>901002-武平县财政局（粮食风险金专户）</t>
  </si>
  <si>
    <t>2220115-粮食风险基金</t>
  </si>
  <si>
    <t>粮食风险基金</t>
  </si>
  <si>
    <t>2220199-其他粮油物资事务支出</t>
  </si>
  <si>
    <t>储备订单粮收购补贴</t>
  </si>
  <si>
    <t>2023年轮换4250吨，每50公斤补贴12元，共补贴102万元</t>
  </si>
  <si>
    <t>每100斤补贴12元</t>
  </si>
  <si>
    <t>224灾害防治及应急管理支出</t>
  </si>
  <si>
    <t>2240106-安全监管</t>
  </si>
  <si>
    <t>安全生产专项资金</t>
  </si>
  <si>
    <t>《中共武平县委武平县人民政府印发关于推进安全生产领域改革发展的实施意见通知》（武委发[2018]4号）和《武平县人民政府办公室关于印发武平县安全生产专项资金管理办法的通知》（武政办[2014]196号）</t>
  </si>
  <si>
    <t>福建省“五个一百”公共安全保障提升工程县级配套资金</t>
  </si>
  <si>
    <t>预拨资金，武财发预[2023]25号</t>
  </si>
  <si>
    <t>2240601-地质灾害防治</t>
  </si>
  <si>
    <t>中央自然灾害防治体系建设补助资金</t>
  </si>
  <si>
    <t>预拨资金，武财资环预指[2023]20号</t>
  </si>
  <si>
    <t>桃溪镇湘里村王汉初等房后滑坡治理工程</t>
  </si>
  <si>
    <t>2240602-森林草原防震减灾</t>
  </si>
  <si>
    <t>县级森林小分队经费</t>
  </si>
  <si>
    <t>森林消防工资及培训演练经费。</t>
  </si>
  <si>
    <t>乡镇半专业消费队经费</t>
  </si>
  <si>
    <t>各乡镇聘请半专业森林消防队人员工资及培训演练经费。</t>
  </si>
  <si>
    <t>2240699-其他自然灾害防治支出</t>
  </si>
  <si>
    <t>政策性农村住房保险（乡村振兴）</t>
  </si>
  <si>
    <t>根据《关于印发福建省自然灾害生活救助资金管理暂行办法》（闽财社[2011]80号）、《福建省人民政府办公厅关于印发福建省政策性农村住房保险实施方案的通知》（民政办[2016]161号）的要求，全县人口总数38万人，总户数10万户，其中农村人口占29万人，非农业人口7万余人，财政补贴：基本户98734户*每户1.6元=15.8万元，普通农户92469户*每户3元=27.7万元。</t>
  </si>
  <si>
    <t>自然灾害避灾点建设（乡村振兴）</t>
  </si>
  <si>
    <t>龙政办【2018】29号，岩震【2018】39号，依据上级文件2023年我县安排4个县级配套避灾点提升建设项目，每个项目补助3万元。</t>
  </si>
  <si>
    <t>突发灾难公众责任保险投保费用</t>
  </si>
  <si>
    <t>第一次自然灾害综合风险普查工作经费</t>
  </si>
  <si>
    <t>预拨资金，武财发预[2023]6号</t>
  </si>
  <si>
    <t>2240799-其他自然灾害救灾及恢复重建支出</t>
  </si>
  <si>
    <t>重大自然灾害因灾受损户、重建户购房补助资金</t>
  </si>
  <si>
    <t>预拨资金，武财发预[2023]7号</t>
  </si>
  <si>
    <t>2240299-其他消防救援事务支出</t>
  </si>
  <si>
    <t>低收入群体居住环境消防安全提升工程</t>
  </si>
  <si>
    <t>预拨资金，武财发预[2023]23号108.388万元，武财发预[2023]24号50万省级专项资金剩余由县级财政承担70%，指标预下达，根据采购结果据实拨付。</t>
  </si>
  <si>
    <t>227预备费</t>
  </si>
  <si>
    <t>227-预备费</t>
  </si>
  <si>
    <t>含应急局闽政办【2020】31号，按往年执行预备救灾资金200万元。</t>
  </si>
  <si>
    <t>229其他支出</t>
  </si>
  <si>
    <t>318006-武平县国资金融中心</t>
  </si>
  <si>
    <t>2299999-其他支出</t>
  </si>
  <si>
    <t>企业在海峡股权交易中心等区域市场成功挂牌奖励以及后备企业上市奖励</t>
  </si>
  <si>
    <t>援疆援藏对口支援资金</t>
  </si>
  <si>
    <t>232债务付息支出</t>
  </si>
  <si>
    <t>2320301-地方政府一般债券付息支出</t>
  </si>
  <si>
    <t>362-债务付息支出</t>
  </si>
  <si>
    <t>地方政府一般债券付息支出</t>
  </si>
  <si>
    <t>2023年归还一般债券利息11193.8万元+2023年下半年需付利息200.34万元-2023年省级脱贫县相关补助资金1539.3万元后-2023年减税降费财力性补助187.34，合计9667.5万元。</t>
  </si>
  <si>
    <t>2023年归还一般债券利息11193.8万元+预计2023年新增一般债券1亿（利率3%）利息150万元—预计2023年省级脱贫县相关补助资金1539.3万元后，合计9804.5万元</t>
  </si>
  <si>
    <t>2320303-地方政府向国际组织借款付息支出</t>
  </si>
  <si>
    <t>外债付息支出</t>
  </si>
  <si>
    <t>外债归还中国医疗卫生改革促进结果导向型贷款利息112.4万元。</t>
  </si>
  <si>
    <t>外债利息预计35万</t>
  </si>
  <si>
    <t>233债务发行费用支出</t>
  </si>
  <si>
    <t>23303-地方政府一般债务发行费用支出</t>
  </si>
  <si>
    <t>363-发行费用支出</t>
  </si>
  <si>
    <t>地方政府一般债券发行费用</t>
  </si>
  <si>
    <t>231债务还本支出</t>
  </si>
  <si>
    <t>2310301-地方政府一般债券还本支出</t>
  </si>
  <si>
    <t>361-债务还本支出</t>
  </si>
  <si>
    <t>地方政府一般债券还本支出</t>
  </si>
  <si>
    <t>2023年归还本金40272万元-预计再融资归还38404万+县级财力归还1868万元</t>
  </si>
  <si>
    <t>2310303-地方政府向国际组织借款还本支出</t>
  </si>
  <si>
    <t>外债还本支出</t>
  </si>
  <si>
    <t>外债归还中国医疗卫生改革促进结果导向型贷款本金63.05万元</t>
  </si>
  <si>
    <t>预计归还外债本金115万</t>
  </si>
  <si>
    <t>23006-上解支出</t>
  </si>
  <si>
    <r>
      <rPr>
        <sz val="10"/>
        <rFont val="宋体"/>
        <charset val="134"/>
        <scheme val="minor"/>
      </rPr>
      <t>体制上解支出2000，政法经费保障体制改革专项上解412，农村信用社企业所得税省级分成部分上解995，省级就业调剂金上解18，衔接推进乡村振兴补助资金上解210，税务部门经费基数上解329，可再生能源电价附加增值税返还资金地方扣款98，国防领域财政事权与支出责任划分改革支出基数上解231，上解公共图书馆 美术馆 文化馆（站）免费开放资金38，结算工伤保险基金省级统筹调剂上解184，城乡居民医疗救助县级配套资金274，</t>
    </r>
    <r>
      <rPr>
        <sz val="10"/>
        <color rgb="FFFF0000"/>
        <rFont val="宋体"/>
        <charset val="134"/>
        <scheme val="minor"/>
      </rPr>
      <t>城乡居民基本医疗保险县级配套资金3773，</t>
    </r>
    <r>
      <rPr>
        <sz val="10"/>
        <rFont val="宋体"/>
        <charset val="134"/>
        <scheme val="minor"/>
      </rPr>
      <t>上划龙岩市森林消防龙岩大队、上杭大队经费153，清算市级垫付的中欧班列运费补助资金15，上解公路事业发展中心管理机关运行和管理人员等支出经费70。</t>
    </r>
  </si>
  <si>
    <t>调出资金</t>
  </si>
  <si>
    <t>调出用于自求平衡专项债券付息支出</t>
  </si>
  <si>
    <r>
      <rPr>
        <b/>
        <sz val="18"/>
        <rFont val="宋体"/>
        <charset val="134"/>
        <scheme val="minor"/>
      </rPr>
      <t>无法列入2023年</t>
    </r>
    <r>
      <rPr>
        <b/>
        <sz val="18"/>
        <color rgb="FFFF0000"/>
        <rFont val="宋体"/>
        <charset val="134"/>
        <scheme val="minor"/>
      </rPr>
      <t>调整预算</t>
    </r>
    <r>
      <rPr>
        <b/>
        <sz val="18"/>
        <rFont val="宋体"/>
        <charset val="134"/>
        <scheme val="minor"/>
      </rPr>
      <t>的项目支出台账</t>
    </r>
  </si>
  <si>
    <t>金额</t>
  </si>
  <si>
    <t>一、商品和服务支出小计</t>
  </si>
  <si>
    <t>其他专项业务费</t>
  </si>
  <si>
    <t>[3124001]武平县公安局</t>
  </si>
  <si>
    <t>高清视频卡口及平安家园建设费</t>
  </si>
  <si>
    <t>二、一般公共预算项目支出小计</t>
  </si>
  <si>
    <t>武平县天方城镇投资发展有限公司</t>
  </si>
  <si>
    <t>327003-武平县林业局</t>
  </si>
  <si>
    <t>武平县天富扶贫开发投资发展有限公司</t>
  </si>
  <si>
    <t>易地扶贫搬迁项目地方政府债券本息</t>
  </si>
  <si>
    <t>武平县十方镇人民政府</t>
  </si>
  <si>
    <t>衔接推进乡村振兴-农村公路养护</t>
  </si>
  <si>
    <t>三、政府性基金预算支出小计</t>
  </si>
  <si>
    <t>325003-武平县土地收购储备中心</t>
  </si>
  <si>
    <t>2120801-征地和拆迁补偿支出</t>
  </si>
  <si>
    <t>土地储备周转金</t>
  </si>
  <si>
    <t>平通路南侧地块征地补偿款</t>
  </si>
  <si>
    <t>武平大道两侧地块征地款（公安局西侧、路下岗等地块）</t>
  </si>
  <si>
    <t>原下东交警停车场征地款</t>
  </si>
  <si>
    <t>2120802-土地开发支出</t>
  </si>
  <si>
    <t>2010年以来征地留用地兑现</t>
  </si>
  <si>
    <t>917001-武平县下坝乡人民政府</t>
  </si>
  <si>
    <t>返还武平县高岭土精深加工项目用地前期垫付费用</t>
  </si>
  <si>
    <t>悦洋银多金属矿畚箕窝尾库项目土地征收资金</t>
  </si>
  <si>
    <t>原自来水公司、中街西路北侧、鼓山小区通信迁移、森林公园南侧电力迁移等工程款</t>
  </si>
  <si>
    <t>万星城南侧地块清表费</t>
  </si>
  <si>
    <t>2120806-土地出让业务支出</t>
  </si>
  <si>
    <t>土地征迁周转金</t>
  </si>
  <si>
    <t>333021-武平县房屋征收补偿站</t>
  </si>
  <si>
    <t>2023年度各乡镇、各片区指挥部、房屋征收补偿站房屋征迁工作经费</t>
  </si>
  <si>
    <t>2120899-其他国有土地使用权出让收入安排的支出</t>
  </si>
  <si>
    <t>2022年度耕地“进出平衡”整改补助资金</t>
  </si>
  <si>
    <t>2019年旧村复垦项目尾款</t>
  </si>
  <si>
    <t>乡镇污水处理厂网一体化PPP项目还本付息1</t>
  </si>
  <si>
    <t>乡镇污水处理厂网一体化PPP项目还本付息2</t>
  </si>
  <si>
    <t>乡镇生活污水处理厂网运营期付费</t>
  </si>
  <si>
    <t>334003-武平县市政维护所</t>
  </si>
  <si>
    <t>2121301-城市公共设施</t>
  </si>
  <si>
    <t>城区物联网智慧照明</t>
  </si>
  <si>
    <t>334006-武平县园林所</t>
  </si>
  <si>
    <t>2121302-城市公共设施</t>
  </si>
  <si>
    <t>城区绿地养护管理</t>
  </si>
  <si>
    <t>2296099-用于其他社会公益事业的彩票公益金支出</t>
  </si>
  <si>
    <t>高依山白鹭保护工程项目</t>
  </si>
  <si>
    <t>无法列入2023年预算的项目支出情况表</t>
  </si>
  <si>
    <t xml:space="preserve">                         单位：万元</t>
  </si>
  <si>
    <t>智慧武平运营经费500万。</t>
  </si>
  <si>
    <t>指战员及消防员公用经费</t>
  </si>
  <si>
    <t>不压缩</t>
  </si>
  <si>
    <t>二、项目支出小计</t>
  </si>
  <si>
    <t>文体旅游局</t>
  </si>
  <si>
    <t>非遗传承和保护项目</t>
  </si>
  <si>
    <t>县融媒体中心</t>
  </si>
  <si>
    <t>县融媒体中心“中央厨房”技术平台升级改造项目</t>
  </si>
  <si>
    <t>干部人事档案数字化建设</t>
  </si>
  <si>
    <t>红色旧址维修及布展</t>
  </si>
  <si>
    <t>百年校庆校园提升改造专项资金</t>
  </si>
  <si>
    <t>服务业稳定增长扶持奖励资金</t>
  </si>
  <si>
    <t>武平工业园区零星项目</t>
  </si>
  <si>
    <t>2023年农村公路养护</t>
  </si>
  <si>
    <t>2023年农村公路安防工程</t>
  </si>
  <si>
    <t>2020-2021年度零担物流专线运营补助</t>
  </si>
  <si>
    <t>农村公路危桥改造</t>
  </si>
  <si>
    <t>龙岩市公路智能化管理暨科技治超项目</t>
  </si>
  <si>
    <t>森林消防事务经费</t>
  </si>
  <si>
    <t>灾民建房补助</t>
  </si>
  <si>
    <t>突发灾难公众责任保险</t>
  </si>
  <si>
    <t>自然灾害综合风险普查经费</t>
  </si>
  <si>
    <t>乡镇污水管网延伸工程建设补助资金</t>
  </si>
  <si>
    <t>中医院人防地下室尾款</t>
  </si>
  <si>
    <t>住宅专项维修资金管理系统网络安全等级保护建设费用</t>
  </si>
  <si>
    <t>县级农民专业合作社示范社奖励金</t>
  </si>
  <si>
    <t>森林综合保险县级补助</t>
  </si>
  <si>
    <t>武平县国土空间生态修复规划编制费用</t>
  </si>
  <si>
    <t>采矿权出让前期工作</t>
  </si>
  <si>
    <t>专项规划</t>
  </si>
  <si>
    <t>乡镇国土空间规划（15个）</t>
  </si>
  <si>
    <t>村庄规划编制（31个）</t>
  </si>
  <si>
    <t>中心城区土地征收成片开发方案（9个）</t>
  </si>
  <si>
    <t>高质量发展落实赶超十八条奖励</t>
  </si>
  <si>
    <t>314005-武平县民政局</t>
  </si>
  <si>
    <t>314006-武平县民政局</t>
  </si>
  <si>
    <t>退役安置支出</t>
  </si>
  <si>
    <t>762001-福建省武平县残疾人联合会</t>
  </si>
  <si>
    <t>辅助器具适配补贴</t>
  </si>
  <si>
    <t>计生户城乡居民医保政府资助缴费补助</t>
  </si>
  <si>
    <t>361006-武平县卫生健康局</t>
  </si>
  <si>
    <t>定向委培项目</t>
  </si>
  <si>
    <t>361008-武平县卫生健康局</t>
  </si>
  <si>
    <t>强制送医流浪乞讨（三无）严重精神障碍患者医疗救助基金</t>
  </si>
  <si>
    <t>362002武平县医院</t>
  </si>
  <si>
    <t>设施设备、重点学科建设、人才培养、基本药物制度补助等</t>
  </si>
  <si>
    <t>设施设备、重点学科建设、人才培养、贷款贴息、基本药物制度补助等</t>
  </si>
  <si>
    <t xml:space="preserve"> 
重症精神病医疗救助基金</t>
  </si>
  <si>
    <t>第三次全国土壤普查经费</t>
  </si>
  <si>
    <t>农业保险补贴</t>
  </si>
  <si>
    <t>农用地安全利用</t>
  </si>
  <si>
    <t>农田设施灾损保险费</t>
  </si>
  <si>
    <t>武平县50平方公里以下河道划界及分区规划服务</t>
  </si>
  <si>
    <t>武平县流域综合规划编制</t>
  </si>
  <si>
    <t>公益类中小型水库工程管理与保护范围划定工作实施方案编制</t>
  </si>
  <si>
    <t>314003-武平县民政局</t>
  </si>
  <si>
    <t>村级公益性骨灰楼堂建设补助</t>
  </si>
  <si>
    <t>2019年度“四好农村路”建设完工项目剩余县财补助资金</t>
  </si>
  <si>
    <t>2020-2021年省定革命基点村道路硬化扶贫项目</t>
  </si>
  <si>
    <t>[902101]福建武平国有投资集团有限公司</t>
  </si>
  <si>
    <t>资本金（古武调速资本金利息）</t>
  </si>
  <si>
    <t>由国企承担</t>
  </si>
  <si>
    <t>武平县定光佛旅游景区项目（付息）</t>
  </si>
  <si>
    <t>武平县梁野山创5A级景区项目（还本付息）</t>
  </si>
  <si>
    <t>武平县体育公园项目（付息）</t>
  </si>
  <si>
    <t>中山古镇保护与旅游开发建设项目（付息）</t>
  </si>
  <si>
    <t>福利中心建设专项基金（付息）</t>
  </si>
  <si>
    <t>902014-武平岩前工业集中区投资发展有限公司</t>
  </si>
  <si>
    <t>武平县象洞溪流域水环境综合治理贷款（还本付息）</t>
  </si>
  <si>
    <t>902102-武平县天安城市建设投资发展有限公司</t>
  </si>
  <si>
    <t>武平县城区排水设施改扩建工程项目贷款（还本付息）</t>
  </si>
  <si>
    <t>“十三五”异地扶贫搬迁贷款项目（还本付息）</t>
  </si>
  <si>
    <t>武平县城区造福工程集中安置点一、二期建设项目（还本付息）</t>
  </si>
  <si>
    <t>附件5</t>
  </si>
  <si>
    <t>2023年县本级政府性基金收支预算平衡表</t>
  </si>
  <si>
    <t>单位：万元　</t>
  </si>
  <si>
    <t>2022年完成数</t>
  </si>
  <si>
    <t>比上年增减额</t>
  </si>
  <si>
    <t>一、收入合计</t>
  </si>
  <si>
    <t xml:space="preserve">  1.县本级政府性基金收入</t>
  </si>
  <si>
    <t xml:space="preserve">  2.债务转贷收入（新增债券）</t>
  </si>
  <si>
    <t xml:space="preserve">  3.债务转贷收入（再融资债券）</t>
  </si>
  <si>
    <t xml:space="preserve">  4.调入资金（专项债券付息）</t>
  </si>
  <si>
    <t xml:space="preserve">  5.上年结余结转收入</t>
  </si>
  <si>
    <t>二、支出合计</t>
  </si>
  <si>
    <t xml:space="preserve">  1.政府性基金支出</t>
  </si>
  <si>
    <t xml:space="preserve">  2.债券还本支出</t>
  </si>
  <si>
    <t xml:space="preserve">  3.上解支出</t>
  </si>
  <si>
    <t xml:space="preserve">  4.调出资金</t>
  </si>
  <si>
    <t xml:space="preserve">  5.调出资金（专项债券还本、付息、付费）</t>
  </si>
  <si>
    <t>三、收支平衡</t>
  </si>
  <si>
    <t>附件6</t>
  </si>
  <si>
    <t>2023年县本级政府性基金财力预算调整表</t>
  </si>
  <si>
    <t>完成年初预算（%）</t>
  </si>
  <si>
    <t>比2022年增减额</t>
  </si>
  <si>
    <t>一、县本级政府性基金收入</t>
  </si>
  <si>
    <t xml:space="preserve">  1.国有土地收益基金收入</t>
  </si>
  <si>
    <t xml:space="preserve">  2.农业土地开发资金收入</t>
  </si>
  <si>
    <t xml:space="preserve">  3.国有土地使用权出让收入</t>
  </si>
  <si>
    <t xml:space="preserve">   （1）土地出让价款收入</t>
  </si>
  <si>
    <t xml:space="preserve">   （2）其他国有土地使用权出让收入</t>
  </si>
  <si>
    <t>县医院中医院缴入2018年专项债券还本资金2400万，利息300万</t>
  </si>
  <si>
    <t xml:space="preserve">  4.城市基础设施配套费收入</t>
  </si>
  <si>
    <t xml:space="preserve">  6.污水处理费收入</t>
  </si>
  <si>
    <t xml:space="preserve">  7.彩票公益金收入</t>
  </si>
  <si>
    <t>二、转移性收入</t>
  </si>
  <si>
    <t xml:space="preserve">  1.债务转贷收入（新增债券）</t>
  </si>
  <si>
    <t xml:space="preserve">  2.债务转贷收入（再融资债券）</t>
  </si>
  <si>
    <t>省厅从一体化下达再融资债指标</t>
  </si>
  <si>
    <t xml:space="preserve">  3.调入资金（专项债券还本、付息、付费）</t>
  </si>
  <si>
    <t>用于自求平衡专项债券还本、付息、付费支出</t>
  </si>
  <si>
    <t xml:space="preserve">  4.上年结余结转收入</t>
  </si>
  <si>
    <t>收入合计</t>
  </si>
  <si>
    <t>附件7</t>
  </si>
  <si>
    <t>2023年县本级政府性基金支出总量预算调整表</t>
  </si>
  <si>
    <t>支出功能科目分类</t>
  </si>
  <si>
    <t>与上年完成数比增减（%）</t>
  </si>
  <si>
    <t>还本支出</t>
  </si>
  <si>
    <t>上解支出</t>
  </si>
  <si>
    <t>调出资金（专项债券还本、付息、付费）</t>
  </si>
  <si>
    <t>2023年政府性基金预算调整支出明细情况表（县本级）</t>
  </si>
  <si>
    <t>903011-龙洲集团股份有限公司</t>
  </si>
  <si>
    <t>岩前武东客运站地上建筑收储补偿款等</t>
  </si>
  <si>
    <t>预拨资金，武财资环预指[2023]2号</t>
  </si>
  <si>
    <t>新增建设有偿使用费</t>
  </si>
  <si>
    <t>预拨资金，武财资环预指[2023]10号</t>
  </si>
  <si>
    <t>预拨资金，武财资环预指[2023]11号，已用1042.94万元，还剩1157.06万元，拟用于沿河西路三期周边地块补充耕地指标款及土地报批征地保证金。</t>
  </si>
  <si>
    <t>未下指标</t>
  </si>
  <si>
    <t>标定地价编制</t>
  </si>
  <si>
    <t>2022年项目已实施，费用急待支付。</t>
  </si>
  <si>
    <t>基准地价编制</t>
  </si>
  <si>
    <t>2022年项目已实施，费用急待支付，如未按上级要求及时公布，将影响以后土地出让工作。</t>
  </si>
  <si>
    <t>开发区节约集约更新评价</t>
  </si>
  <si>
    <t>此项目为每年均需实施项目，评价结果会影响园区扩园和工业用地报批。2022年项目已实施，费用急待支付，同时即将开始2023年项目实施。</t>
  </si>
  <si>
    <t>园林草分等定级编制</t>
  </si>
  <si>
    <t>2022年项目已实施，费用急需待支付，为全民所有自然资源资产评估作依据。</t>
  </si>
  <si>
    <t>临时用地复垦经费</t>
  </si>
  <si>
    <t>1、古武高速A4标段临时用地复垦项目林地审批费及部分增加工程建设资金28.4万元；2、武平宁洋经象洞至广东北礤公路临时用地复垦经费15.118万元。项目均已开工。</t>
  </si>
  <si>
    <t>锦秀南侧地块土方工程</t>
  </si>
  <si>
    <t>预拨资金，武财资环预指[2023]3号</t>
  </si>
  <si>
    <t>原德兴化工有限公司地块污染治理相关费用</t>
  </si>
  <si>
    <t>预拨资金，武财资环预指[2023]4号</t>
  </si>
  <si>
    <t>预拨资金，武财资环预指[2023]5号</t>
  </si>
  <si>
    <t>退回用地单位自有资金缴纳新增建设有偿使用费</t>
  </si>
  <si>
    <t>预拨资金，武财资环预指[2023]6号</t>
  </si>
  <si>
    <t>预拨资金，武财资环预指[2023]25号</t>
  </si>
  <si>
    <t>预拨资金，武财资环预指[2023]27号</t>
  </si>
  <si>
    <t>原省道205线工程建设影响上东村赖屋凹下坝子及段上农田补助资金</t>
  </si>
  <si>
    <t>预拨资金，武财资环预指[2023]32号</t>
  </si>
  <si>
    <t>武平县第三次全国国土调查测绘</t>
  </si>
  <si>
    <t>2019年第三次全国国土调查项目，已完成，该笔费用为尾款</t>
  </si>
  <si>
    <t>325011-武平县自然资源局</t>
  </si>
  <si>
    <t>2120802-土地开发支出（国有土地使用权出让收入安排的支出）</t>
  </si>
  <si>
    <t>根据中标通知书FUMH招（2022）011号、FUMH招（2022）012号、FUMH招（2022）013号</t>
  </si>
  <si>
    <t>公交车候车亭</t>
  </si>
  <si>
    <t>根据[2015]40号县政府专题会议纪要《关于交通项目建设及城市公交发展专题会议纪要》会议精神，县城区公交车站建设由县文旅公司实施，县财给予50%建设资金补助。项目分期建设，目前第一期至第六期竣工验收投入使用，第七期总投资总投资约70万元，财政需承担50%</t>
  </si>
  <si>
    <t>2120804-农村基础设施建设支出</t>
  </si>
  <si>
    <t>环仙女湖栈道周边环境提升项目建设</t>
  </si>
  <si>
    <t>预拨资金，武财资环预指[2023]15号</t>
  </si>
  <si>
    <t>2120805-补助补征地农民支出</t>
  </si>
  <si>
    <t>被征地农民社会保障资金</t>
  </si>
  <si>
    <t>2022年出让收入3222.3万元，按百分比1%计算，2023年应计提322.23万元，2023年预算600万元，应扣减277.77万元。</t>
  </si>
  <si>
    <t>上年土地出让收入*1%</t>
  </si>
  <si>
    <t>预拨资金，武财资环预指[2023]16号</t>
  </si>
  <si>
    <t>[2]运转类</t>
  </si>
  <si>
    <t>追加房屋征迁周转金200万</t>
  </si>
  <si>
    <t>根据《武平县人民政府关于进一步加强土地房屋征收工作的补充意见》（武政文【2017】304号）、《武平县人民政府关于印发武平县重点项目土地房屋征收绩效管理考评办法的通知》（武政文【2019】36号）等文件精神，土地征收工作经费按征地补偿总额的11%核对，其中：片区指挥部2%，镇（村）7%，土地征收中心2%。</t>
  </si>
  <si>
    <t>2120807-廉租住房支出</t>
  </si>
  <si>
    <t>廉租住房支出</t>
  </si>
  <si>
    <t>出让收入*2%</t>
  </si>
  <si>
    <t>矿山越界开采专项检查工作经费</t>
  </si>
  <si>
    <t>预拨资金，武财资环预指[2023]1号</t>
  </si>
  <si>
    <t>预拨资金，武财资环预指[2023]8号</t>
  </si>
  <si>
    <t>耕地利用现状及三调可恢复地类调查工作经费</t>
  </si>
  <si>
    <t>预拨资金，武财资环预指[2023]12号</t>
  </si>
  <si>
    <t>永久基本农田成果核实整改第三方作业单位费用</t>
  </si>
  <si>
    <t>预拨资金，武财资环预指[2023]28号</t>
  </si>
  <si>
    <t>武平县征地区片综合地价编制费用</t>
  </si>
  <si>
    <t>预拨资金，武财资环预指[2023]30号</t>
  </si>
  <si>
    <t>不动产统一登记系统升级迁移及安全等级保护测评项目资金</t>
  </si>
  <si>
    <t>武平县露天矿山综合整治排查工作技术服务经费</t>
  </si>
  <si>
    <t>2019年11月15日，我局与福建省121地质大队签订露天矿山调查项目合同，合同价款12.1272万元，该项目已完成排查工作，未支付。</t>
  </si>
  <si>
    <t>2021-2023年矿山地质环境治理恢复GNSS检查技术技术服务经费</t>
  </si>
  <si>
    <t>我局通过询价开标的方式确定委托技术服务单位为福建省121地质大队并与之签订2021-2023年委托合同，矿山地质环境治理恢复GNSS费用为2800元/个。2021年省厅下达武平县25个矿山的地质环境治理恢复GNSS巡查任务，已完成任务，费用7万元，县级下达2万元财政指标，仍有5万元未下达；2022年下达25个任务，已完成任务，费用7万元；2023年预计下达25个任务，预计费用7万元。因此，2021-2023年矿山地质环境治理恢复GNSS检查技术服务经费19万元。</t>
  </si>
  <si>
    <t>武平县煤矿矿山地质环境治理工程质保金</t>
  </si>
  <si>
    <t>该项目于2012年9月15日开工，2015年3月10日竣工，2018年4月16日决算审核，工程审定造价428.527万元。已支付404.062万元，仍有工程质保金24.4654万元未支付。</t>
  </si>
  <si>
    <t>地质勘查储量管理经费</t>
  </si>
  <si>
    <t>2022年我局组织专家出具9份2021年矿山储量年度报表审核意见表，费用0.95万元，未支付；2023年将组织2022年储量审核，预计费用0.95万元。</t>
  </si>
  <si>
    <t>武平县地热重点靶区地热资源调查费用</t>
  </si>
  <si>
    <t>2021年8月25日，我局与福建省地质工程勘查院签订武平县地热重点靶区地热资源调查合同，合同价款60万元，该项目已完成调查工作，未支付。</t>
  </si>
  <si>
    <t>武平县采煤沉陷区基本情况调查费用</t>
  </si>
  <si>
    <t>我局委托福建省121地质大队对我县110个疑似采煤沉陷区图斑进行调查，该项目已完成调查工作，未支付。</t>
  </si>
  <si>
    <t>废弃矿山地质环境治理恢复资金</t>
  </si>
  <si>
    <t>按照上级文件要求，该项目应于2022年11月前完成整改</t>
  </si>
  <si>
    <t>2020、2021年矿山越界开采检查</t>
  </si>
  <si>
    <t>根据闽自然资发[2020]16号以及2021年4月龙发剪寮坑事故发生后省市重要批示指示和县委安全生产工作专题会议精神，委托中介机构完成了2020年矿山GNSS检查、地采矿山井下测量和2021年地采矿山井下测量等矿山越界违法开采专项检查工作。属已签订合同、已完成、待支付事项。</t>
  </si>
  <si>
    <t>2022年矿山检查、测量和实地核查</t>
  </si>
  <si>
    <t>根据闽自然资发[2020]16号以及2021年4月龙发剪寮坑事故发生后省市重要批示指示和县委安全生产工作专题会议精神，举一反三，建立常态化监管措施，委托中介机构开展矿山巡查检查、测量和信息公示实地核查等矿山越界违法开采检查工作。属已签订合同、正在实施、待支付事项。</t>
  </si>
  <si>
    <t>2023年矿山检查、测量和实地核查</t>
  </si>
  <si>
    <t>根据闽自然资发[2020]16号以及2021年4月龙发剪寮坑事故发生后省市重要批示指示和县委安全生产工作专题会议精神，举一反三，建立常态化监管措施，委托中介机构开展矿山巡查检查、测量和信息公示实地核查等矿山越界违法开采检查工作。属已签订合同、计划实施、计划支付事项。</t>
  </si>
  <si>
    <t>《福建省人民政府办公厅转发省国土资源厅关于实施农村土地整治和城乡建设用地增减挂钩意见的通知》（闽政办（2011）43号文\2019年旧村复垦项目尾款</t>
  </si>
  <si>
    <t>农村地籍房屋调查项目经费</t>
  </si>
  <si>
    <t>预拨资金，武财资环预指[2023]34号</t>
  </si>
  <si>
    <t>（纳川公司建设的中山、十方、东留、岩前、中堡污水处理厂网）按照PPP合同测算</t>
  </si>
  <si>
    <t>（天泉水环境公司建设的大禾、永平、武东、中赤、民主、下坝厂网及万安、城厢管网）因未结算，暂按预算审定金额测算</t>
  </si>
  <si>
    <t>根据合同约定，运营费按实际处理水量及考核结果计算，预算按2022年运营情况考核结果测算</t>
  </si>
  <si>
    <t>环城东路、环城北路PPP项目</t>
  </si>
  <si>
    <t>含可用性服务费及绩效服务费5000万元及项目监理费余款28.4万元（质量缺陷责任期于2022年12月7日到期）。</t>
  </si>
  <si>
    <t>21211-农业土地开发资金安排的支出</t>
  </si>
  <si>
    <t>农业土地开发资金支出</t>
  </si>
  <si>
    <t>根据农业土地开发资金收入安排支出</t>
  </si>
  <si>
    <t>碧水公园、马头山公园管理项目</t>
  </si>
  <si>
    <t>碧水公园车辆费、监控维护费等、马头山公园监控维护费等。</t>
  </si>
  <si>
    <t>2023年城区市政园林设施维护项目</t>
  </si>
  <si>
    <t>2023年市国家园林城市复查和创建第七届全国文明城市总评年，园林所组织专人做好园林设施维护，在主次干道进行绿化带隔离护栏安装、修复安装树池石等作业。</t>
  </si>
  <si>
    <t>市政用电电费，第三方服务外包费用</t>
  </si>
  <si>
    <t>根据县领导批示件及财政复函，县继续教育基地于2022年3月30日移交园林所，纳入城区公共绿地管理范围，城区绿地养护管理费每年增加22万，由原来的997万元增加至1019万元。</t>
  </si>
  <si>
    <t>心月公园纳入公共绿地管理经费</t>
  </si>
  <si>
    <t>武财发基追指【2023】1号</t>
  </si>
  <si>
    <t>2121399-其他城市基础设施配套费安排的支出</t>
  </si>
  <si>
    <t>配套费征管经费</t>
  </si>
  <si>
    <t>预计收取1660万，按年预算收入的5%计算征管经费83万。</t>
  </si>
  <si>
    <t>预计收取2500万，按年预算收入的5%计算征管经费125万。</t>
  </si>
  <si>
    <t>2121401-污水处理设施建设和运营</t>
  </si>
  <si>
    <t>预计到年底收入为664万元</t>
  </si>
  <si>
    <t>保底3.6万吨，每吨1.56元，一年3.6万*1.56元/吨*365天=2049.84万元，扣除基金收入576万元，缺口1473.84万元。</t>
  </si>
  <si>
    <t>2296002-用于社会福利的彩票公益金支出</t>
  </si>
  <si>
    <t>银龄安康保险</t>
  </si>
  <si>
    <t>2296003-用于体育事业的彩票公益金支出</t>
  </si>
  <si>
    <t>城区校对外开放补助</t>
  </si>
  <si>
    <t>全域旅游发展专项</t>
  </si>
  <si>
    <t>全民健身体育项目</t>
  </si>
  <si>
    <t>全民健身设施建设，群众体育支出，竞技体育购买服务经费，大型运动会，手球运动及传统优势体育运动项目</t>
  </si>
  <si>
    <t>预拨资金，从县本级体育彩票公益金安排支出</t>
  </si>
  <si>
    <t>2290402-其他地方自行试点项目收益专项债券收入安排的支出</t>
  </si>
  <si>
    <t>武平站交通枢纽一体化工程建设项目</t>
  </si>
  <si>
    <t>2023年专项债券资金。武财（债）指[2023]5号10000万元、武财（债）指[2023]14号5000万元</t>
  </si>
  <si>
    <t>902012-武平高新技术产业园区投资发展有限公司</t>
  </si>
  <si>
    <t>武平高新区光电信息产业园项目</t>
  </si>
  <si>
    <t>2023年专项债券资金。武财（债）指[2023]5号5000万元</t>
  </si>
  <si>
    <t>武平县闽粤省际货运物流集散中心基础设施建设项目</t>
  </si>
  <si>
    <t>2023年专项债券资金。武财（债）指[2023]14号3000万元</t>
  </si>
  <si>
    <t>902011-武平县工业园区投资发展有限公司</t>
  </si>
  <si>
    <t>武平工业园区南部片区扩园项目</t>
  </si>
  <si>
    <t>2023年专项债券资金。武财（债）指[2023]14号10000万元</t>
  </si>
  <si>
    <t>武平县新型显示产业园项目</t>
  </si>
  <si>
    <t>2023年专项债券资金。武财（债）指[2023]14号15000万元</t>
  </si>
  <si>
    <t>武平县“十四五”城镇老旧小区改造提升工程</t>
  </si>
  <si>
    <t>[902008]武平县天然文化旅游投资有限公司</t>
  </si>
  <si>
    <t>武平县全域旅游二期</t>
  </si>
  <si>
    <t>2023年专项债券资金。武财（债）指[2023]14号4000万元</t>
  </si>
  <si>
    <t>北环路道路改造工程</t>
  </si>
  <si>
    <t>2023年专项债券资金。武财〔债〕指〔2023〕27号</t>
  </si>
  <si>
    <t>生活垃圾无害化处理场项目建设</t>
  </si>
  <si>
    <t>香樟田园公社工程项目</t>
  </si>
  <si>
    <t>武平县南环路（武平大道至新205线）道路工程建设项目</t>
  </si>
  <si>
    <t>岩前大道建设</t>
  </si>
  <si>
    <t>梁野山五村互通公路建设</t>
  </si>
  <si>
    <t>云礤村道路改造提升工程B、C标段</t>
  </si>
  <si>
    <t>客都汇至梁野山景区入口道路提升项目</t>
  </si>
  <si>
    <t>武平大道与平川大道交叉口城市立面改造项目</t>
  </si>
  <si>
    <t>梁野山景区入口至云礤村路面改造工程</t>
  </si>
  <si>
    <t>四好农村路道路建设</t>
  </si>
  <si>
    <t>村级骨灰堂建设</t>
  </si>
  <si>
    <t>武平县公共文化服务中心项目</t>
  </si>
  <si>
    <t>长排路（青云路至丰平路）道路工程</t>
  </si>
  <si>
    <t>城区市政公用设施功能完善提升工程</t>
  </si>
  <si>
    <t>武平县梁野山景区创5A景区项目</t>
  </si>
  <si>
    <t>武平不锈钢产业园基础设施项目</t>
  </si>
  <si>
    <t>中山河国家湿地公园项目</t>
  </si>
  <si>
    <t>省级科技孵化器二期（信息光电与智能制造产业）</t>
  </si>
  <si>
    <t>省级科技孵化器暨县职业技能实训基地</t>
  </si>
  <si>
    <t>福建省储备粮管理有限公司武平直属库配套工程项目</t>
  </si>
  <si>
    <t>武平县东云淘宝村立面改造工程</t>
  </si>
  <si>
    <t>S205武平县三口塘至高速出口沥青路面环城西路项目</t>
  </si>
  <si>
    <t>东门市场改扩建项目</t>
  </si>
  <si>
    <t>客都汇到景区游客服务中心专用通道项目</t>
  </si>
  <si>
    <t>926001-武平县大禾镇人民政府</t>
  </si>
  <si>
    <t>武平县永平上板寮至大禾龙坑村（X652）公路改建工程</t>
  </si>
  <si>
    <t>平川河（东门桥-七坊桥）东岸生态修复改造工程</t>
  </si>
  <si>
    <t>武平县全民健身中心（老年日间照料中心）</t>
  </si>
  <si>
    <t>2320411-国有土地使用权出让金债务付息支出</t>
  </si>
  <si>
    <t>地方政府专项债券付息支出</t>
  </si>
  <si>
    <t>其中该科目2023年应付利息1311.9586万元</t>
  </si>
  <si>
    <t>2320431-土地储备专项债券付息支出</t>
  </si>
  <si>
    <t>该科目2023年付利息3036.75万元</t>
  </si>
  <si>
    <t>其中该科目2023年应付利息3036.75万元+预计明年新增再融资专项债3.843亿元（利率3.5%）利息672.525万元</t>
  </si>
  <si>
    <t>2320432-政府收费公路专项债券付息支出</t>
  </si>
  <si>
    <t>该科目2023年付利息778.8万元</t>
  </si>
  <si>
    <t>其中该科目2023年应付利息778.8万元+预计明年新增债1.5亿元（利率3.5%）利息262.5万元</t>
  </si>
  <si>
    <t>2320498-其他地方自行试点项目收益专项债券付息支出</t>
  </si>
  <si>
    <t>该科目2023年付利息8480.0137万元+2023年发行专项债券付利息991.1万元</t>
  </si>
  <si>
    <t>其中该科目2023年应付利息8480.0137万元+预计明年新增债7亿元（利率3.35%）利息1173万元</t>
  </si>
  <si>
    <t>2330411-国有土地使用权出让金债务发行费用支出</t>
  </si>
  <si>
    <t>地方政府专项债券发行费用</t>
  </si>
  <si>
    <t>2330431-土地储备专项债券发行费用支出</t>
  </si>
  <si>
    <t>2330432-政府收费公路专项债券发行费用支出</t>
  </si>
  <si>
    <t>2330498-其他地方自行试点项目收益专项债券发行费用支出</t>
  </si>
  <si>
    <t>2310411-国有土地使用权出让金债务还本支出</t>
  </si>
  <si>
    <t>地方政府专项债券还本支出</t>
  </si>
  <si>
    <t>2310431-土地储备专项债券还本支出</t>
  </si>
  <si>
    <t>省厅从一体化下达再融资债指标47249万元，县本级财力承担的还本支出5251万元</t>
  </si>
  <si>
    <t>再融资47250</t>
  </si>
  <si>
    <t>根据上年上下级结算数调整</t>
  </si>
  <si>
    <t>加：调出资金</t>
  </si>
  <si>
    <t>调入一般公共预算</t>
  </si>
  <si>
    <t>加：调出资金（专项债券付息）</t>
  </si>
  <si>
    <t>附件8</t>
  </si>
  <si>
    <t xml:space="preserve">2023年社会保险基金收支预算调整表 </t>
  </si>
  <si>
    <t>项        目</t>
  </si>
  <si>
    <t>城乡居民基本养老保险基金</t>
  </si>
  <si>
    <t>机关事业单位基本养老保险基金</t>
  </si>
  <si>
    <t>一、2022年结余</t>
  </si>
  <si>
    <t>二、本年收入</t>
  </si>
  <si>
    <t xml:space="preserve">    其中： 1.保险费收入</t>
  </si>
  <si>
    <t xml:space="preserve">           2.利息收入</t>
  </si>
  <si>
    <t xml:space="preserve">           3.财政补贴收入</t>
  </si>
  <si>
    <t>　　　　   　其中：县级财政补助收入</t>
  </si>
  <si>
    <t xml:space="preserve">           4.委托投资收益</t>
  </si>
  <si>
    <t xml:space="preserve">           5.其他收入</t>
  </si>
  <si>
    <t xml:space="preserve">           6.转移收入</t>
  </si>
  <si>
    <t>三、本年支出</t>
  </si>
  <si>
    <t xml:space="preserve">    其中： 1.社会保险待遇支出</t>
  </si>
  <si>
    <t xml:space="preserve">           2.其他支出</t>
  </si>
  <si>
    <t xml:space="preserve">           3.转移支出</t>
  </si>
  <si>
    <t>四、本年收支结余</t>
  </si>
  <si>
    <t>五、预计滚存结余</t>
  </si>
  <si>
    <t>说明：根据中央、省、市文件要求，社会保险基金预算县级只需编制城乡居民基本养老保险基金、机关事业单位基本养老保险基金预算；其他上收省、市统筹的保险基金不需另外编制预算。</t>
  </si>
  <si>
    <t>2023年存量资金安排支出预算调整表</t>
  </si>
  <si>
    <t>21-公用经费</t>
  </si>
  <si>
    <t>221-基本业务费</t>
  </si>
  <si>
    <t>资金性质</t>
  </si>
  <si>
    <t>类</t>
  </si>
  <si>
    <t>功能科目名称</t>
  </si>
  <si>
    <t>存量资金安排金额</t>
  </si>
  <si>
    <t>1-12月存量资金实际支出</t>
  </si>
  <si>
    <t>经济发展股</t>
  </si>
  <si>
    <t>一般公共预算</t>
  </si>
  <si>
    <t>201</t>
  </si>
  <si>
    <t>武财发用存指〔2023〕2号</t>
  </si>
  <si>
    <t>32-补贴清算类支出</t>
  </si>
  <si>
    <t>行政机关单位</t>
  </si>
  <si>
    <t>返拨经费</t>
  </si>
  <si>
    <t>201 汇总</t>
  </si>
  <si>
    <t>行政事业股</t>
  </si>
  <si>
    <t>204</t>
  </si>
  <si>
    <t>2040699其他司法支出</t>
  </si>
  <si>
    <t>315001-武平县司法局</t>
  </si>
  <si>
    <t>武财事用存〔2023〕1号</t>
  </si>
  <si>
    <t>武财事用存〔2023〕3号</t>
  </si>
  <si>
    <t>204 汇总</t>
  </si>
  <si>
    <t>207</t>
  </si>
  <si>
    <t>207 汇总</t>
  </si>
  <si>
    <t>2010408物价管理</t>
  </si>
  <si>
    <t>31-发展性支出</t>
  </si>
  <si>
    <t>2021年中秋、国庆农副产品平价销售工作经费</t>
  </si>
  <si>
    <t>武财发追指〔2022〕6号</t>
  </si>
  <si>
    <t>2010499其他发展与改革事务支出</t>
  </si>
  <si>
    <t>重点项目前期经费</t>
  </si>
  <si>
    <t>武财预〔2022〕2号</t>
  </si>
  <si>
    <t>龙龙铁路临时使用场地后期场地二次平整费</t>
  </si>
  <si>
    <t>武财发用存指〔2023〕1号</t>
  </si>
  <si>
    <t>扩园指挥部工作经费</t>
  </si>
  <si>
    <t>武财发追指〔2022〕5号</t>
  </si>
  <si>
    <t>企业外经股</t>
  </si>
  <si>
    <t>物流快递企业租金补贴</t>
  </si>
  <si>
    <t>2013299其他组织事务支出</t>
  </si>
  <si>
    <t>人才资源开发专项经费</t>
  </si>
  <si>
    <t>206</t>
  </si>
  <si>
    <t>2069999其他科学技术支出</t>
  </si>
  <si>
    <t>“武平高新区智慧园区建设”项目补助</t>
  </si>
  <si>
    <t>武财企存〔2023〕1号</t>
  </si>
  <si>
    <t>206 汇总</t>
  </si>
  <si>
    <t>社保股</t>
  </si>
  <si>
    <t>208</t>
  </si>
  <si>
    <t>2080808烈士纪念设施管理维护</t>
  </si>
  <si>
    <t>县革命烈士陵园围墙修缮重建</t>
  </si>
  <si>
    <t>武财社用存〔2023〕2号</t>
  </si>
  <si>
    <t>债务股</t>
  </si>
  <si>
    <t>2081006养老服务</t>
  </si>
  <si>
    <t>20401-中国共产党武平县委员会老干部局</t>
  </si>
  <si>
    <t>城乡健康养老服务建设项目</t>
  </si>
  <si>
    <t>2020年武平县一中体育馆项目结余一般债券资金再安排，武财〔债〕用存〔2023〕1号</t>
  </si>
  <si>
    <t>208 汇总</t>
  </si>
  <si>
    <t>210</t>
  </si>
  <si>
    <t>2100199其他卫生健康管理事务支出</t>
  </si>
  <si>
    <t>卫生健康专项资金</t>
  </si>
  <si>
    <t>武财社用存〔2023〕1号</t>
  </si>
  <si>
    <t>210 汇总</t>
  </si>
  <si>
    <t>资环股</t>
  </si>
  <si>
    <t>211</t>
  </si>
  <si>
    <t>365001-龙岩市武平生态环境局</t>
  </si>
  <si>
    <t>县级饮用水源勘界定标</t>
  </si>
  <si>
    <t>武财资环指〔2021〕19号</t>
  </si>
  <si>
    <t>365001-生态环境局</t>
  </si>
  <si>
    <t>武平中山河、民主溪流域水污染事件“南阳实践”环境应争工作方案</t>
  </si>
  <si>
    <t>武财资环[2023]用存指1号存量列支</t>
  </si>
  <si>
    <t>《“十四五”县域生态环境问题诊断及质量改善提升对策研究》编制</t>
  </si>
  <si>
    <t>武平县城镇污水收集处理项目策划</t>
  </si>
  <si>
    <t>太平桥水质自动监测站运维</t>
  </si>
  <si>
    <t>农村生活污水治理工程（一期）</t>
  </si>
  <si>
    <t>存量资金再安排汀江-韩江流域上下游横向生态补偿中央奖励资金万安捷文水库水源地水质安全保障及上游水系生态修复</t>
  </si>
  <si>
    <t>武财资环[2023]用存指4号存量列支</t>
  </si>
  <si>
    <t>存量资金再安排汀江-韩江流域上下游横向生态补偿中央奖励资金民主乡民主溪水生态环境综合整治工程</t>
  </si>
  <si>
    <t>存量资金再安排汀江-韩江流域上下游横向生态补偿中央奖励资金处明、彭寨溪水环境综合治理工程</t>
  </si>
  <si>
    <t>存量资金再安排汀江-韩江流域上下游横向生态补偿中央奖励资金桃溪镇桃溪河流域整治工程</t>
  </si>
  <si>
    <t>存量资金再安排汀江-韩江流域上下游横向生态补偿中央奖励资金湘店镇汀江流域水污染综合治理工程项目</t>
  </si>
  <si>
    <t>生态局环境质量监控平台建设</t>
  </si>
  <si>
    <t>武财资环[2023]用存指5号存量列支</t>
  </si>
  <si>
    <t>2110402农村环境保护</t>
  </si>
  <si>
    <t>存量列支垃圾中转站提升改造垃圾中转站提升改造</t>
  </si>
  <si>
    <t>存量列支西门市场及周边雨污分流</t>
  </si>
  <si>
    <t>环境质量及重点污染源监测</t>
  </si>
  <si>
    <t>武平县城调整声环境功能区划分方案编制</t>
  </si>
  <si>
    <t>辐射演练</t>
  </si>
  <si>
    <t>非道路移动机械入户监督性抽测2022</t>
  </si>
  <si>
    <t>非道路移动机械入户监督性抽测2023</t>
  </si>
  <si>
    <t>武平县碳排放达峰行动计划编制</t>
  </si>
  <si>
    <t>武平县农村面源污染防治规划编制</t>
  </si>
  <si>
    <t>应急演练</t>
  </si>
  <si>
    <t>排污许可证审查及执行报告审核</t>
  </si>
  <si>
    <t>2020年国家生态文明建设示范县创建</t>
  </si>
  <si>
    <t>环境质量与重点污染源监测</t>
  </si>
  <si>
    <t>武财资环〔2023〕用存指1号存量列支</t>
  </si>
  <si>
    <t>低碳社区创建</t>
  </si>
  <si>
    <t>914001-武平县东留镇人民政府</t>
  </si>
  <si>
    <t>211 汇总</t>
  </si>
  <si>
    <t>212</t>
  </si>
  <si>
    <t>存量列支城市公共停车设施建设</t>
  </si>
  <si>
    <t>存量列支历史建筑保护利用补助资金</t>
  </si>
  <si>
    <t>存量列支重点改善提升“十镇百村”补助资金</t>
  </si>
  <si>
    <t>存量列支县城人居环境整治帮扶补助</t>
  </si>
  <si>
    <t>存量列支县城人居环境整治帮扶补助资金</t>
  </si>
  <si>
    <t>二级环卫市场化运作试点</t>
  </si>
  <si>
    <t>以前年度二级环卫经费40万元。武财发用存指〔2023〕1号安排5万</t>
  </si>
  <si>
    <t>政府性基金</t>
  </si>
  <si>
    <t>2120802土地开发支出</t>
  </si>
  <si>
    <t>325001-自然资源局</t>
  </si>
  <si>
    <t>集体建设用地和农用地基准地价编制工作经费</t>
  </si>
  <si>
    <t>武财资环[2023]用存指4号、武财资环[2023]用存指7号</t>
  </si>
  <si>
    <t>2129999其他城乡社区支出</t>
  </si>
  <si>
    <t>存量列支项目策划</t>
  </si>
  <si>
    <t>存量列支园区环保站监管</t>
  </si>
  <si>
    <t>212 汇总</t>
  </si>
  <si>
    <t>项目股</t>
  </si>
  <si>
    <t>213</t>
  </si>
  <si>
    <t>2130199其他农业农村支出</t>
  </si>
  <si>
    <t>畜禽粪污资源化利用</t>
  </si>
  <si>
    <t>根据武财预[2023]16号畜禽粪污资源化利用资金（闽财农指［2020］59号武财农指［2021］2号）2022年收回总预算2001万元，按工程实施进度仍需安排资金。
武财项目预〔2023〕7号预拨资金支出1300万，武财项目用存〔2023〕1号存量资金支出100万。</t>
  </si>
  <si>
    <t>农村农业股</t>
  </si>
  <si>
    <t>存量安排农村小型公益设施专项资金：大禾镇坪坑村农村公益项目建设</t>
  </si>
  <si>
    <t>存量中安排，武财农用存[2023]1号</t>
  </si>
  <si>
    <t>存量安排财政支农资金：百香果特色产业发展项目</t>
  </si>
  <si>
    <t>存量中安排，武财农用存[2023]2号</t>
  </si>
  <si>
    <t>存量安排农业发展资金</t>
  </si>
  <si>
    <t>存量中安排，武财农用存[2023]3号</t>
  </si>
  <si>
    <t>存量安排第三次全国土壤普查内外业县级经费</t>
  </si>
  <si>
    <t>武财农用存[2023]4号，县政府审批。</t>
  </si>
  <si>
    <t>存量安排农业生产发展专项资金：果茶菜有机肥替代化肥试点、农民合作社补助等</t>
  </si>
  <si>
    <t>存量安排农业产业技术体系建设项目资金：水果、食用菌</t>
  </si>
  <si>
    <t>2130205森林资源培育</t>
  </si>
  <si>
    <t>存量列支森林草原资源培育专项</t>
  </si>
  <si>
    <t>2130299其他林业和草原支出</t>
  </si>
  <si>
    <t>2022年存量安排林业改革发展经费</t>
  </si>
  <si>
    <t>武财资环用存指〔2022〕1号</t>
  </si>
  <si>
    <t>2022年存量安排造林绿化空间调查评估专项资金</t>
  </si>
  <si>
    <t>武财资环用存指〔2022〕4号</t>
  </si>
  <si>
    <t>森林资源保护—森林步道建设项目</t>
  </si>
  <si>
    <t>武财预(2023)5号文件，武财资环〔2023〕号用存指6号</t>
  </si>
  <si>
    <t>森林资源培育（林木良种补助）</t>
  </si>
  <si>
    <t>2020年天然林停伐补助资金</t>
  </si>
  <si>
    <t>创建国家森林城市检查验收经费</t>
  </si>
  <si>
    <t>省级财政林业专项资金</t>
  </si>
  <si>
    <t>武财预(2023)5号文件，武财资环〔2023〕号用存指8号</t>
  </si>
  <si>
    <t>造林项目监理费</t>
  </si>
  <si>
    <t>领导批示件，武财资环用存指〔2023〕3号</t>
  </si>
  <si>
    <t>2130305水利工程建设</t>
  </si>
  <si>
    <t>城乡供水一体化建设资金</t>
  </si>
  <si>
    <t>2020年省级第五批水利专项资金（开展城乡供水一体化试点建设县600万元，闽财农指［2020］73号武财农指［2020］93号）2022年收回总预算385.95万元，按工程实施进度仍需安排资金。
武财项目预〔2023〕6号预拨资金支出365.95万，武财项目用存〔2023〕1号存量资金支出20万。</t>
  </si>
  <si>
    <t>存量安排地方水库移民扶持资金：中堡镇美丽家园建设（安装电力节能路灯）</t>
  </si>
  <si>
    <t>存量安排水利专项资金：岩前镇将军村等农村饮水安全巩固提升建设</t>
  </si>
  <si>
    <t>存量安排水利专项资金：中赤河万安段、岩前段、东留段、小澜溪永平段中小河流治理工程</t>
  </si>
  <si>
    <t>存量安排水利专项资金：桃溪镇水毁修复等项目</t>
  </si>
  <si>
    <t>存量安排水利维护专项资金：民主乡高横村水利修复、中堡镇互助村水利工程修复等项目</t>
  </si>
  <si>
    <t>存量安排水利发展资金</t>
  </si>
  <si>
    <t>武财农用存[2023]3号</t>
  </si>
  <si>
    <t>2017年度高标准农田节水灌溉项目</t>
  </si>
  <si>
    <t>武财农用存［2021］1号</t>
  </si>
  <si>
    <t>移民项目资金：中山镇移民村生产道路硬化项目（老城村）</t>
  </si>
  <si>
    <t>武财农用存〔2022〕3号</t>
  </si>
  <si>
    <t>2022年存量安排武平县水资源配置规划资金</t>
  </si>
  <si>
    <t>武财农用存〔2022〕4号</t>
  </si>
  <si>
    <t>2022年存量安排武平县“十四五”水安全保障规划编制费用资金</t>
  </si>
  <si>
    <t>武南重点中型灌区节水配套改造项目</t>
  </si>
  <si>
    <t>武财农用存〔2022〕5号</t>
  </si>
  <si>
    <t>2130701对村级公益事业建设的补助</t>
  </si>
  <si>
    <t>存量安排农村公益事业建设财政奖补资金：梁山村下洋桥防洪堤建设</t>
  </si>
  <si>
    <t>213 汇总</t>
  </si>
  <si>
    <t>214</t>
  </si>
  <si>
    <t>2140104公路建设</t>
  </si>
  <si>
    <t>武平县2021年农村公路建设改造项目来福（原S309线）-中和</t>
  </si>
  <si>
    <t>武财发用存指〔2023〕3号</t>
  </si>
  <si>
    <t>902108-武平县富通公路建设投资有限公司</t>
  </si>
  <si>
    <t>2022年存量安排2021年农村公路建设改造资金</t>
  </si>
  <si>
    <t>武财发用存指〔2022〕5号</t>
  </si>
  <si>
    <t>923001-武平县中堡镇人民政府</t>
  </si>
  <si>
    <t>中堡-高坊公路建设</t>
  </si>
  <si>
    <t>武财发用存指〔2022〕2号</t>
  </si>
  <si>
    <t>2140601车辆购置税用于公路等基础设施建设支出</t>
  </si>
  <si>
    <t>存量列支车辆购置税补助地方建设项目资金</t>
  </si>
  <si>
    <t>214 汇总</t>
  </si>
  <si>
    <t>215</t>
  </si>
  <si>
    <t>2022年天睿商务公司运行费用</t>
  </si>
  <si>
    <t>武财预〔2022〕30号</t>
  </si>
  <si>
    <t>东南、西门市场管理费用</t>
  </si>
  <si>
    <t>215 汇总</t>
  </si>
  <si>
    <t>220</t>
  </si>
  <si>
    <t>2200112土地资源储备支出</t>
  </si>
  <si>
    <t>储备补充耕地核实整改工作经费</t>
  </si>
  <si>
    <t>武财资环用存指［2021］5号</t>
  </si>
  <si>
    <t>2020年武平县武东洋门石场水文地质调查</t>
  </si>
  <si>
    <t>220 汇总</t>
  </si>
  <si>
    <t>221</t>
  </si>
  <si>
    <t>2210105农村危房改造</t>
  </si>
  <si>
    <t>存量列支农村危房改造</t>
  </si>
  <si>
    <t>221 汇总</t>
  </si>
  <si>
    <t>224</t>
  </si>
  <si>
    <t>2240602森林草原防灾减灾</t>
  </si>
  <si>
    <t>县级森林消防队经费</t>
  </si>
  <si>
    <t>224 汇总</t>
  </si>
  <si>
    <t>229</t>
  </si>
  <si>
    <t>2299999其他支出</t>
  </si>
  <si>
    <t>综治维稳补助经费</t>
  </si>
  <si>
    <t>闽财政法指［2020］16号武财事指［2020］49号</t>
  </si>
  <si>
    <t>434002-武平县机关事务服务中心</t>
  </si>
  <si>
    <t>政府路51号大院5#楼危房除险加固工程</t>
  </si>
  <si>
    <t>武财项目用存〔2023〕1号存量资金支出20万</t>
  </si>
  <si>
    <t>229 汇总</t>
  </si>
  <si>
    <t>附件9</t>
  </si>
  <si>
    <t>2023年从收回财政的存量资金中安排支出预算表</t>
  </si>
  <si>
    <t>政府性基金预算</t>
  </si>
  <si>
    <t>存量资金支出合计</t>
  </si>
  <si>
    <t>节能环保</t>
  </si>
  <si>
    <t>附件10</t>
  </si>
  <si>
    <t>2023年新增专项债券资金用途特殊调整情况表</t>
  </si>
  <si>
    <t>调整前信息</t>
  </si>
  <si>
    <t>调整后信息</t>
  </si>
  <si>
    <t>调整前项目名称</t>
  </si>
  <si>
    <t>调整前金额</t>
  </si>
  <si>
    <t>调整后金额</t>
  </si>
  <si>
    <t>调整使用金额</t>
  </si>
  <si>
    <t>调整后项目名称</t>
  </si>
  <si>
    <t>S205武平线三口塘至高速出口段沥青路面环城西路项目</t>
  </si>
  <si>
    <t>附件11</t>
  </si>
  <si>
    <t>2023年财政直达资金支出进度表</t>
  </si>
  <si>
    <t>资金名称</t>
  </si>
  <si>
    <t>全省</t>
  </si>
  <si>
    <t>资金总量</t>
  </si>
  <si>
    <t>支出金额</t>
  </si>
  <si>
    <t>支出进度</t>
  </si>
  <si>
    <t>直达资金</t>
  </si>
  <si>
    <t>90.7%</t>
  </si>
  <si>
    <t xml:space="preserve">   共同财政事权转移支付</t>
  </si>
  <si>
    <t>86.5%</t>
  </si>
  <si>
    <t xml:space="preserve">      就业补助资金</t>
  </si>
  <si>
    <t>99.5%</t>
  </si>
  <si>
    <t xml:space="preserve">      农业防灾减灾和水利救灾资金</t>
  </si>
  <si>
    <t>72.5%</t>
  </si>
  <si>
    <t xml:space="preserve">      耕地建设与利用资金</t>
  </si>
  <si>
    <t>47.8%</t>
  </si>
  <si>
    <t xml:space="preserve">      基本公共卫生服务补助资金</t>
  </si>
  <si>
    <t>98.9%</t>
  </si>
  <si>
    <t xml:space="preserve">      困难群众救助补助经费</t>
  </si>
  <si>
    <t>97.5%</t>
  </si>
  <si>
    <t xml:space="preserve">      林业改革发展资金</t>
  </si>
  <si>
    <t xml:space="preserve">      医疗服务与保障能力提升补助资金</t>
  </si>
  <si>
    <t>80.5%</t>
  </si>
  <si>
    <t xml:space="preserve">      学生资助补助经费</t>
  </si>
  <si>
    <t>86.9%</t>
  </si>
  <si>
    <t xml:space="preserve">      城乡义务教育补助经费</t>
  </si>
  <si>
    <t>76.0%</t>
  </si>
  <si>
    <t xml:space="preserve">      残疾人事业发展补助经费</t>
  </si>
  <si>
    <t>100.0%</t>
  </si>
  <si>
    <t xml:space="preserve">      计划生育转移支付资金</t>
  </si>
  <si>
    <t xml:space="preserve">      成品油税费改革转移支付</t>
  </si>
  <si>
    <t xml:space="preserve">      城乡居民基本养老保险补助经费</t>
  </si>
  <si>
    <t xml:space="preserve">      基本药物制度补助资金</t>
  </si>
  <si>
    <t xml:space="preserve">      中央财政城镇保障性安居工程补助资金</t>
  </si>
  <si>
    <t>63.2%</t>
  </si>
  <si>
    <t xml:space="preserve">      优抚对象医疗保障经费</t>
  </si>
  <si>
    <t>45.0%</t>
  </si>
  <si>
    <t xml:space="preserve">      中央自然灾害救灾资金</t>
  </si>
  <si>
    <t>56.3%</t>
  </si>
  <si>
    <t xml:space="preserve">      优抚对象补助经费</t>
  </si>
  <si>
    <t>90.0%</t>
  </si>
  <si>
    <t xml:space="preserve">   一般性转移支付</t>
  </si>
  <si>
    <t>97.7%</t>
  </si>
  <si>
    <t xml:space="preserve">      县级基本财力保障机制奖补资金</t>
  </si>
  <si>
    <t xml:space="preserve">      生猪（牛羊）调出大县奖励资金</t>
  </si>
  <si>
    <t/>
  </si>
  <si>
    <t xml:space="preserve">      中央财政衔接推进乡村振兴补助资金</t>
  </si>
  <si>
    <t>99.6%</t>
  </si>
  <si>
    <t xml:space="preserve">      疫情防控财力补助资金</t>
  </si>
  <si>
    <t>97.1%</t>
  </si>
  <si>
    <t xml:space="preserve">   支持基层落实减税降费和重点民生等专项转移支付</t>
  </si>
  <si>
    <t>93.2%</t>
  </si>
  <si>
    <t xml:space="preserve">      增值税留抵退税资金转移支付</t>
  </si>
  <si>
    <t>90.8%</t>
  </si>
  <si>
    <t xml:space="preserve">      其他减税降费资金转移支付</t>
  </si>
  <si>
    <t xml:space="preserve">   专项转移支付</t>
  </si>
  <si>
    <t xml:space="preserve">      普惠金融发展专项资金</t>
  </si>
  <si>
    <t>2221-大型公用设施运行维护</t>
  </si>
  <si>
    <t>01-局领导</t>
  </si>
  <si>
    <t>101001-武平县人民代表大会常务委员会办公室</t>
  </si>
  <si>
    <t>2222-大型专用设备运行维护</t>
  </si>
  <si>
    <t>101002-武平县人大常委会理论研究和代表服务中心</t>
  </si>
  <si>
    <t>2010102-一般行政管理事务</t>
  </si>
  <si>
    <t>03-国库股</t>
  </si>
  <si>
    <t>131001-中国人民政治协商会议福建省武平县委员会办公室</t>
  </si>
  <si>
    <t>2010103-机关服务</t>
  </si>
  <si>
    <t>2224-大型公用设施租赁</t>
  </si>
  <si>
    <t>04-支付中心</t>
  </si>
  <si>
    <t>131002-武平县政协委员培训服务中心</t>
  </si>
  <si>
    <t>2010104-人大会议</t>
  </si>
  <si>
    <t>151001-武平县人民检察院</t>
  </si>
  <si>
    <t>2010105-人大立法</t>
  </si>
  <si>
    <t>2226-专业信息系统租赁</t>
  </si>
  <si>
    <t>161001-武平县人民法院</t>
  </si>
  <si>
    <t>2010106-人大监督</t>
  </si>
  <si>
    <t>2010107-人大代表履职能力提升</t>
  </si>
  <si>
    <t>201005-武平县海峡两岸交流基地服务中心</t>
  </si>
  <si>
    <t>2010108-代表工作</t>
  </si>
  <si>
    <t>201006-武平县县委县政府接待处</t>
  </si>
  <si>
    <t>2010109-人大信访工作</t>
  </si>
  <si>
    <t>201007-武平县政策研究中心</t>
  </si>
  <si>
    <t>2010150-事业运行</t>
  </si>
  <si>
    <t>201008-武平县委县政府总值班室</t>
  </si>
  <si>
    <t>2010199-其他人大事务支出</t>
  </si>
  <si>
    <t>13-采购办</t>
  </si>
  <si>
    <t>201009-武平县保密技术服务中心</t>
  </si>
  <si>
    <t>2010201-行政运行</t>
  </si>
  <si>
    <t>201010-武平县电子政务内网和密码技术中心</t>
  </si>
  <si>
    <t>2010202-一般行政管理事务</t>
  </si>
  <si>
    <t>15-人秘股</t>
  </si>
  <si>
    <t>201011-武平县党建工作协调中心</t>
  </si>
  <si>
    <t>2010203-机关服务</t>
  </si>
  <si>
    <t>2010204-政协会议</t>
  </si>
  <si>
    <t>17-绩效评价监督股</t>
  </si>
  <si>
    <t>203002-武平县干部档案室</t>
  </si>
  <si>
    <t>2010205-委员视察</t>
  </si>
  <si>
    <t>2010206-参政议政</t>
  </si>
  <si>
    <t>203003-武平县人才发展研究中心</t>
  </si>
  <si>
    <t>2010250-事业运行</t>
  </si>
  <si>
    <t>203004-武平县党员服务中心</t>
  </si>
  <si>
    <t>2010299-其他政协事务支出</t>
  </si>
  <si>
    <t>204001-中国共产党武平县委员会老干部局</t>
  </si>
  <si>
    <t>2010301-行政运行</t>
  </si>
  <si>
    <t>204002-武平县老干部人民调解委员会</t>
  </si>
  <si>
    <t>2010302-一般行政管理事务</t>
  </si>
  <si>
    <t>204003-武平县定光佛文化交流促进会</t>
  </si>
  <si>
    <t>2010303-机关服务</t>
  </si>
  <si>
    <t>204004-武平县老区建设促进会</t>
  </si>
  <si>
    <t>2010304-专项服务</t>
  </si>
  <si>
    <t>204005-武平县老年协会研究小组</t>
  </si>
  <si>
    <t>2010305-专项业务及机关事务管理</t>
  </si>
  <si>
    <t>204006-武平县老年人体育健身服务中心</t>
  </si>
  <si>
    <t>2010306-政务公开审批</t>
  </si>
  <si>
    <t>204007-武平县老科学技术工作者协会</t>
  </si>
  <si>
    <t>2010308-信访事务</t>
  </si>
  <si>
    <t>204008-武平县慈善总会</t>
  </si>
  <si>
    <t>2010309-参事事务</t>
  </si>
  <si>
    <t>204009-武平县老年大学</t>
  </si>
  <si>
    <t>2010350-事业运行</t>
  </si>
  <si>
    <t>204010-武平县老干部活动中心</t>
  </si>
  <si>
    <t>2010399-其他政府办公厅(室)及相关机构事务支出</t>
  </si>
  <si>
    <t>204011-武平县老干部人民调解服务中心</t>
  </si>
  <si>
    <t>2010401-行政运行</t>
  </si>
  <si>
    <t>205001-武平县人民政府信访局</t>
  </si>
  <si>
    <t>2010402-一般行政管理事务</t>
  </si>
  <si>
    <t>205002-武平县网络信访服务中心</t>
  </si>
  <si>
    <t>2010403-机关服务</t>
  </si>
  <si>
    <t>206001-中国共产党武平县委县直机关工作委员会</t>
  </si>
  <si>
    <t>2010404-战略规划与实施</t>
  </si>
  <si>
    <t>206002-武平县直机关党建服务中心</t>
  </si>
  <si>
    <t>2010405-日常经济运行调节</t>
  </si>
  <si>
    <t>207001-中共武平县委精神文明建设办公室</t>
  </si>
  <si>
    <t>2010406-社会事业发展规划</t>
  </si>
  <si>
    <t>207002-武平县新时代文明实践中心</t>
  </si>
  <si>
    <t>2010407-经济体制改革研究</t>
  </si>
  <si>
    <t>207003-武平县未成年人思想道德建设中心</t>
  </si>
  <si>
    <t>2010408-物价管理</t>
  </si>
  <si>
    <t>2010450-事业运行</t>
  </si>
  <si>
    <t>211002-武平县网络舆情中心</t>
  </si>
  <si>
    <t>211004-武平县融媒体中心</t>
  </si>
  <si>
    <t>2010501-行政运行</t>
  </si>
  <si>
    <t>211005-武平县广播电视发射台</t>
  </si>
  <si>
    <t>2010502-一般行政管理事务</t>
  </si>
  <si>
    <t>213001-中国共产党武平县委员会统一战线工作部</t>
  </si>
  <si>
    <t>2010503-机关服务</t>
  </si>
  <si>
    <t>213002-武平县宗教事务服务中心</t>
  </si>
  <si>
    <t>2010504-信息事务</t>
  </si>
  <si>
    <t>213003-武平县新的社会阶层人士服务中心</t>
  </si>
  <si>
    <t>2010505-专项统计业务</t>
  </si>
  <si>
    <t>2010506-统计管理</t>
  </si>
  <si>
    <t>216002-武平县法学研究与综治中心</t>
  </si>
  <si>
    <t>2010507-专项普查活动</t>
  </si>
  <si>
    <t>222001-中国共产党武平县纪律检查委员会</t>
  </si>
  <si>
    <t>2010508-统计抽样调查</t>
  </si>
  <si>
    <t>222002-武平县廉政警示教育中心</t>
  </si>
  <si>
    <t>2010550-事业运行</t>
  </si>
  <si>
    <t>225001-中共武平县委机构编制委员会办公室</t>
  </si>
  <si>
    <t>2010599-其他统计信息事务支出</t>
  </si>
  <si>
    <t>225002-武平县事业单位登记管理局</t>
  </si>
  <si>
    <t>2010601-行政运行</t>
  </si>
  <si>
    <t>225003-武平县机构编制信息中心</t>
  </si>
  <si>
    <t>2010602-一般行政管理事务</t>
  </si>
  <si>
    <t>225004-武平县政务和公益机构域名注册中心</t>
  </si>
  <si>
    <t>2010603-机关服务</t>
  </si>
  <si>
    <t>241001-武平县档案馆</t>
  </si>
  <si>
    <t>2010604-预算改革业务</t>
  </si>
  <si>
    <t>241002-武平县档案咨询服务中心</t>
  </si>
  <si>
    <t>2010605-财政国库业务</t>
  </si>
  <si>
    <t>281-中共武平县委党校</t>
  </si>
  <si>
    <t>2010606-财政监察</t>
  </si>
  <si>
    <t>281001-中共武平县委党校</t>
  </si>
  <si>
    <t>2010607-信息化建设</t>
  </si>
  <si>
    <t>283001-中共武平县委党史和地方志研究室</t>
  </si>
  <si>
    <t>2010608-财政委托业务支出</t>
  </si>
  <si>
    <t>2010650-事业运行</t>
  </si>
  <si>
    <t>2010699-其他财政事务支出</t>
  </si>
  <si>
    <t>303004-武平县价格认证中心</t>
  </si>
  <si>
    <t>2010701-行政运行</t>
  </si>
  <si>
    <t>303005-武平县粮食流通服务中心</t>
  </si>
  <si>
    <t>2010702-一般行政管理事务</t>
  </si>
  <si>
    <t>303006-武平县苏区振兴发展服务中心</t>
  </si>
  <si>
    <t>2010703-机关服务</t>
  </si>
  <si>
    <t>303007-武平县第三产业发展服务中心</t>
  </si>
  <si>
    <t>2010709-信息化建设</t>
  </si>
  <si>
    <t>2010710-税收业务</t>
  </si>
  <si>
    <t>304002-武平县科技情报研究所</t>
  </si>
  <si>
    <t>2010750-事业运行</t>
  </si>
  <si>
    <t>304003-武平县中小企业服务中心</t>
  </si>
  <si>
    <t>2010799-其他税收事务支出</t>
  </si>
  <si>
    <t>304004-武平县煤炭行业服务中心</t>
  </si>
  <si>
    <t>2010801-行政运行</t>
  </si>
  <si>
    <t>304005-企业与企业家联合会</t>
  </si>
  <si>
    <t>2010802-一般行政管理事务</t>
  </si>
  <si>
    <t>304006-武平县煤炭工业公司</t>
  </si>
  <si>
    <t>2010803-机关服务</t>
  </si>
  <si>
    <t>304007-武平县稀土产业发展服务中心</t>
  </si>
  <si>
    <t>2010804-审计业务</t>
  </si>
  <si>
    <t>304008-武平县节能服务中心</t>
  </si>
  <si>
    <t>2010805-审计管理</t>
  </si>
  <si>
    <t>304009-武平县军民融合项目服务中心</t>
  </si>
  <si>
    <t>2010806-信息化建设</t>
  </si>
  <si>
    <t>2010850-事业运行</t>
  </si>
  <si>
    <t>312002-武平县公安局森林分局</t>
  </si>
  <si>
    <t>2010899-其他审计事务支出</t>
  </si>
  <si>
    <t>2010901-行政运行</t>
  </si>
  <si>
    <t>312004-武平县看守所</t>
  </si>
  <si>
    <t>2010902-一般行政管理事务</t>
  </si>
  <si>
    <t>312005-武平县道路交通事故社会救助基金服务中心</t>
  </si>
  <si>
    <t>2010903-机关服务</t>
  </si>
  <si>
    <t>312006-武平县公安机关服务中心</t>
  </si>
  <si>
    <t>2010905-缉私办案</t>
  </si>
  <si>
    <t>312007-武平县反诈骗中心</t>
  </si>
  <si>
    <t>2010907-口岸管理</t>
  </si>
  <si>
    <t>2010908-信息化建设</t>
  </si>
  <si>
    <t>314005-武平县社会福利中心</t>
  </si>
  <si>
    <t>2010909-海关关务</t>
  </si>
  <si>
    <t>314007-武平县殡葬管理所</t>
  </si>
  <si>
    <t>2010910-关税征管</t>
  </si>
  <si>
    <t>314008-武平县社区养老服务中心</t>
  </si>
  <si>
    <t>2010911-海关监管</t>
  </si>
  <si>
    <t>314010-武平县慈善捐助服务中心</t>
  </si>
  <si>
    <t>2010912-检验检疫</t>
  </si>
  <si>
    <t>314012-武平县婚姻登记服务中心</t>
  </si>
  <si>
    <t>2010950-事业运行</t>
  </si>
  <si>
    <t>314013-武平县殡仪馆</t>
  </si>
  <si>
    <t>2010999-其他海关事务支出</t>
  </si>
  <si>
    <t>314019-武平县救助服务中心</t>
  </si>
  <si>
    <t>2011101-行政运行</t>
  </si>
  <si>
    <t>314020-武平县救助申请家庭经济状况核对中心</t>
  </si>
  <si>
    <t>2011102-一般行政管理事务</t>
  </si>
  <si>
    <t>2011103-机关服务</t>
  </si>
  <si>
    <t>315002-福建省武平县公证处</t>
  </si>
  <si>
    <t>2011104-大案要案查处</t>
  </si>
  <si>
    <t>315003-武平县法律援助服务中心</t>
  </si>
  <si>
    <t>2011105-派驻派出机构</t>
  </si>
  <si>
    <t>315004-武平县社区矫正中心</t>
  </si>
  <si>
    <t>2011106-巡视工作</t>
  </si>
  <si>
    <t>2011150-事业运行</t>
  </si>
  <si>
    <t>2011199-其他纪检监察事务支出</t>
  </si>
  <si>
    <t>317004-武平县光荣院</t>
  </si>
  <si>
    <t>2011301-行政运行</t>
  </si>
  <si>
    <t>317005-武平县烈士纪念设施保护中心</t>
  </si>
  <si>
    <t>2011302-一般行政管理事务</t>
  </si>
  <si>
    <t>317006-武平县拥军优属拥政爱民工作领导小组办公室</t>
  </si>
  <si>
    <t>2011303-机关服务</t>
  </si>
  <si>
    <t>318001-武平县财政局</t>
  </si>
  <si>
    <t>2011304-对外贸易管理</t>
  </si>
  <si>
    <t>318002-武平县财政国库支付中心</t>
  </si>
  <si>
    <t>2011305-国际经济合作</t>
  </si>
  <si>
    <t>318003-武平县财政投资评审中心</t>
  </si>
  <si>
    <t>2011306-外资管理</t>
  </si>
  <si>
    <t>318005-武平县乡镇财政服务中心</t>
  </si>
  <si>
    <t>2011307-国内贸易管理</t>
  </si>
  <si>
    <t>2011308-招商引资</t>
  </si>
  <si>
    <t>318007-武平县财政局专户</t>
  </si>
  <si>
    <t>2011350-事业运行</t>
  </si>
  <si>
    <t>318019-武平县预算绩效评价中心</t>
  </si>
  <si>
    <t>318020-武平县资金统筹服务中心</t>
  </si>
  <si>
    <t>2011401-行政运行</t>
  </si>
  <si>
    <t>319001-武平县审计局</t>
  </si>
  <si>
    <t>2011402-一般行政管理事务</t>
  </si>
  <si>
    <t>319002-武平县审计举报中心</t>
  </si>
  <si>
    <t>2011403-机关服务</t>
  </si>
  <si>
    <t>319003-武平县固定资产投资审计中心</t>
  </si>
  <si>
    <t>2011404-专利审批</t>
  </si>
  <si>
    <t>319004-武平县乡镇审计中心</t>
  </si>
  <si>
    <t>2011405-知识产权战略和规划</t>
  </si>
  <si>
    <t>319005-武平县电子数据审计服务中心</t>
  </si>
  <si>
    <t>2011408-国际合作与交流</t>
  </si>
  <si>
    <t>323001-武平县人力资源和社会保障局</t>
  </si>
  <si>
    <t>2011409-知识产权宏观管理</t>
  </si>
  <si>
    <t>323002-武平县劳动人事争议仲裁院</t>
  </si>
  <si>
    <t>2011410-商标管理</t>
  </si>
  <si>
    <t>323003-武平县退休干部管理办公室</t>
  </si>
  <si>
    <t>2011411-原产地地理标志管理</t>
  </si>
  <si>
    <t>323004-龙岩市医疗保障基金管理中心武平管理部</t>
  </si>
  <si>
    <t>2011450-事业运行</t>
  </si>
  <si>
    <t>323005-武平县机关事业单位社会保险中心</t>
  </si>
  <si>
    <t>2011499-其他知识产权事务支出</t>
  </si>
  <si>
    <t>2012301-行政运行</t>
  </si>
  <si>
    <t>2012302-一般行政管理事务</t>
  </si>
  <si>
    <t>323008-武平县劳动保障监察大队</t>
  </si>
  <si>
    <t>2012303-机关服务</t>
  </si>
  <si>
    <t>2012304-民族工作专项</t>
  </si>
  <si>
    <t>323011-武平县两费管理中心</t>
  </si>
  <si>
    <t>2012350-事业运行</t>
  </si>
  <si>
    <t>323014-武平县企业退休人员管理服务办公室</t>
  </si>
  <si>
    <t>2012399-其他民族事务支出</t>
  </si>
  <si>
    <t>2012501-行政运行</t>
  </si>
  <si>
    <t>2012502-一般行政管理事务</t>
  </si>
  <si>
    <t>325002-武平县耕地保护中心</t>
  </si>
  <si>
    <t>2012503-机关服务</t>
  </si>
  <si>
    <t>2012504-港澳事务</t>
  </si>
  <si>
    <t>2012505-台湾事务</t>
  </si>
  <si>
    <t>2012550-事业运行</t>
  </si>
  <si>
    <t>325006-武平县矿产品流通服务中心</t>
  </si>
  <si>
    <t>2012599-其他港澳台事务支出</t>
  </si>
  <si>
    <t>325007-武平县地质灾害防治中心</t>
  </si>
  <si>
    <t>2012601-行政运行</t>
  </si>
  <si>
    <t>325009-武平县国土空间规划服务中心</t>
  </si>
  <si>
    <t>2012602-一般行政管理事务</t>
  </si>
  <si>
    <t>325010-武平县自然资源综合执法大队</t>
  </si>
  <si>
    <t>2012603-机关服务</t>
  </si>
  <si>
    <t>325101-武平县乡镇自然资源所</t>
  </si>
  <si>
    <t>2012604-档案馆</t>
  </si>
  <si>
    <t>2012699-其他档案事务支出</t>
  </si>
  <si>
    <t>326002-武平县农业机械推广站</t>
  </si>
  <si>
    <t>2012801-行政运行</t>
  </si>
  <si>
    <t>326003-武平县扶贫开发协会</t>
  </si>
  <si>
    <t>2012802-一般行政管理事务</t>
  </si>
  <si>
    <t>326004-武平县农业技术推广站</t>
  </si>
  <si>
    <t>2012803-机关服务</t>
  </si>
  <si>
    <t>326005-武平县农村合作经济经营服务中心</t>
  </si>
  <si>
    <t>2012804-参政议政</t>
  </si>
  <si>
    <t>326006-武平县植保植检站</t>
  </si>
  <si>
    <t>2012850-事业运行</t>
  </si>
  <si>
    <t>326007-武平县土壤肥料和生态能源技术服务站</t>
  </si>
  <si>
    <t>2012899-其他民主党派及工商联事务支出</t>
  </si>
  <si>
    <t>326008-武平县经济作物技术推广站</t>
  </si>
  <si>
    <t>2012901-行政运行</t>
  </si>
  <si>
    <t>326009-武平县农业综合执法大队</t>
  </si>
  <si>
    <t>2012902-一般行政管理事务</t>
  </si>
  <si>
    <t>326010-武平县农产品质量安全监管站</t>
  </si>
  <si>
    <t>2012903-机关服务</t>
  </si>
  <si>
    <t>326011-武平县农产品质量检验检测站</t>
  </si>
  <si>
    <t>2012906-工会事务</t>
  </si>
  <si>
    <t>326012-武平县小额信贷中心</t>
  </si>
  <si>
    <t>2012950-事业运行</t>
  </si>
  <si>
    <t>326013-武平县牲畜屠宰执法大队</t>
  </si>
  <si>
    <t>2012999-其他群众团体事务支出</t>
  </si>
  <si>
    <t>326014-武平县农村劳务开发服务中心</t>
  </si>
  <si>
    <t>2013101-行政运行</t>
  </si>
  <si>
    <t>326015-中国渔政武平县大队</t>
  </si>
  <si>
    <t>2013102-一般行政管理事务</t>
  </si>
  <si>
    <t>326016-武平县畜牧技术推广站</t>
  </si>
  <si>
    <t>2013103-机关服务</t>
  </si>
  <si>
    <t>326017-武平县水产技术推广站</t>
  </si>
  <si>
    <t>326018-武平县动物疫病预防控制中心</t>
  </si>
  <si>
    <t>2013150-事业运行</t>
  </si>
  <si>
    <t>326019-武平县动物卫生监督所</t>
  </si>
  <si>
    <t>2013199-其他党委办公厅(室)及相关机构事务支出</t>
  </si>
  <si>
    <t>326020-武平县城关畜牧兽医水产站</t>
  </si>
  <si>
    <t>2013201-行政运行</t>
  </si>
  <si>
    <t>326021-武平县农田建设中心</t>
  </si>
  <si>
    <t>2013202-一般行政管理事务</t>
  </si>
  <si>
    <t>326022-武平县乡村振兴服务中心</t>
  </si>
  <si>
    <t>2013203-机关服务</t>
  </si>
  <si>
    <t>326023-武平县现代农业发展服务中心</t>
  </si>
  <si>
    <t>2013204-公务员事务</t>
  </si>
  <si>
    <t>2013250-事业运行</t>
  </si>
  <si>
    <t>327002-武平县森林资源资产评估中心</t>
  </si>
  <si>
    <t>2013301-行政运行</t>
  </si>
  <si>
    <t>327004-武平县中山河国家湿地公园保护中心</t>
  </si>
  <si>
    <t>2013302-一般行政管理事务</t>
  </si>
  <si>
    <t>327005-武平县林业规划设计队</t>
  </si>
  <si>
    <t>2013303-机关服务</t>
  </si>
  <si>
    <t>327006-武平县林业执法大队</t>
  </si>
  <si>
    <t>2013304-宣传管理</t>
  </si>
  <si>
    <t>327007-武平县林业产业服务中心</t>
  </si>
  <si>
    <t>2013350-事业运行</t>
  </si>
  <si>
    <t>327008-武平县护林站</t>
  </si>
  <si>
    <t>2013399-其他宣传事务支出</t>
  </si>
  <si>
    <t>327009-武平县森林资源站</t>
  </si>
  <si>
    <t>2013401-行政运行</t>
  </si>
  <si>
    <t>327010-武平县森林植物检疫站</t>
  </si>
  <si>
    <t>2013402-一般行政管理事务</t>
  </si>
  <si>
    <t>327011-武平县林业技术推广中心</t>
  </si>
  <si>
    <t>2013403-机关服务</t>
  </si>
  <si>
    <t>327012-武平县捷文生态林业发展中心</t>
  </si>
  <si>
    <t>2013404-宗教事务</t>
  </si>
  <si>
    <t>327013-武平县乡镇林业工作站</t>
  </si>
  <si>
    <t>2013405-华侨事务</t>
  </si>
  <si>
    <t>327014-武平县林长服务中心</t>
  </si>
  <si>
    <t>2013450-事业运行</t>
  </si>
  <si>
    <t>2013499-其他统战事务支出</t>
  </si>
  <si>
    <t>332002-武平县六甲水库工作站</t>
  </si>
  <si>
    <t>2013501-行政运行</t>
  </si>
  <si>
    <t>332003-武平县捷文水库工作站</t>
  </si>
  <si>
    <t>2013502-一般行政管理事务</t>
  </si>
  <si>
    <t>332004-武平县水利水电工程移民发展中心</t>
  </si>
  <si>
    <t>2013503-机关服务</t>
  </si>
  <si>
    <t>332005-武平县水土保持中心</t>
  </si>
  <si>
    <t>2013550-事业运行</t>
  </si>
  <si>
    <t>332006-武平县水利水电服务中心</t>
  </si>
  <si>
    <t>2013599-其他对外联络事务支出</t>
  </si>
  <si>
    <t>332007-武平县水政监察大队</t>
  </si>
  <si>
    <t>2013601-行政运行</t>
  </si>
  <si>
    <t>332008-武平县河湖服务中心</t>
  </si>
  <si>
    <t>2013602-一般行政管理事务</t>
  </si>
  <si>
    <t>2013603-机关服务</t>
  </si>
  <si>
    <t>333002-武平县建设工程造价站</t>
  </si>
  <si>
    <t>2013650-事业运行</t>
  </si>
  <si>
    <t>333003-武平县消防化工建设工程中心</t>
  </si>
  <si>
    <t>2013699-其他共产党事务支出</t>
  </si>
  <si>
    <t>2013701-行政运行</t>
  </si>
  <si>
    <t>333012-武平县建设工程质量安全站</t>
  </si>
  <si>
    <t>2013702-一般行政管理事务</t>
  </si>
  <si>
    <t>2013703-机关服务</t>
  </si>
  <si>
    <t>2013704-信息安全事务</t>
  </si>
  <si>
    <t>2013750-事业运行</t>
  </si>
  <si>
    <t>334002-武平县城建监察管理大队</t>
  </si>
  <si>
    <t>2013799-其他网信事务支出</t>
  </si>
  <si>
    <t>2013801-行政运行</t>
  </si>
  <si>
    <t>2013802-一般行政管理事务</t>
  </si>
  <si>
    <t>2013803-机关服务</t>
  </si>
  <si>
    <t>334006-武平县城市管理综合执法大队</t>
  </si>
  <si>
    <t>2013804-市场主体管理</t>
  </si>
  <si>
    <t>334007-武平县公用事业收费服务所</t>
  </si>
  <si>
    <t>2013805-市场秩序执法</t>
  </si>
  <si>
    <t>334008-武平县物业服务中心</t>
  </si>
  <si>
    <t>2013808-信息化建设</t>
  </si>
  <si>
    <t>2013810-质量基础</t>
  </si>
  <si>
    <t>342002-武平县防汛抗旱指挥中心</t>
  </si>
  <si>
    <t>2013812-药品事务</t>
  </si>
  <si>
    <t>342003-武平县安全生产监察大队</t>
  </si>
  <si>
    <t>2013813-医疗器械事务</t>
  </si>
  <si>
    <t>342004-武平县森林防灭火指挥中心</t>
  </si>
  <si>
    <t>2013814-化妆品事务</t>
  </si>
  <si>
    <t>342005-武平县地震办公室</t>
  </si>
  <si>
    <t>2013815-质量安全监管</t>
  </si>
  <si>
    <t>342006-武平县应急救援中心</t>
  </si>
  <si>
    <t>2013816-食品安全监管</t>
  </si>
  <si>
    <t>342007-武平县应急救援宣传教育中心</t>
  </si>
  <si>
    <t>2013850-事业运行</t>
  </si>
  <si>
    <t>342008-武平县重大危险源监控中心</t>
  </si>
  <si>
    <t>2019901-国家赔偿费用支出</t>
  </si>
  <si>
    <t>348002-武平县农村公路发展服务中心</t>
  </si>
  <si>
    <t>2019999-其他一般公共服务支出</t>
  </si>
  <si>
    <t>348003-武平县农村公路养护所</t>
  </si>
  <si>
    <t>2020101-行政运行</t>
  </si>
  <si>
    <t>348004-武平县铁路建设发展中心</t>
  </si>
  <si>
    <t>2020102-一般行政管理事务</t>
  </si>
  <si>
    <t>348005-武平县交通基本建设工程质量监督站</t>
  </si>
  <si>
    <t>2020103-机关服务</t>
  </si>
  <si>
    <t>348006-武平县交通运输综合执法大队</t>
  </si>
  <si>
    <t>2020104-专项业务</t>
  </si>
  <si>
    <t>348007-龙岩市公路局武平分局</t>
  </si>
  <si>
    <t>2020150-事业运行</t>
  </si>
  <si>
    <t>348008-武平县运输管理所</t>
  </si>
  <si>
    <t>2020199-其他外交管理事务支出</t>
  </si>
  <si>
    <t>350824000-龙岩市武平县</t>
  </si>
  <si>
    <t>2020201-驻外使领馆(团、处)</t>
  </si>
  <si>
    <t>2020202-其他驻外机构支出</t>
  </si>
  <si>
    <t>357002-武平县汉剧艺术传承保护中心</t>
  </si>
  <si>
    <t>2020304-援外优惠贷款贴息</t>
  </si>
  <si>
    <t>357003-武平县文化馆</t>
  </si>
  <si>
    <t>2020306-对外援助</t>
  </si>
  <si>
    <t>357004-武平县少年儿童体育学校</t>
  </si>
  <si>
    <t>2020401-国际组织会费</t>
  </si>
  <si>
    <t>357005-武平县图书馆</t>
  </si>
  <si>
    <t>2020402-国际组织捐赠</t>
  </si>
  <si>
    <t>357006-武平县博物馆</t>
  </si>
  <si>
    <t>2020403-维和摊款</t>
  </si>
  <si>
    <t>357007-武平县文化市场综合执法大队</t>
  </si>
  <si>
    <t>2020404-国际组织股金及基金</t>
  </si>
  <si>
    <t>357008-武平县兴贤坊传统文化街区服务中心</t>
  </si>
  <si>
    <t>2020499-其他国际组织支出</t>
  </si>
  <si>
    <t>357009-武平县体育中心</t>
  </si>
  <si>
    <t>2020503-在华国际会议</t>
  </si>
  <si>
    <t>357010-武平县旅游质量监督管理所</t>
  </si>
  <si>
    <t>2020504-国际交流活动</t>
  </si>
  <si>
    <t>357011-武平县文物保护服务中心</t>
  </si>
  <si>
    <t>2020505-对外合作活动</t>
  </si>
  <si>
    <t>357012-南海书画艺术院</t>
  </si>
  <si>
    <t>2020599-其他对外合作与交流支出</t>
  </si>
  <si>
    <t>357013-武平县全域旅游服务中心</t>
  </si>
  <si>
    <t>2020601-对外宣传</t>
  </si>
  <si>
    <t>2020701-边界勘界</t>
  </si>
  <si>
    <t>2020702-边界联检</t>
  </si>
  <si>
    <t>360003-福建省武平县第二中学</t>
  </si>
  <si>
    <t>2020703-边界界桩维护</t>
  </si>
  <si>
    <t>360004-武平县实验小学</t>
  </si>
  <si>
    <t>2020799-其他支出</t>
  </si>
  <si>
    <t>360005-武平县教师进修学校附属小学</t>
  </si>
  <si>
    <t>2020801-行政运行</t>
  </si>
  <si>
    <t>360006-福建省武平县教师进修学校</t>
  </si>
  <si>
    <t>2020802-一般行政管理事务</t>
  </si>
  <si>
    <t>360007-武平县特殊教育学校</t>
  </si>
  <si>
    <t>2020803-机关服务</t>
  </si>
  <si>
    <t>360008-武平县下坝中心学校</t>
  </si>
  <si>
    <t>2020850-事业运行</t>
  </si>
  <si>
    <t>2020899-其他国际发展合作支出</t>
  </si>
  <si>
    <t>360010-武平县大禾中学</t>
  </si>
  <si>
    <t>2029999-其他外交支出</t>
  </si>
  <si>
    <t>360011-武平县大禾中心学校</t>
  </si>
  <si>
    <t>2030101-现役部队</t>
  </si>
  <si>
    <t>360012-福建广播电视大学武平县工作站</t>
  </si>
  <si>
    <t>2030102-预备役部队</t>
  </si>
  <si>
    <t>360013-武平县中赤中学</t>
  </si>
  <si>
    <t>2030199-其他军费支出</t>
  </si>
  <si>
    <t>360014-武平县中赤中心学校</t>
  </si>
  <si>
    <t>2030401-国防科研事业</t>
  </si>
  <si>
    <t>360015-武平县中堡中学</t>
  </si>
  <si>
    <t>2030501-专项工程</t>
  </si>
  <si>
    <t>360016-福建省武平县湘店中学</t>
  </si>
  <si>
    <t>2030601-兵役征集</t>
  </si>
  <si>
    <t>360017-武平县民主中心学校</t>
  </si>
  <si>
    <t>2030602-经济动员</t>
  </si>
  <si>
    <t>360018-武平县中堡中心学校</t>
  </si>
  <si>
    <t>2030603-人民防空</t>
  </si>
  <si>
    <t>360019-武平县十方中心学校</t>
  </si>
  <si>
    <t>2030604-交通战备</t>
  </si>
  <si>
    <t>360020-福建省武平县十方中学</t>
  </si>
  <si>
    <t>2030607-民兵</t>
  </si>
  <si>
    <t>360021-武平县教师进修学校附属学校</t>
  </si>
  <si>
    <t>2030608-边海防</t>
  </si>
  <si>
    <t>360022-武平县实验中学崇文校区</t>
  </si>
  <si>
    <t>2030699-其他国防动员支出</t>
  </si>
  <si>
    <t>360023-武平县东留中心学校</t>
  </si>
  <si>
    <t>2039999-其他国防支出</t>
  </si>
  <si>
    <t>360024-武平县东留初级中学</t>
  </si>
  <si>
    <t>2040101-武装警察部队</t>
  </si>
  <si>
    <t>360025-福建省武平县武东中学</t>
  </si>
  <si>
    <t>2040199-其他武装警察部队支出</t>
  </si>
  <si>
    <t>360026-武平县武东中心学校</t>
  </si>
  <si>
    <t>2040201-行政运行</t>
  </si>
  <si>
    <t>360027-武平县教师进修学校第二附属小学</t>
  </si>
  <si>
    <t>2040202-一般行政管理事务</t>
  </si>
  <si>
    <t>360028-武平县第二实验小学</t>
  </si>
  <si>
    <t>2040203-机关服务</t>
  </si>
  <si>
    <t>360029-福建省武平县万安中学</t>
  </si>
  <si>
    <t>2040219-信息化建设</t>
  </si>
  <si>
    <t>360030-武平县万安中心学校</t>
  </si>
  <si>
    <t>2040220-执法办案</t>
  </si>
  <si>
    <t>360031-福建省武平县桃溪中学</t>
  </si>
  <si>
    <t>2040221-特别业务</t>
  </si>
  <si>
    <t>360032-武平县桃溪中心学校</t>
  </si>
  <si>
    <t>2040222-特勤业务</t>
  </si>
  <si>
    <t>360033-武平县实验幼儿园</t>
  </si>
  <si>
    <t>2040223-移民事务</t>
  </si>
  <si>
    <t>360034-武平县第三中学</t>
  </si>
  <si>
    <t>2040250-事业运行</t>
  </si>
  <si>
    <t>360035-武平县湘店中心学校</t>
  </si>
  <si>
    <t>2040299-其他公安支出</t>
  </si>
  <si>
    <t>360036-武平县永平中心学校</t>
  </si>
  <si>
    <t>2040301-行政运行</t>
  </si>
  <si>
    <t>360037-福建省武平县帽村初级中学</t>
  </si>
  <si>
    <t>2040302-一般行政管理事务</t>
  </si>
  <si>
    <t>360038-武平县中山中学</t>
  </si>
  <si>
    <t>2040303-机关服务</t>
  </si>
  <si>
    <t>360039-武平县中山中心学校</t>
  </si>
  <si>
    <t>2040304-安全业务</t>
  </si>
  <si>
    <t>360040-武平县象洞初级中学</t>
  </si>
  <si>
    <t>2040350-事业运行</t>
  </si>
  <si>
    <t>360041-武平县象洞中心学校</t>
  </si>
  <si>
    <t>2040399-其他国家安全支出</t>
  </si>
  <si>
    <t>360042-福建省武平县岩前中学</t>
  </si>
  <si>
    <t>2040401-行政运行</t>
  </si>
  <si>
    <t>360043-武平县岩前中心学校</t>
  </si>
  <si>
    <t>2040402-一般行政管理事务</t>
  </si>
  <si>
    <t>360045-武平县中小学生社会实践基地学校</t>
  </si>
  <si>
    <t>2040403-机关服务</t>
  </si>
  <si>
    <t>360046-武平县实验中学</t>
  </si>
  <si>
    <t>2040409-“两房”建设</t>
  </si>
  <si>
    <t>360047-武平县第二实验幼儿园</t>
  </si>
  <si>
    <t>2040410-检察监督</t>
  </si>
  <si>
    <t>360048-武平县平川幼儿园</t>
  </si>
  <si>
    <t>2040450-事业运行</t>
  </si>
  <si>
    <t>360049-武平县刘亚楼红军小学</t>
  </si>
  <si>
    <t>2040499-其他检察支出</t>
  </si>
  <si>
    <t>360050-武平县文山幼儿园</t>
  </si>
  <si>
    <t>2040501-行政运行</t>
  </si>
  <si>
    <t>360051-武平县鼓楼幼儿园</t>
  </si>
  <si>
    <t>2040502-一般行政管理事务</t>
  </si>
  <si>
    <t>360053-武平县第三实验小学</t>
  </si>
  <si>
    <t>2040503-机关服务</t>
  </si>
  <si>
    <t>360054-武平县实验小学鼓楼校区</t>
  </si>
  <si>
    <t>2040504-案件审判</t>
  </si>
  <si>
    <t>360055-武平县碧水幼儿园</t>
  </si>
  <si>
    <t>2040505-案件执行</t>
  </si>
  <si>
    <t>360056-武平县梁野幼儿园</t>
  </si>
  <si>
    <t>2040506-“两庭”建设</t>
  </si>
  <si>
    <t>360057-武平县高新区幼儿园</t>
  </si>
  <si>
    <t>2040550-事业运行</t>
  </si>
  <si>
    <t>360058-武平县教师进修学校附属小学集文校区</t>
  </si>
  <si>
    <t>2040599-其他法院支出</t>
  </si>
  <si>
    <t>360059-武平县蓝天幼儿园</t>
  </si>
  <si>
    <t>2040601-行政运行</t>
  </si>
  <si>
    <t>360060-武平县启文幼儿园</t>
  </si>
  <si>
    <t>2040602-一般行政管理事务</t>
  </si>
  <si>
    <t>360101-武平县电化教育中心</t>
  </si>
  <si>
    <t>2040603-机关服务</t>
  </si>
  <si>
    <t>360102-武平县招生考试中心</t>
  </si>
  <si>
    <t>2040604-基层司法业务</t>
  </si>
  <si>
    <t>2040605-普法宣传</t>
  </si>
  <si>
    <t>361002-武平县基层卫技人员服务中心</t>
  </si>
  <si>
    <t>2040606-律师管理</t>
  </si>
  <si>
    <t>2040607-公共法律服务</t>
  </si>
  <si>
    <t>361004-武平县流动人口计划生育管理站</t>
  </si>
  <si>
    <t>2040608-国家统一法律职业资格考试</t>
  </si>
  <si>
    <t>361005-武平县突发公共卫生事件应急服务中心</t>
  </si>
  <si>
    <t>2040610-社区矫正</t>
  </si>
  <si>
    <t>361006-武平县爱国卫生服务中心</t>
  </si>
  <si>
    <t>2040612-法治建设</t>
  </si>
  <si>
    <t>361025-武平县卫生进修学校</t>
  </si>
  <si>
    <t>2040613-信息化建设</t>
  </si>
  <si>
    <t>361028-武平县卫生健康监督所</t>
  </si>
  <si>
    <t>2040650-事业运行</t>
  </si>
  <si>
    <t>2040699-其他司法支出</t>
  </si>
  <si>
    <t>2040701-行政运行</t>
  </si>
  <si>
    <t>2040702-一般行政管理事务</t>
  </si>
  <si>
    <t>2040703-机关服务</t>
  </si>
  <si>
    <t>2040704-罪犯生活及医疗卫生</t>
  </si>
  <si>
    <t>2040705-监狱业务及罪犯改造</t>
  </si>
  <si>
    <t>2040706-狱政设施建设</t>
  </si>
  <si>
    <t>2040707-信息化建设</t>
  </si>
  <si>
    <t>2040750-事业运行</t>
  </si>
  <si>
    <t>2040799-其他监狱支出</t>
  </si>
  <si>
    <t>2040801-行政运行</t>
  </si>
  <si>
    <t>2040802-一般行政管理事务</t>
  </si>
  <si>
    <t>2040803-机关服务</t>
  </si>
  <si>
    <t>2040804-强制隔离戒毒人员生活</t>
  </si>
  <si>
    <t>2040805-强制隔离戒毒人员教育</t>
  </si>
  <si>
    <t>2040806-所政设施建设</t>
  </si>
  <si>
    <t>2040807-信息化建设</t>
  </si>
  <si>
    <t>2040850-事业运行</t>
  </si>
  <si>
    <t>2040899-其他强制隔离戒毒支出</t>
  </si>
  <si>
    <t>2040901-行政运行</t>
  </si>
  <si>
    <t>2040902-一般行政管理事务</t>
  </si>
  <si>
    <t>363001-武平县计划生育协会</t>
  </si>
  <si>
    <t>2040903-机关服务</t>
  </si>
  <si>
    <t>2040904-保密技术</t>
  </si>
  <si>
    <t>410001-武平县统计局</t>
  </si>
  <si>
    <t>2040905-保密管理</t>
  </si>
  <si>
    <t>410002-武平县城市社会经济调查队</t>
  </si>
  <si>
    <t>2040950-事业运行</t>
  </si>
  <si>
    <t>410003-武平县农村社会经济调查队</t>
  </si>
  <si>
    <t>2040999-其他国家保密支出</t>
  </si>
  <si>
    <t>410004-武平县统计局普查中心</t>
  </si>
  <si>
    <t>2041001-行政运行</t>
  </si>
  <si>
    <t>410005-武平县统计服务中心</t>
  </si>
  <si>
    <t>2041002-一般行政管理事务</t>
  </si>
  <si>
    <t>416001-福建省武平县气象局</t>
  </si>
  <si>
    <t>2041006-信息化建设</t>
  </si>
  <si>
    <t>2041007-缉私业务</t>
  </si>
  <si>
    <t>424002-武平县不锈钢技术研发中心</t>
  </si>
  <si>
    <t>2041099-其他缉私警察支出</t>
  </si>
  <si>
    <t>424003-武平县知识产权信息服务中心</t>
  </si>
  <si>
    <t>424004-武平县质量计量检验检测中心</t>
  </si>
  <si>
    <t>434001-武平县人民政府办公室</t>
  </si>
  <si>
    <t>2050101-行政运行</t>
  </si>
  <si>
    <t>2050102-一般行政管理事务</t>
  </si>
  <si>
    <t>434003-武平县政府总值班室</t>
  </si>
  <si>
    <t>2050103-机关服务</t>
  </si>
  <si>
    <t>434004-武平县大数据服务中心</t>
  </si>
  <si>
    <t>434005-武平县效能建设服务中心</t>
  </si>
  <si>
    <t>2050201-学前教育</t>
  </si>
  <si>
    <t>434006-武平县发展研究中心</t>
  </si>
  <si>
    <t>2050202-小学教育</t>
  </si>
  <si>
    <t>435001-武平县行政服务中心管理委员会</t>
  </si>
  <si>
    <t>2050203-初中教育</t>
  </si>
  <si>
    <t>435002-武平县行政服务保障中心</t>
  </si>
  <si>
    <t>435003-武平县12345便民热线服务中心</t>
  </si>
  <si>
    <t>2050205-高等教育</t>
  </si>
  <si>
    <t>436-福建武平工业园区管理委员会</t>
  </si>
  <si>
    <t>2050301-初等职业教育</t>
  </si>
  <si>
    <t>436002-武平工业园区规划发展中心</t>
  </si>
  <si>
    <t>2050302-中等职业教育</t>
  </si>
  <si>
    <t>436003-武平工业园区安全生产和环境保护站</t>
  </si>
  <si>
    <t>2050303-技校教育</t>
  </si>
  <si>
    <t>2050305-高等职业教育</t>
  </si>
  <si>
    <t>437002-武平高新技术产业园区发展服务中心</t>
  </si>
  <si>
    <t>2050399-其他职业教育支出</t>
  </si>
  <si>
    <t>437003-武平高新技术产业园区安全生产和环境保护站</t>
  </si>
  <si>
    <t>2050401-成人初等教育</t>
  </si>
  <si>
    <t>2050402-成人中等教育</t>
  </si>
  <si>
    <t>472002-武平县招商服务中心</t>
  </si>
  <si>
    <t>2050403-成人高等教育</t>
  </si>
  <si>
    <t>472003-武平县商务行政执法大队</t>
  </si>
  <si>
    <t>2050404-成人广播电视教育</t>
  </si>
  <si>
    <t>472004-武平县农村电子商务服务中心</t>
  </si>
  <si>
    <t>2050499-其他成人教育支出</t>
  </si>
  <si>
    <t>711001-武平县总工会</t>
  </si>
  <si>
    <t>2050501-广播电视学校</t>
  </si>
  <si>
    <t>711002-武平县职工服务中心</t>
  </si>
  <si>
    <t>2050502-教育电视台</t>
  </si>
  <si>
    <t>712001-中国共产主义青年团武平县委员会</t>
  </si>
  <si>
    <t>2050599-其他广播电视教育支出</t>
  </si>
  <si>
    <t>712002-武平县青少年宫</t>
  </si>
  <si>
    <t>2050601-出国留学教育</t>
  </si>
  <si>
    <t>713001-武平县妇女联合会</t>
  </si>
  <si>
    <t>2050602-来华留学教育</t>
  </si>
  <si>
    <t>713002-武平县妇女儿童活动中心</t>
  </si>
  <si>
    <t>2050699-其他留学教育支出</t>
  </si>
  <si>
    <t>714001-武平县工商业联合会</t>
  </si>
  <si>
    <t>2050701-特殊学校教育</t>
  </si>
  <si>
    <t>714002-武平县国际贸易促进服务中心</t>
  </si>
  <si>
    <t>2050702-工读学校教育</t>
  </si>
  <si>
    <t>717001-武平县关心下一代工作委员会</t>
  </si>
  <si>
    <t>2050799-其他特殊教育支出</t>
  </si>
  <si>
    <t>721001-武平县文学艺术界联合会</t>
  </si>
  <si>
    <t>2050801-教师进修</t>
  </si>
  <si>
    <t>721002-武平县刘亚楼文学院</t>
  </si>
  <si>
    <t>2050802-干部教育</t>
  </si>
  <si>
    <t>731001-福建省武平县科学技术协会</t>
  </si>
  <si>
    <t>2050803-培训支出</t>
  </si>
  <si>
    <t>731002-武平县科技馆</t>
  </si>
  <si>
    <t>2050804-退役士兵能力提升</t>
  </si>
  <si>
    <t>2050899-其他进修及培训</t>
  </si>
  <si>
    <t>762002-福建省武平县残疾人就业指导中心</t>
  </si>
  <si>
    <t>2050901-农村中小学校舍建设</t>
  </si>
  <si>
    <t>771001-武平县归国华侨联合会</t>
  </si>
  <si>
    <t>2050902-农村中小学教学设施</t>
  </si>
  <si>
    <t>771002-武平县侨联服务中心</t>
  </si>
  <si>
    <t>2050903-城市中小学校舍建设</t>
  </si>
  <si>
    <t>802001-中国人民武装警察部队龙岩市支队第三大队武平县中队</t>
  </si>
  <si>
    <t>2050904-城市中小学教学设施</t>
  </si>
  <si>
    <t>807001-武平县消防救援大队</t>
  </si>
  <si>
    <t>2050905-中等职业学校教学设施</t>
  </si>
  <si>
    <t>813001-中国人民解放军福建省武平县人民武装部</t>
  </si>
  <si>
    <t>901001-武平县财政局（产权基金专户）</t>
  </si>
  <si>
    <t>2060101-行政运行</t>
  </si>
  <si>
    <t>901003-武平县财政局（财政周转金专户）</t>
  </si>
  <si>
    <t>2060102-一般行政管理事务</t>
  </si>
  <si>
    <t>901004-武平县财政局（社保基金专户）</t>
  </si>
  <si>
    <t>2060103-机关服务</t>
  </si>
  <si>
    <t>901005-武平县财政局（代管预算单位资金）</t>
  </si>
  <si>
    <t>2060199-其他科学技术管理事务支出</t>
  </si>
  <si>
    <t>901006-武平县财政局（中央专项转移支付特设专户（义务教育））</t>
  </si>
  <si>
    <t>2060201-机构运行</t>
  </si>
  <si>
    <t>901007-武平县财政局（世行贷款专户）</t>
  </si>
  <si>
    <t>2060203-自然科学基金</t>
  </si>
  <si>
    <t>901008-武平县财政局（非税收入专户）</t>
  </si>
  <si>
    <t>2060204-实验室及相关设施</t>
  </si>
  <si>
    <t>901009-武平县财政局（土地收储资金专户）</t>
  </si>
  <si>
    <t>2060205-重大科学工程</t>
  </si>
  <si>
    <t>901998-武平县财政局（财力核销）</t>
  </si>
  <si>
    <t>2060206-专项基础科研</t>
  </si>
  <si>
    <t>901999-年终决算冲账</t>
  </si>
  <si>
    <t>2060207-专项技术基础</t>
  </si>
  <si>
    <t>2060208-科技人才队伍建设</t>
  </si>
  <si>
    <t>2060299-其他基础研究支出</t>
  </si>
  <si>
    <t>902003-武平县天宏市场建设营运有限责任公司</t>
  </si>
  <si>
    <t>2060301-机构运行</t>
  </si>
  <si>
    <t>902004-武平县天兴物资有限公司</t>
  </si>
  <si>
    <t>2060302-社会公益研究</t>
  </si>
  <si>
    <t>902005-武平县粮食收储有限责任公司</t>
  </si>
  <si>
    <t>2060303-高技术研究</t>
  </si>
  <si>
    <t>902006-武平县天粮粮食储备直属库有限公司</t>
  </si>
  <si>
    <t>2060304-专项科研试制</t>
  </si>
  <si>
    <t>902007-武平县天睿商务服务有限公司</t>
  </si>
  <si>
    <t>2060399-其他应用研究支出</t>
  </si>
  <si>
    <t>2060401-机构运行</t>
  </si>
  <si>
    <t>902009-武平县天信信用融资担保有限公司</t>
  </si>
  <si>
    <t>2060404-科技成果转化与扩散</t>
  </si>
  <si>
    <t>2060405-共性技术研究与开发</t>
  </si>
  <si>
    <t>2060499-其他技术研究与开发支出</t>
  </si>
  <si>
    <t>902013-福建梁野山农业开发有限公司</t>
  </si>
  <si>
    <t>2060501-机构运行</t>
  </si>
  <si>
    <t>2060502-技术创新服务体系</t>
  </si>
  <si>
    <t>902015-武平十方工业集中区投资发展有限公司</t>
  </si>
  <si>
    <t>2060503-科技条件专项</t>
  </si>
  <si>
    <t>2060599-其他科技条件与服务支出</t>
  </si>
  <si>
    <t>2060601-社会科学研究机构</t>
  </si>
  <si>
    <t>2060602-社会科学研究</t>
  </si>
  <si>
    <t>902104-武平县天和安居服务有限公司</t>
  </si>
  <si>
    <t>2060603-社科基金支出</t>
  </si>
  <si>
    <t>902105-武平县天泉水环境有限公司</t>
  </si>
  <si>
    <t>2060699-其他社会科学支出</t>
  </si>
  <si>
    <t>2060701-机构运行</t>
  </si>
  <si>
    <t>902107-武平县天康村镇建设有限公司</t>
  </si>
  <si>
    <t>2060702-科普活动</t>
  </si>
  <si>
    <t>2060703-青少年科技活动</t>
  </si>
  <si>
    <t>2060704-学术交流活动</t>
  </si>
  <si>
    <t>902110-武平县天富扶贫开发投资有限公司</t>
  </si>
  <si>
    <t>2060705-科技馆站</t>
  </si>
  <si>
    <t>902201-武平县天盛矿业投资集团有限公司</t>
  </si>
  <si>
    <t>2060799-其他科学技术普及支出</t>
  </si>
  <si>
    <t>902301-武平县天源林业有限公司</t>
  </si>
  <si>
    <t>2060801-国际交流与合作</t>
  </si>
  <si>
    <t>903001-中国人民银行武平县支行</t>
  </si>
  <si>
    <t>2060802-重大科技合作项目</t>
  </si>
  <si>
    <t>903002-中国银行保险监督管理委员会龙岩监管分局武平监管组</t>
  </si>
  <si>
    <t>2060899-其他科技交流与合作支出</t>
  </si>
  <si>
    <t>903003-国家税务总局武平县税务局</t>
  </si>
  <si>
    <t>2060901-科技重大专项</t>
  </si>
  <si>
    <t>903004-龙岩市公路局武平分局</t>
  </si>
  <si>
    <t>2060902-重点研发计划</t>
  </si>
  <si>
    <t>2060999-其他科技重大项目</t>
  </si>
  <si>
    <t>903006-武平华润矿业有限公司</t>
  </si>
  <si>
    <t>2061001-乏燃料运输</t>
  </si>
  <si>
    <t>903007-武平县云礤水库工程建设项目部</t>
  </si>
  <si>
    <t>2061002-乏燃料离堆贮存</t>
  </si>
  <si>
    <t>2061003-乏燃料后处理</t>
  </si>
  <si>
    <t>911002-武平县平川街道财政所</t>
  </si>
  <si>
    <t>2061004-高放废物的处理处置</t>
  </si>
  <si>
    <t>911003-武平县平川街道综合便民服务中心</t>
  </si>
  <si>
    <t>2061005-乏燃料后处理厂的建设、运行、改造和退役</t>
  </si>
  <si>
    <t>911004-武平县平川街道综合执法协调中心</t>
  </si>
  <si>
    <t>2061099-其他乏燃料处理处置基金支出</t>
  </si>
  <si>
    <t>911005-武平县平川街道社区建设发展中心</t>
  </si>
  <si>
    <t>2069901-科技奖励</t>
  </si>
  <si>
    <t>2069902-核应急</t>
  </si>
  <si>
    <t>912002-武平县城厢镇财政所</t>
  </si>
  <si>
    <t>2069903-转制科研机构</t>
  </si>
  <si>
    <t>912003-武平县城厢镇综合便民服务中心</t>
  </si>
  <si>
    <t>912004-武平县城厢镇综合执法队</t>
  </si>
  <si>
    <t>2070101-行政运行</t>
  </si>
  <si>
    <t>912005-武平县城厢镇乡村振兴服务中心</t>
  </si>
  <si>
    <t>2070102-一般行政管理事务</t>
  </si>
  <si>
    <t>2070103-机关服务</t>
  </si>
  <si>
    <t>913002-武平县万安镇财政所</t>
  </si>
  <si>
    <t>2070104-图书馆</t>
  </si>
  <si>
    <t>913003-武平县万安镇综合便民服务中心</t>
  </si>
  <si>
    <t>2070105-文化展示及纪念机构</t>
  </si>
  <si>
    <t>913004-武平县万安镇综合执法队</t>
  </si>
  <si>
    <t>2070106-艺术表演场所</t>
  </si>
  <si>
    <t>913005-武平县万安镇乡村振兴服务中心</t>
  </si>
  <si>
    <t>2070107-艺术表演团体</t>
  </si>
  <si>
    <t>2070108-文化活动</t>
  </si>
  <si>
    <t>914002-武平县东留镇财政所</t>
  </si>
  <si>
    <t>2070109-群众文化</t>
  </si>
  <si>
    <t>914003-武平县东留镇综合便民服务中心</t>
  </si>
  <si>
    <t>2070110-文化和旅游交流与合作</t>
  </si>
  <si>
    <t>914004-武平县东留镇综合执法队</t>
  </si>
  <si>
    <t>2070111-文化创作与保护</t>
  </si>
  <si>
    <t>914005-武平县东留镇乡村振兴服务中心</t>
  </si>
  <si>
    <t>2070112-文化和旅游市场管理</t>
  </si>
  <si>
    <t>2070113-旅游宣传</t>
  </si>
  <si>
    <t>915002-武平县中山镇财政所</t>
  </si>
  <si>
    <t>2070114-文化和旅游管理事务</t>
  </si>
  <si>
    <t>915003-武平县中山镇综合便民服务中心</t>
  </si>
  <si>
    <t>915004-武平县中山镇综合执法队</t>
  </si>
  <si>
    <t>2070201-行政运行</t>
  </si>
  <si>
    <t>915005-武平县中山镇乡村振兴服务中心</t>
  </si>
  <si>
    <t>2070202-一般行政管理事务</t>
  </si>
  <si>
    <t>2070203-机关服务</t>
  </si>
  <si>
    <t>916002-武平县民主乡财政所</t>
  </si>
  <si>
    <t>2070204-文物保护</t>
  </si>
  <si>
    <t>916003-武平县民主乡综合便民服务中心</t>
  </si>
  <si>
    <t>2070205-博物馆</t>
  </si>
  <si>
    <t>916004-武平县民主乡综合执法队</t>
  </si>
  <si>
    <t>2070206-历史名城与古迹</t>
  </si>
  <si>
    <t>916005-武平县民主乡乡村振兴服务中心</t>
  </si>
  <si>
    <t>2070299-其他文物支出</t>
  </si>
  <si>
    <t>2070301-行政运行</t>
  </si>
  <si>
    <t>917002-武平县下坝乡财政所</t>
  </si>
  <si>
    <t>2070302-一般行政管理事务</t>
  </si>
  <si>
    <t>917003-武平县下坝乡综合便民服务中心</t>
  </si>
  <si>
    <t>2070303-机关服务</t>
  </si>
  <si>
    <t>917004-武平县下坝乡综合执法队</t>
  </si>
  <si>
    <t>2070304-运动项目管理</t>
  </si>
  <si>
    <t>917005-武平县下坝乡乡村振兴服务中心</t>
  </si>
  <si>
    <t>2070305-体育竞赛</t>
  </si>
  <si>
    <t>2070306-体育训练</t>
  </si>
  <si>
    <t>918002-武平县中赤镇财政所</t>
  </si>
  <si>
    <t>2070307-体育场馆</t>
  </si>
  <si>
    <t>918003-武平县中赤镇综合便民服务中心</t>
  </si>
  <si>
    <t>2070308-群众体育</t>
  </si>
  <si>
    <t>918004-武平县中赤镇综合执法队</t>
  </si>
  <si>
    <t>2070309-体育交流与合作</t>
  </si>
  <si>
    <t>918005-武平县中赤镇乡村振兴服务中心</t>
  </si>
  <si>
    <t>2070601-行政运行</t>
  </si>
  <si>
    <t>919002-武平县岩前镇财政所</t>
  </si>
  <si>
    <t>2070602-一般行政管理事务</t>
  </si>
  <si>
    <t>919003-武平县岩前镇综合便民服务中心</t>
  </si>
  <si>
    <t>2070603-机关服务</t>
  </si>
  <si>
    <t>919004-武平县岩前镇综合执法队</t>
  </si>
  <si>
    <t>2070604-新闻通讯</t>
  </si>
  <si>
    <t>919005-武平县岩前镇乡村振兴服务中心</t>
  </si>
  <si>
    <t>2070605-出版发行</t>
  </si>
  <si>
    <t>2070606-版权管理</t>
  </si>
  <si>
    <t>920002-武平县象洞镇财政所</t>
  </si>
  <si>
    <t>2070607-电影</t>
  </si>
  <si>
    <t>920003-武平县象洞镇综合便民服务中心</t>
  </si>
  <si>
    <t>2070699-其他新闻出版电影支出</t>
  </si>
  <si>
    <t>920004-武平县象洞镇综合执法队</t>
  </si>
  <si>
    <t>2070701-资助国产影片放映</t>
  </si>
  <si>
    <t>920005-武平县象洞镇乡村振兴服务中心</t>
  </si>
  <si>
    <t>2070702-资助影院建设</t>
  </si>
  <si>
    <t>2070703-资助少数民族语电影译制</t>
  </si>
  <si>
    <t>921002-武平县十方镇财政所</t>
  </si>
  <si>
    <t>2070704-购买农村电影公益性放映版权服务</t>
  </si>
  <si>
    <t>921003-武平县十方镇综合便民服务中心</t>
  </si>
  <si>
    <t>2070799-其他国家电影事业发展专项资金支出</t>
  </si>
  <si>
    <t>921004-武平县十方镇综合执法队</t>
  </si>
  <si>
    <t>2070801-行政运行</t>
  </si>
  <si>
    <t>921005-武平县十方镇乡村振兴服务中心</t>
  </si>
  <si>
    <t>2070802-一般行政管理事务</t>
  </si>
  <si>
    <t>2070803-机关服务</t>
  </si>
  <si>
    <t>922002-武平县武东镇财政所</t>
  </si>
  <si>
    <t>2070806-监测监管</t>
  </si>
  <si>
    <t>922003-武平县武东镇综合便民服务中心</t>
  </si>
  <si>
    <t>2070807-传输发射</t>
  </si>
  <si>
    <t>922004-武平县武东镇综合执法队</t>
  </si>
  <si>
    <t>2070808-广播电视事务</t>
  </si>
  <si>
    <t>922005-武平县武东镇乡村振兴服务中心</t>
  </si>
  <si>
    <t>2070899-其他广播电视支出</t>
  </si>
  <si>
    <t>2070901-宣传促销</t>
  </si>
  <si>
    <t>923002-武平县中堡镇财政所</t>
  </si>
  <si>
    <t>2070902-行业规划</t>
  </si>
  <si>
    <t>923003-武平县中堡镇综合便民服务中心</t>
  </si>
  <si>
    <t>2070903-旅游事业补助</t>
  </si>
  <si>
    <t>923004-武平县中堡镇综合执法队</t>
  </si>
  <si>
    <t>2070904-地方旅游开发项目补助</t>
  </si>
  <si>
    <t>923005-武平县中堡镇乡村振兴服务中心</t>
  </si>
  <si>
    <t>2070999-其他旅游发展基金支出</t>
  </si>
  <si>
    <t>2071001-资助城市影院</t>
  </si>
  <si>
    <t>924002-武平县永平镇财政所</t>
  </si>
  <si>
    <t>2071099-其他国家电影事业发展专项资金对应专项债务收入支出</t>
  </si>
  <si>
    <t>924003-武平县永平镇综合便民服务中心</t>
  </si>
  <si>
    <t>2079902-宣传文化发展专项支出</t>
  </si>
  <si>
    <t>924004-武平县永平镇综合执法队</t>
  </si>
  <si>
    <t>2079903-文化产业发展专项支出</t>
  </si>
  <si>
    <t>924005-武平县永平镇乡村振兴服务中心</t>
  </si>
  <si>
    <t>2079999-其他文化旅游体育与传媒支出</t>
  </si>
  <si>
    <t>2080101-行政运行</t>
  </si>
  <si>
    <t>925002-武平县桃溪镇财政所</t>
  </si>
  <si>
    <t>2080102-一般行政管理事务</t>
  </si>
  <si>
    <t>925003-武平县桃溪镇综合便民服务中心</t>
  </si>
  <si>
    <t>2080103-机关服务</t>
  </si>
  <si>
    <t>925004-武平县桃溪镇综合执法队</t>
  </si>
  <si>
    <t>2080104-综合业务管理</t>
  </si>
  <si>
    <t>925005-武平县桃溪镇乡村振兴服务中心</t>
  </si>
  <si>
    <t>2080105-劳动保障监察</t>
  </si>
  <si>
    <t>2080106-就业管理事务</t>
  </si>
  <si>
    <t>926002-武平县大禾镇财政所</t>
  </si>
  <si>
    <t>2080107-社会保险业务管理事务</t>
  </si>
  <si>
    <t>926003-武平县大禾镇综合便民服务中心</t>
  </si>
  <si>
    <t>2080108-信息化建设</t>
  </si>
  <si>
    <t>926004-武平县大禾镇综合执法队</t>
  </si>
  <si>
    <t>2080109-社会保险经办机构</t>
  </si>
  <si>
    <t>926005-武平县大禾镇乡村振兴服务中心</t>
  </si>
  <si>
    <t>2080110-劳动关系和维权</t>
  </si>
  <si>
    <t>2080111-公共就业服务和职业技能鉴定机构</t>
  </si>
  <si>
    <t>927002-武平县湘店镇财政所</t>
  </si>
  <si>
    <t>2080112-劳动人事争议调解仲裁</t>
  </si>
  <si>
    <t>927003-武平县湘店镇综合便民服务中心</t>
  </si>
  <si>
    <t>2080113-政府特殊津贴</t>
  </si>
  <si>
    <t>927004-武平县湘店镇综合执法队</t>
  </si>
  <si>
    <t>2080114-资助留学回国人员</t>
  </si>
  <si>
    <t>927005-武平县湘店镇乡村振兴服务中心</t>
  </si>
  <si>
    <t>2080115-博士后日常经费</t>
  </si>
  <si>
    <t>2080116-引进人才费用</t>
  </si>
  <si>
    <t>975002-武平县农民合作社发展服务中心</t>
  </si>
  <si>
    <t>2080150-事业运行</t>
  </si>
  <si>
    <t>975003-武平县农资公司</t>
  </si>
  <si>
    <t>2080199-其他人力资源和社会保障管理事务支出</t>
  </si>
  <si>
    <t>975004-武平县城关供销合作社</t>
  </si>
  <si>
    <t>2080201-行政运行</t>
  </si>
  <si>
    <t>975005-武平县东留供销合作社</t>
  </si>
  <si>
    <t>2080202-一般行政管理事务</t>
  </si>
  <si>
    <t>975006-武平县中山供销合作社</t>
  </si>
  <si>
    <t>2080203-机关服务</t>
  </si>
  <si>
    <t>975007-武平县岩前供销合作社</t>
  </si>
  <si>
    <t>975008-武平县象洞供销合作社</t>
  </si>
  <si>
    <t>2080207-行政区划和地名管理</t>
  </si>
  <si>
    <t>975009-武平县十方供销合作社</t>
  </si>
  <si>
    <t>2080208-基层政权建设和社区治理</t>
  </si>
  <si>
    <t>975010-武平县武东供销合作社</t>
  </si>
  <si>
    <t>2080299-其他民政管理事务支出</t>
  </si>
  <si>
    <t>975011-武平县中堡供销合作社</t>
  </si>
  <si>
    <t>2080402-用一般公共预算补充基金</t>
  </si>
  <si>
    <t>975012-武平县桃溪供销合作社</t>
  </si>
  <si>
    <t>2080451-国有资本经营预算补充社保基金支出</t>
  </si>
  <si>
    <t>975013-武平县大禾供销合作社</t>
  </si>
  <si>
    <t>2080501-行政单位离退休</t>
  </si>
  <si>
    <t>975014-武平县新叶烟农专业合作社</t>
  </si>
  <si>
    <t>2080502-事业单位离退休</t>
  </si>
  <si>
    <t>975015-武平县喜叶烟农专业合作社</t>
  </si>
  <si>
    <t>2080503-离退休人员管理机构</t>
  </si>
  <si>
    <t>975016-武平县惠民烟农专业合作社</t>
  </si>
  <si>
    <t>2080505-机关事业单位基本养老保险缴费支出</t>
  </si>
  <si>
    <t>975017-武平县京家古镇烟农专业合作社</t>
  </si>
  <si>
    <t>2080506-机关事业单位职业年金缴费支出</t>
  </si>
  <si>
    <t>975018-武平县勤健烟农专业合作社</t>
  </si>
  <si>
    <t>2080507-对机关事业单位基本养老保险基金的补助</t>
  </si>
  <si>
    <t>975019-武平县通喜烟农专业合作社</t>
  </si>
  <si>
    <t>2080508-对机关事业单位职业年金的补助</t>
  </si>
  <si>
    <t>975020-武平县桃澜春烟农专业合作社</t>
  </si>
  <si>
    <t>2080599-其他行政事业单位养老支出</t>
  </si>
  <si>
    <t>975021-武平县众鑫烟农专业合作社</t>
  </si>
  <si>
    <t>2080601-企业关闭破产补助</t>
  </si>
  <si>
    <t>975022-武平县梁野烟农专业合作社</t>
  </si>
  <si>
    <t>2080602-厂办大集体改革补助</t>
  </si>
  <si>
    <t>975023-武平县桔叶烟农专业合作社</t>
  </si>
  <si>
    <t>2080699-其他企业改革发展补助</t>
  </si>
  <si>
    <t>975024-武平县云礤森林人家休闲农业专业合作社</t>
  </si>
  <si>
    <t>2080701-就业创业服务补贴</t>
  </si>
  <si>
    <t>975025-武平县梁野山蔬菜专业合作社</t>
  </si>
  <si>
    <t>2080702-职业培训补贴</t>
  </si>
  <si>
    <t>975026-武平县思田水稻种植专业合作社</t>
  </si>
  <si>
    <t>2080704-社会保险补贴</t>
  </si>
  <si>
    <t>975027-武平县立强灵芝种植专业合作社</t>
  </si>
  <si>
    <t>2080705-公益性岗位补贴</t>
  </si>
  <si>
    <t>975028-武平县宇园笋业专业合作社</t>
  </si>
  <si>
    <t>2080709-职业技能鉴定补贴</t>
  </si>
  <si>
    <t>975029-武平县优农果蔬产销专业合作社</t>
  </si>
  <si>
    <t>2080711-就业见习补贴</t>
  </si>
  <si>
    <t>975030-武平县百姓金豆产销专业合作社</t>
  </si>
  <si>
    <t>2080712-高技能人才培养补助</t>
  </si>
  <si>
    <t>2080713-促进创业补贴</t>
  </si>
  <si>
    <t>2080801-死亡抚恤</t>
  </si>
  <si>
    <t>2080802-伤残抚恤</t>
  </si>
  <si>
    <t>2080803-在乡复员、退伍军人生活补助</t>
  </si>
  <si>
    <t>2080805-义务兵优待</t>
  </si>
  <si>
    <t>2080806-农村籍退役士兵老年生活补助</t>
  </si>
  <si>
    <t>2080807-光荣院</t>
  </si>
  <si>
    <t>2080808-烈士纪念设施管理维护</t>
  </si>
  <si>
    <t>2080901-退役士兵安置</t>
  </si>
  <si>
    <t>2080902-军队移交政府的离退休人员安置</t>
  </si>
  <si>
    <t>2080903-军队移交政府离退休干部管理机构</t>
  </si>
  <si>
    <t>2080904-退役士兵管理教育</t>
  </si>
  <si>
    <t>2080905-军队转业干部安置</t>
  </si>
  <si>
    <t>2080999-其他退役安置支出</t>
  </si>
  <si>
    <t>2081001-儿童福利</t>
  </si>
  <si>
    <t>2081002-老年福利</t>
  </si>
  <si>
    <t>2081003-康复辅具</t>
  </si>
  <si>
    <t>2081005-社会福利事业单位</t>
  </si>
  <si>
    <t>2081101-行政运行</t>
  </si>
  <si>
    <t>2081102-一般行政管理事务</t>
  </si>
  <si>
    <t>2081103-机关服务</t>
  </si>
  <si>
    <t>2081104-残疾人康复</t>
  </si>
  <si>
    <t>2081105-残疾人就业</t>
  </si>
  <si>
    <t>2081106-残疾人体育</t>
  </si>
  <si>
    <t>2081601-行政运行</t>
  </si>
  <si>
    <t>2081602-一般行政管理事务</t>
  </si>
  <si>
    <t>2081603-机关服务</t>
  </si>
  <si>
    <t>2081901-城市最低生活保障金支出</t>
  </si>
  <si>
    <t>2081902-农村最低生活保障金支出</t>
  </si>
  <si>
    <t>2082001-临时救助支出</t>
  </si>
  <si>
    <t>2082002-流浪乞讨人员救助支出</t>
  </si>
  <si>
    <t>2082101-城市特困人员救助供养支出</t>
  </si>
  <si>
    <t>2082102-农村特困人员救助供养支出</t>
  </si>
  <si>
    <t>2082201-移民补助</t>
  </si>
  <si>
    <t>2082202-基础设施建设和经济发展</t>
  </si>
  <si>
    <t>2082299-其他大中型水库移民后期扶持基金支出</t>
  </si>
  <si>
    <t>2082301-移民补助</t>
  </si>
  <si>
    <t>2082302-基础设施建设和经济发展</t>
  </si>
  <si>
    <t>2082399-其他小型水库移民扶助基金支出</t>
  </si>
  <si>
    <t>2082401-交强险增值税补助基金支出</t>
  </si>
  <si>
    <t>2082402-交强险罚款收入补助基金支出</t>
  </si>
  <si>
    <t>2082501-其他城市生活救助</t>
  </si>
  <si>
    <t>2082502-其他农村生活救助</t>
  </si>
  <si>
    <t>2082601-财政对企业职工基本养老保险基金的补助</t>
  </si>
  <si>
    <t>2082699-财政对其他基本养老保险基金的补助</t>
  </si>
  <si>
    <t>2082701-财政对失业保险基金的补助</t>
  </si>
  <si>
    <t>2082702-财政对工伤保险基金的补助</t>
  </si>
  <si>
    <t>2082799-其他财政对社会保险基金的补助</t>
  </si>
  <si>
    <t>2082801-行政运行</t>
  </si>
  <si>
    <t>2082802-一般行政管理事务</t>
  </si>
  <si>
    <t>2082803-机关服务</t>
  </si>
  <si>
    <t>2082804-拥军优属</t>
  </si>
  <si>
    <t>2082805-军供保障</t>
  </si>
  <si>
    <t>2082850-事业运行</t>
  </si>
  <si>
    <t>2082901-基础设施建设和经济发展</t>
  </si>
  <si>
    <t>2082999-其他小型水库移民扶助基金对应专项债务收入安排的支出</t>
  </si>
  <si>
    <t>2083099-财政代缴其他社会保险费支出</t>
  </si>
  <si>
    <t>2090101-基本养老金</t>
  </si>
  <si>
    <t>2090102-医疗补助金</t>
  </si>
  <si>
    <t>2090103-丧葬抚恤补助</t>
  </si>
  <si>
    <t>2090199-其他企业职工基本养老保险基金支出</t>
  </si>
  <si>
    <t>2090201-失业保险金</t>
  </si>
  <si>
    <t>2090202-医疗保险费</t>
  </si>
  <si>
    <t>2090203-丧葬抚恤补助</t>
  </si>
  <si>
    <t>2090204-职业培训和职业介绍补贴</t>
  </si>
  <si>
    <t>2090205-技能提升补贴支出</t>
  </si>
  <si>
    <t>2090206-稳定岗位补贴支出</t>
  </si>
  <si>
    <t>2090210-其他费用支出</t>
  </si>
  <si>
    <t>2090299-其他失业保险基金支出</t>
  </si>
  <si>
    <t>2090301-职工基本医疗保险统筹基金</t>
  </si>
  <si>
    <t>2090302-职工基本医疗保险个人账户基金</t>
  </si>
  <si>
    <t>2090399-其他职工基本医疗保险基金支出</t>
  </si>
  <si>
    <t>2090401-工伤保险待遇</t>
  </si>
  <si>
    <t>2090402-劳动能力鉴定支出</t>
  </si>
  <si>
    <t>2090403-工伤预防费用支出</t>
  </si>
  <si>
    <t>2090404-职业伤害保障支出</t>
  </si>
  <si>
    <t>2090499-其他工伤保险基金支出</t>
  </si>
  <si>
    <t>2091001-基础养老金支出</t>
  </si>
  <si>
    <t>2091002-个人账户养老金支出</t>
  </si>
  <si>
    <t>2091003-丧葬抚恤补助支出</t>
  </si>
  <si>
    <t>2091099-其他城乡居民基本养老保险基金支出</t>
  </si>
  <si>
    <t>2091101-基本养老金支出</t>
  </si>
  <si>
    <t>2091102-丧葬抚恤补助支出</t>
  </si>
  <si>
    <t>2091199-其他机关事业单位基本养老保险基金支出</t>
  </si>
  <si>
    <t>2091201-城乡居民基本医疗保险基金医疗待遇支出</t>
  </si>
  <si>
    <t>2091202-城乡居民大病保险支出</t>
  </si>
  <si>
    <t>2091299-其他城乡居民基本医疗保险基金支出</t>
  </si>
  <si>
    <t>2099701-企业职工基本养老保险基金划转</t>
  </si>
  <si>
    <t>2099702-失业保险基金划转</t>
  </si>
  <si>
    <t>2099703-职工基本医疗保险基金划转</t>
  </si>
  <si>
    <t>2099704-工伤保险基金划转</t>
  </si>
  <si>
    <t>2099705-生育保险基金划转</t>
  </si>
  <si>
    <t>2099710-城乡居民基本养老保险基金划转</t>
  </si>
  <si>
    <t>2099711-机关事业单位基本养老保险费划转</t>
  </si>
  <si>
    <t>2099712-城乡居民基本医疗保险基金划转</t>
  </si>
  <si>
    <t>2099799-其他社会保险基金划转</t>
  </si>
  <si>
    <t>20998-社会保险费利息划转</t>
  </si>
  <si>
    <t>20999-其他社会保险基金支出</t>
  </si>
  <si>
    <t>2100101-行政运行</t>
  </si>
  <si>
    <t>2100102-一般行政管理事务</t>
  </si>
  <si>
    <t>2100103-机关服务</t>
  </si>
  <si>
    <t>2100202-中医(民族)医院</t>
  </si>
  <si>
    <t>2100203-传染病医院</t>
  </si>
  <si>
    <t>2100204-职业病防治医院</t>
  </si>
  <si>
    <t>2100205-精神病医院</t>
  </si>
  <si>
    <t>2100206-妇幼保健医院</t>
  </si>
  <si>
    <t>2100207-儿童医院</t>
  </si>
  <si>
    <t>2100208-其他专科医院</t>
  </si>
  <si>
    <t>2100209-福利医院</t>
  </si>
  <si>
    <t>2100210-行业医院</t>
  </si>
  <si>
    <t>2100211-处理医疗欠费</t>
  </si>
  <si>
    <t>2100212-康复医院</t>
  </si>
  <si>
    <t>2100213-优抚医院</t>
  </si>
  <si>
    <t>2100299-其他公立医院支出</t>
  </si>
  <si>
    <t>2100404-精神卫生机构</t>
  </si>
  <si>
    <t>2100405-应急救治机构</t>
  </si>
  <si>
    <t>2100406-采供血机构</t>
  </si>
  <si>
    <t>2100407-其他专业公共卫生机构</t>
  </si>
  <si>
    <t>2100499-其他公共卫生支出</t>
  </si>
  <si>
    <t>2100601-中医(民族医)药专项</t>
  </si>
  <si>
    <t>2100699-其他中医药支出</t>
  </si>
  <si>
    <t>2100716-计划生育机构</t>
  </si>
  <si>
    <t>2100717-计划生育服务</t>
  </si>
  <si>
    <t>2101101-行政单位医疗</t>
  </si>
  <si>
    <t>2101102-事业单位医疗</t>
  </si>
  <si>
    <t>2101103-公务员医疗补助</t>
  </si>
  <si>
    <t>2101199-其他行政事业单位医疗支出</t>
  </si>
  <si>
    <t>2101201-财政对职工基本医疗保险基金的补助</t>
  </si>
  <si>
    <t>2101202-财政对城乡居民基本医疗保险基金的补助</t>
  </si>
  <si>
    <t>2101299-财政对其他基本医疗保险基金的补助</t>
  </si>
  <si>
    <t>2101301-城乡医疗救助</t>
  </si>
  <si>
    <t>2101302-疾病应急救助</t>
  </si>
  <si>
    <t>2101401-优抚对象医疗补助</t>
  </si>
  <si>
    <t>2101499-其他优抚对象医疗支出</t>
  </si>
  <si>
    <t>2101501-行政运行</t>
  </si>
  <si>
    <t>2101502-一般行政管理事务</t>
  </si>
  <si>
    <t>2101503-机关服务</t>
  </si>
  <si>
    <t>2101504-信息化建设</t>
  </si>
  <si>
    <t>2101505-医疗保障政策管理</t>
  </si>
  <si>
    <t>2101506-医疗保障经办事务</t>
  </si>
  <si>
    <t>2101550-事业运行</t>
  </si>
  <si>
    <t>2101599-其他医疗保障管理事务支出</t>
  </si>
  <si>
    <t>2101601-老龄卫生健康事务</t>
  </si>
  <si>
    <t>2110101-行政运行</t>
  </si>
  <si>
    <t>2110102-一般行政管理事务</t>
  </si>
  <si>
    <t>2110103-机关服务</t>
  </si>
  <si>
    <t>2110104-生态环境保护宣传</t>
  </si>
  <si>
    <t>2110105-环境保护法规、规划及标准</t>
  </si>
  <si>
    <t>2110106-生态环境国际合作及履约</t>
  </si>
  <si>
    <t>2110107-生态环境保护行政许可</t>
  </si>
  <si>
    <t>2110108-应对气候变化管理事务</t>
  </si>
  <si>
    <t>2110199-其他环境保护管理事务支出</t>
  </si>
  <si>
    <t>2110203-建设项目环评审查与监督</t>
  </si>
  <si>
    <t>2110204-核与辐射安全监督</t>
  </si>
  <si>
    <t>2110299-其他环境监测与监察支出</t>
  </si>
  <si>
    <t>2110301-大气</t>
  </si>
  <si>
    <t>2110303-噪声</t>
  </si>
  <si>
    <t>2110304-固体废弃物与化学品</t>
  </si>
  <si>
    <t>2110305-放射源和放射性废物监管</t>
  </si>
  <si>
    <t>2110306-辐射</t>
  </si>
  <si>
    <t>2110307-土壤</t>
  </si>
  <si>
    <t>2110401-生态保护</t>
  </si>
  <si>
    <t>2110402-农村环境保护</t>
  </si>
  <si>
    <t>2110404-生物及物种资源保护</t>
  </si>
  <si>
    <t>2110405-草原生态修复治理</t>
  </si>
  <si>
    <t>2110406-自然保护地</t>
  </si>
  <si>
    <t>2110499-其他自然生态保护支出</t>
  </si>
  <si>
    <t>2110501-森林管护</t>
  </si>
  <si>
    <t>2110502-社会保险补助</t>
  </si>
  <si>
    <t>2110503-政策性社会性支出补助</t>
  </si>
  <si>
    <t>2110506-天然林保护工程建设</t>
  </si>
  <si>
    <t>2110507-停伐补助</t>
  </si>
  <si>
    <t>2110599-其他天然林保护支出</t>
  </si>
  <si>
    <t>2110602-退耕现金</t>
  </si>
  <si>
    <t>2110603-退耕还林粮食折现补贴</t>
  </si>
  <si>
    <t>2110604-退耕还林粮食费用补贴</t>
  </si>
  <si>
    <t>2110605-退耕还林工程建设</t>
  </si>
  <si>
    <t>2110699-其他退耕还林还草支出</t>
  </si>
  <si>
    <t>2110704-京津风沙源治理工程建设</t>
  </si>
  <si>
    <t>2110799-其他风沙荒漠治理支出</t>
  </si>
  <si>
    <t>2110804-退牧还草工程建设</t>
  </si>
  <si>
    <t>2110899-其他退牧还草支出</t>
  </si>
  <si>
    <t>2110901-已垦草原退耕还草</t>
  </si>
  <si>
    <t>2111001-能源节约利用</t>
  </si>
  <si>
    <t>2111101-生态环境监测与信息</t>
  </si>
  <si>
    <t>2111102-生态环境执法监察</t>
  </si>
  <si>
    <t>2111103-减排专项支出</t>
  </si>
  <si>
    <t>2111104-清洁生产专项支出</t>
  </si>
  <si>
    <t>2111199-其他污染减排支出</t>
  </si>
  <si>
    <t>2111201-可再生能源</t>
  </si>
  <si>
    <t>2111301-循环经济</t>
  </si>
  <si>
    <t>2111401-行政运行</t>
  </si>
  <si>
    <t>2111402-一般行政管理事务</t>
  </si>
  <si>
    <t>2111403-机关服务</t>
  </si>
  <si>
    <t>2111406-能源科技装备</t>
  </si>
  <si>
    <t>2111407-能源行业管理</t>
  </si>
  <si>
    <t>2111408-能源管理</t>
  </si>
  <si>
    <t>2111411-信息化建设</t>
  </si>
  <si>
    <t>2111413-农村电网建设</t>
  </si>
  <si>
    <t>2111450-事业运行</t>
  </si>
  <si>
    <t>2111499-其他能源管理事务支出</t>
  </si>
  <si>
    <t>2116001-风力发电补助</t>
  </si>
  <si>
    <t>2116002-太阳能发电补助</t>
  </si>
  <si>
    <t>2116003-生物质能发电补助</t>
  </si>
  <si>
    <t>2116099-其他可再生能源电价附加收入安排的支出</t>
  </si>
  <si>
    <t>2116101-回收处理费用补贴</t>
  </si>
  <si>
    <t>2116102-信息系统建设</t>
  </si>
  <si>
    <t>2116103-基金征管经费</t>
  </si>
  <si>
    <t>2116104-其他废弃电器电子产品处理基金支出</t>
  </si>
  <si>
    <t>2119999-其他节能环保支出</t>
  </si>
  <si>
    <t>2120101-行政运行</t>
  </si>
  <si>
    <t>2120102-一般行政管理事务</t>
  </si>
  <si>
    <t>2120103-机关服务</t>
  </si>
  <si>
    <t>2120105-工程建设标准规范编制与监管</t>
  </si>
  <si>
    <t>2120106-工程建设管理</t>
  </si>
  <si>
    <t>2120107-市政公用行业市场监管</t>
  </si>
  <si>
    <t>2120109-住宅建设与房地产市场监管</t>
  </si>
  <si>
    <t>2120110-执业资格注册、资质审查</t>
  </si>
  <si>
    <t>2120201-城乡社区规划与管理</t>
  </si>
  <si>
    <t>2120303-小城镇基础设施建设</t>
  </si>
  <si>
    <t>2120803-城市建设支出</t>
  </si>
  <si>
    <t>2120805-补助被征地农民支出</t>
  </si>
  <si>
    <t>2120809-支付破产或改制企业职工安置费</t>
  </si>
  <si>
    <t>2120810-棚户区改造支出</t>
  </si>
  <si>
    <t>2120811-公共租赁住房支出</t>
  </si>
  <si>
    <t>2120813-保障性住房租金补贴</t>
  </si>
  <si>
    <t>2120814-农业生产发展支出</t>
  </si>
  <si>
    <t>2120815-农村社会事业支出</t>
  </si>
  <si>
    <t>2120816-农业农村生态环境支出</t>
  </si>
  <si>
    <t>2121001-征地和拆迁补偿支出</t>
  </si>
  <si>
    <t>2121002-土地开发支出</t>
  </si>
  <si>
    <t>2121099-其他国有土地收益基金支出</t>
  </si>
  <si>
    <t>2121302-城市环境卫生</t>
  </si>
  <si>
    <t>2121303-公有房屋</t>
  </si>
  <si>
    <t>2121304-城市防洪</t>
  </si>
  <si>
    <t>2121402-代征手续费</t>
  </si>
  <si>
    <t>2121499-其他污水处理费安排的支出</t>
  </si>
  <si>
    <t>2121501-征地和拆迁补偿支出</t>
  </si>
  <si>
    <t>2121502-土地开发支出</t>
  </si>
  <si>
    <t>2121599-其他土地储备专项债券收入安排的支出</t>
  </si>
  <si>
    <t>2121601-征地和拆迁补偿支出</t>
  </si>
  <si>
    <t>2121602-土地开发支出</t>
  </si>
  <si>
    <t>2121699-其他棚户区改造专项债券收入安排的支出</t>
  </si>
  <si>
    <t>2121701-城市公共设施</t>
  </si>
  <si>
    <t>2121702-城市环境卫生</t>
  </si>
  <si>
    <t>2121703-公有房屋</t>
  </si>
  <si>
    <t>2121704-城市防洪</t>
  </si>
  <si>
    <t>2121799-其他城市基础设施配套费对应专项债务收入安排的支出</t>
  </si>
  <si>
    <t>2121801-污水处理设施建设和运营</t>
  </si>
  <si>
    <t>2121899-其他污水处理费对应专项债务收入安排的支出</t>
  </si>
  <si>
    <t>2121901-征地和拆迁补偿支出</t>
  </si>
  <si>
    <t>2121902-土地开发支出</t>
  </si>
  <si>
    <t>2121903-城市建设支出</t>
  </si>
  <si>
    <t>2121904-农村基础设施建设支出</t>
  </si>
  <si>
    <t>2121905-廉租住房支出</t>
  </si>
  <si>
    <t>2121906-棚户区改造支出</t>
  </si>
  <si>
    <t>2121907-公共租赁住房支出</t>
  </si>
  <si>
    <t>2121999-其他国有土地使用权出让收入对应专项债务收入安排的支出</t>
  </si>
  <si>
    <t>2130101-行政运行</t>
  </si>
  <si>
    <t>2130102-一般行政管理事务</t>
  </si>
  <si>
    <t>2130103-机关服务</t>
  </si>
  <si>
    <t>2130104-事业运行</t>
  </si>
  <si>
    <t>2130105-农垦运行</t>
  </si>
  <si>
    <t>2130106-科技转化与推广服务</t>
  </si>
  <si>
    <t>2130108-病虫害控制</t>
  </si>
  <si>
    <t>2130109-农产品质量安全</t>
  </si>
  <si>
    <t>2130110-执法监管</t>
  </si>
  <si>
    <t>2130111-统计监测与信息服务</t>
  </si>
  <si>
    <t>2130112-行业业务管理</t>
  </si>
  <si>
    <t>2130114-对外交流与合作</t>
  </si>
  <si>
    <t>2130119-防灾救灾</t>
  </si>
  <si>
    <t>2130120-稳定农民收入补贴</t>
  </si>
  <si>
    <t>2130121-农业结构调整补贴</t>
  </si>
  <si>
    <t>2130122-农业生产发展</t>
  </si>
  <si>
    <t>2130124-农村合作经济</t>
  </si>
  <si>
    <t>2130125-农产品加工与促销</t>
  </si>
  <si>
    <t>2130126-农村社会事业</t>
  </si>
  <si>
    <t>2130135-农业资源保护修复与利用</t>
  </si>
  <si>
    <t>2130142-农村道路建设</t>
  </si>
  <si>
    <t>2130148-渔业发展</t>
  </si>
  <si>
    <t>2130152-对高校毕业生到基层任职补助</t>
  </si>
  <si>
    <t>2130153-农田建设</t>
  </si>
  <si>
    <t>2130201-行政运行</t>
  </si>
  <si>
    <t>2130202-一般行政管理事务</t>
  </si>
  <si>
    <t>2130203-机关服务</t>
  </si>
  <si>
    <t>2130204-事业机构</t>
  </si>
  <si>
    <t>2130205-森林资源培育</t>
  </si>
  <si>
    <t>2130206-技术推广与转化</t>
  </si>
  <si>
    <t>2130207-森林资源管理</t>
  </si>
  <si>
    <t>2130210-自然保护区等管理</t>
  </si>
  <si>
    <t>2130211-动植物保护</t>
  </si>
  <si>
    <t>2130212-湿地保护</t>
  </si>
  <si>
    <t>2130213-执法与监督</t>
  </si>
  <si>
    <t>2130217-防沙治沙</t>
  </si>
  <si>
    <t>2130220-对外合作与交流</t>
  </si>
  <si>
    <t>2130221-产业化管理</t>
  </si>
  <si>
    <t>2130223-信息管理</t>
  </si>
  <si>
    <t>2130226-林区公共支出</t>
  </si>
  <si>
    <t>2130227-贷款贴息</t>
  </si>
  <si>
    <t>2130234-林业草原防灾减灾</t>
  </si>
  <si>
    <t>2130236-草原管理</t>
  </si>
  <si>
    <t>2130237-行业业务管理</t>
  </si>
  <si>
    <t>2130301-行政运行</t>
  </si>
  <si>
    <t>2130302-一般行政管理事务</t>
  </si>
  <si>
    <t>2130303-机关服务</t>
  </si>
  <si>
    <t>2130304-水利行业业务管理</t>
  </si>
  <si>
    <t>2130306-水利工程运行与维护</t>
  </si>
  <si>
    <t>2130307-长江黄河等流域管理</t>
  </si>
  <si>
    <t>2130308-水利前期工作</t>
  </si>
  <si>
    <t>2130309-水利执法监督</t>
  </si>
  <si>
    <t>2130310-水土保持</t>
  </si>
  <si>
    <t>2130311-水资源节约管理与保护</t>
  </si>
  <si>
    <t>2130312-水质监测</t>
  </si>
  <si>
    <t>2130313-水文测报</t>
  </si>
  <si>
    <t>2130315-抗旱</t>
  </si>
  <si>
    <t>2130316-农村水利</t>
  </si>
  <si>
    <t>2130317-水利技术推广</t>
  </si>
  <si>
    <t>2130318-国际河流治理与管理</t>
  </si>
  <si>
    <t>2130319-江河湖库水系综合整治</t>
  </si>
  <si>
    <t>2130321-大中型水库移民后期扶持专项支出</t>
  </si>
  <si>
    <t>2130322-水利安全监督</t>
  </si>
  <si>
    <t>2130333-信息管理</t>
  </si>
  <si>
    <t>2130334-水利建设征地及移民支出</t>
  </si>
  <si>
    <t>2130335-农村人畜饮水</t>
  </si>
  <si>
    <t>2130336-南水北调工程建设</t>
  </si>
  <si>
    <t>2130337-南水北调工程管理</t>
  </si>
  <si>
    <t>2130501-行政运行</t>
  </si>
  <si>
    <t>2130502-一般行政管理事务</t>
  </si>
  <si>
    <t>2130503-机关服务</t>
  </si>
  <si>
    <t>2130505-生产发展</t>
  </si>
  <si>
    <t>2130506-社会发展</t>
  </si>
  <si>
    <t>2130507-贷款奖补和贴息</t>
  </si>
  <si>
    <t>2130508-“三西”农业建设专项补助</t>
  </si>
  <si>
    <t>2130550-事业运行</t>
  </si>
  <si>
    <t>2130704-国有农场办社会职能改革补助</t>
  </si>
  <si>
    <t>2130705-对村民委员会和村党支部的补助</t>
  </si>
  <si>
    <t>2130706-对村集体经济组织的补助</t>
  </si>
  <si>
    <t>2130707-农村综合改革示范试点补助</t>
  </si>
  <si>
    <t>2130799-其他农村综合改革支出</t>
  </si>
  <si>
    <t>2130801-支持农村金融机构</t>
  </si>
  <si>
    <t>2130803-农业保险保费补贴</t>
  </si>
  <si>
    <t>2130805-补充创业担保贷款基金</t>
  </si>
  <si>
    <t>2130899-其他普惠金融发展支出</t>
  </si>
  <si>
    <t>2130901-棉花目标价格补贴</t>
  </si>
  <si>
    <t>2130999-其他目标价格补贴</t>
  </si>
  <si>
    <t>2136601-基础设施建设和经济发展</t>
  </si>
  <si>
    <t>2136602-解决移民遗留问题</t>
  </si>
  <si>
    <t>2136603-库区防护工程维护</t>
  </si>
  <si>
    <t>2136699-其他大中型水库库区基金支出</t>
  </si>
  <si>
    <t>2136701-基础设施建设和经济发展</t>
  </si>
  <si>
    <t>2136702-解决移民遗留问题</t>
  </si>
  <si>
    <t>2136703-库区维护和管理</t>
  </si>
  <si>
    <t>2136799-其他三峡水库库区基金支出</t>
  </si>
  <si>
    <t>2136901-南水北调工程建设</t>
  </si>
  <si>
    <t>2136902-三峡后续工作</t>
  </si>
  <si>
    <t>2136903-地方重大水利工程建设</t>
  </si>
  <si>
    <t>2136999-其他重大水利工程建设基金支出</t>
  </si>
  <si>
    <t>2137001-基础设施建设和经济发展</t>
  </si>
  <si>
    <t>2137099-其他大中型水库库区基金对应专项债务收入支出</t>
  </si>
  <si>
    <t>2137101-南水北调工程建设</t>
  </si>
  <si>
    <t>2137102-三峡工程后续工作</t>
  </si>
  <si>
    <t>2137103-地方重大水利工程建设</t>
  </si>
  <si>
    <t>2137199-其他重大水利工程建设基金对应专项债务收入支出</t>
  </si>
  <si>
    <t>2139901-化解其他公益性乡村债务支出</t>
  </si>
  <si>
    <t>2140101-行政运行</t>
  </si>
  <si>
    <t>2140102-一般行政管理事务</t>
  </si>
  <si>
    <t>2140103-机关服务</t>
  </si>
  <si>
    <t>2140109-交通运输信息化建设</t>
  </si>
  <si>
    <t>2140110-公路和运输安全</t>
  </si>
  <si>
    <t>2140111-公路还贷专项</t>
  </si>
  <si>
    <t>2140112-公路运输管理</t>
  </si>
  <si>
    <t>2140114-公路和运输技术标准化建设</t>
  </si>
  <si>
    <t>2140122-港口设施</t>
  </si>
  <si>
    <t>2140123-航道维护</t>
  </si>
  <si>
    <t>2140127-船舶检验</t>
  </si>
  <si>
    <t>2140128-救助打捞</t>
  </si>
  <si>
    <t>2140129-内河运输</t>
  </si>
  <si>
    <t>2140130-远洋运输</t>
  </si>
  <si>
    <t>2140131-海事管理</t>
  </si>
  <si>
    <t>2140133-航标事业发展支出</t>
  </si>
  <si>
    <t>2140136-水路运输管理支出</t>
  </si>
  <si>
    <t>2140138-口岸建设</t>
  </si>
  <si>
    <t>2140201-行政运行</t>
  </si>
  <si>
    <t>2140202-一般行政管理事务</t>
  </si>
  <si>
    <t>2140203-机关服务</t>
  </si>
  <si>
    <t>2140204-铁路路网建设</t>
  </si>
  <si>
    <t>2140205-铁路还贷专项</t>
  </si>
  <si>
    <t>2140206-铁路安全</t>
  </si>
  <si>
    <t>2140207-铁路专项运输</t>
  </si>
  <si>
    <t>2140208-行业监管</t>
  </si>
  <si>
    <t>2140299-其他铁路运输支出</t>
  </si>
  <si>
    <t>2140301-行政运行</t>
  </si>
  <si>
    <t>2140302-一般行政管理事务</t>
  </si>
  <si>
    <t>2140303-机关服务</t>
  </si>
  <si>
    <t>2140304-机场建设</t>
  </si>
  <si>
    <t>2140305-空管系统建设</t>
  </si>
  <si>
    <t>2140306-民航还贷专项支出</t>
  </si>
  <si>
    <t>2140307-民用航空安全</t>
  </si>
  <si>
    <t>2140308-民航专项运输</t>
  </si>
  <si>
    <t>2140501-行政运行</t>
  </si>
  <si>
    <t>2140502-一般行政管理事务</t>
  </si>
  <si>
    <t>2140503-机关服务</t>
  </si>
  <si>
    <t>2140504-行业监管</t>
  </si>
  <si>
    <t>2140505-邮政普遍服务与特殊服务</t>
  </si>
  <si>
    <t>2140599-其他邮政业支出</t>
  </si>
  <si>
    <t>2140602-车辆购置税用于农村公路建设支出</t>
  </si>
  <si>
    <t>2140603-车辆购置税用于老旧汽车报废更新补贴</t>
  </si>
  <si>
    <t>2140699-车辆购置税其他支出</t>
  </si>
  <si>
    <t>2146001-公路建设</t>
  </si>
  <si>
    <t>2146002-公路养护</t>
  </si>
  <si>
    <t>2146003-公路还贷</t>
  </si>
  <si>
    <t>2146099-其他海南省高等级公路车辆通行附加费安排的支出</t>
  </si>
  <si>
    <t>2146201-公路还贷</t>
  </si>
  <si>
    <t>2146202-政府还贷公路养护</t>
  </si>
  <si>
    <t>2146203-政府还贷公路管理</t>
  </si>
  <si>
    <t>2146299-其他车辆通行费安排的支出</t>
  </si>
  <si>
    <t>2146401-铁路建设投资</t>
  </si>
  <si>
    <t>2146402-购置铁路机车车辆</t>
  </si>
  <si>
    <t>2146403-铁路还贷</t>
  </si>
  <si>
    <t>2146404-建设项目铺底资金</t>
  </si>
  <si>
    <t>2146405-勘测设计</t>
  </si>
  <si>
    <t>2146406-注册资本金</t>
  </si>
  <si>
    <t>2146407-周转资金</t>
  </si>
  <si>
    <t>2146499-其他铁路建设基金支出</t>
  </si>
  <si>
    <t>2146801-应急处置费用</t>
  </si>
  <si>
    <t>2146802-控制清除污染</t>
  </si>
  <si>
    <t>2146803-损失补偿</t>
  </si>
  <si>
    <t>2146804-生态恢复</t>
  </si>
  <si>
    <t>2146805-监视监测</t>
  </si>
  <si>
    <t>2146899-其他船舶油污损害赔偿基金支出</t>
  </si>
  <si>
    <t>2146901-民航机场建设</t>
  </si>
  <si>
    <t>2146902-空管系统建设</t>
  </si>
  <si>
    <t>2146903-民航安全</t>
  </si>
  <si>
    <t>2146904-航线和机场补贴</t>
  </si>
  <si>
    <t>2146906-民航节能减排</t>
  </si>
  <si>
    <t>2146907-通用航空发展</t>
  </si>
  <si>
    <t>2146908-征管经费</t>
  </si>
  <si>
    <t>2146999-其他民航发展基金支出</t>
  </si>
  <si>
    <t>2147001-公路建设</t>
  </si>
  <si>
    <t>2147099-其他海南省高等级公路车辆通行附加费对应专项债务收入安排的支出</t>
  </si>
  <si>
    <t>2147101-公路建设</t>
  </si>
  <si>
    <t>2147199-其他政府收费公路专项债券收入安排的支出</t>
  </si>
  <si>
    <t>21472-车辆通行费对应专项债务收入安排的支出</t>
  </si>
  <si>
    <t>2149901-公共交通运营补助</t>
  </si>
  <si>
    <t>2150101-行政运行</t>
  </si>
  <si>
    <t>2150102-一般行政管理事务</t>
  </si>
  <si>
    <t>2150103-机关服务</t>
  </si>
  <si>
    <t>2150104-煤炭勘探开采和洗选</t>
  </si>
  <si>
    <t>2150105-石油和天然气勘探开采</t>
  </si>
  <si>
    <t>2150106-黑色金属矿勘探和采选</t>
  </si>
  <si>
    <t>2150107-有色金属矿勘探和采选</t>
  </si>
  <si>
    <t>2150108-非金属矿勘探和采选</t>
  </si>
  <si>
    <t>2150199-其他资源勘探业支出</t>
  </si>
  <si>
    <t>2150201-行政运行</t>
  </si>
  <si>
    <t>2150202-一般行政管理事务</t>
  </si>
  <si>
    <t>2150203-机关服务</t>
  </si>
  <si>
    <t>2150204-纺织业</t>
  </si>
  <si>
    <t>2150205-医药制造业</t>
  </si>
  <si>
    <t>2150206-非金属矿物制品业</t>
  </si>
  <si>
    <t>2150207-通信设备、计算机及其他电子设备制造业</t>
  </si>
  <si>
    <t>2150208-交通运输设备制造业</t>
  </si>
  <si>
    <t>2150209-电气机械及器材制造业</t>
  </si>
  <si>
    <t>2150210-工艺品及其他制造业</t>
  </si>
  <si>
    <t>2150212-石油加工、炼焦及核燃料加工业</t>
  </si>
  <si>
    <t>2150213-化学原料及化学制品制造业</t>
  </si>
  <si>
    <t>2150214-黑色金属冶炼及压延加工业</t>
  </si>
  <si>
    <t>2150215-有色金属冶炼及压延加工业</t>
  </si>
  <si>
    <t>2150299-其他制造业支出</t>
  </si>
  <si>
    <t>2150301-行政运行</t>
  </si>
  <si>
    <t>2150302-一般行政管理事务</t>
  </si>
  <si>
    <t>2150303-机关服务</t>
  </si>
  <si>
    <t>2150399-其他建筑业支出</t>
  </si>
  <si>
    <t>2150501-行政运行</t>
  </si>
  <si>
    <t>2150502-一般行政管理事务</t>
  </si>
  <si>
    <t>2150503-机关服务</t>
  </si>
  <si>
    <t>2150505-战备应急</t>
  </si>
  <si>
    <t>2150507-专用通信</t>
  </si>
  <si>
    <t>2150508-无线电及信息通信监管</t>
  </si>
  <si>
    <t>2150516-工程建设及运行维护</t>
  </si>
  <si>
    <t>2150517-产业发展</t>
  </si>
  <si>
    <t>2150550-事业运行</t>
  </si>
  <si>
    <t>2150599-其他工业和信息产业监管支出</t>
  </si>
  <si>
    <t>2150701-行政运行</t>
  </si>
  <si>
    <t>2150702-一般行政管理事务</t>
  </si>
  <si>
    <t>2150703-机关服务</t>
  </si>
  <si>
    <t>2150704-国有企业监事会专项</t>
  </si>
  <si>
    <t>2150705-中央企业专项管理</t>
  </si>
  <si>
    <t>2150799-其他国有资产监管支出</t>
  </si>
  <si>
    <t>2150801-行政运行</t>
  </si>
  <si>
    <t>2150802-一般行政管理事务</t>
  </si>
  <si>
    <t>2150803-机关服务</t>
  </si>
  <si>
    <t>2150804-科技型中小企业技术创新基金</t>
  </si>
  <si>
    <t>2150805-中小企业发展专项</t>
  </si>
  <si>
    <t>2150806-减免房租补贴</t>
  </si>
  <si>
    <t>2156201-中央农网还贷资金支出</t>
  </si>
  <si>
    <t>2156202-地方农网还贷资金支出</t>
  </si>
  <si>
    <t>2156299-其他农网还贷资金支出</t>
  </si>
  <si>
    <t>2159901-黄金事务</t>
  </si>
  <si>
    <t>2159904-技术改造支出</t>
  </si>
  <si>
    <t>2159905-中药材扶持资金支出</t>
  </si>
  <si>
    <t>2159906-重点产业振兴和技术改造项目贷款贴息</t>
  </si>
  <si>
    <t>2159999-其他资源勘探工业信息等支出</t>
  </si>
  <si>
    <t>2160202-一般行政管理事务</t>
  </si>
  <si>
    <t>2160203-机关服务</t>
  </si>
  <si>
    <t>2160216-食品流通安全补贴</t>
  </si>
  <si>
    <t>2160217-市场监测及信息管理</t>
  </si>
  <si>
    <t>2160218-民贸企业补贴</t>
  </si>
  <si>
    <t>2160219-民贸民品贷款贴息</t>
  </si>
  <si>
    <t>2160250-事业运行</t>
  </si>
  <si>
    <t>2160299-其他商业流通事务支出</t>
  </si>
  <si>
    <t>2160601-行政运行</t>
  </si>
  <si>
    <t>2160602-一般行政管理事务</t>
  </si>
  <si>
    <t>2160603-机关服务</t>
  </si>
  <si>
    <t>2160607-外商投资环境建设补助资金</t>
  </si>
  <si>
    <t>2160699-其他涉外发展服务支出</t>
  </si>
  <si>
    <t>2169901-服务业基础设施建设</t>
  </si>
  <si>
    <t>2169999-其他商业服务业等支出</t>
  </si>
  <si>
    <t>2170101-行政运行</t>
  </si>
  <si>
    <t>2170102-一般行政管理事务</t>
  </si>
  <si>
    <t>2170103-机关服务</t>
  </si>
  <si>
    <t>2170104-安全防卫</t>
  </si>
  <si>
    <t>2170150-事业运行</t>
  </si>
  <si>
    <t>2170199-金融部门其他行政支出</t>
  </si>
  <si>
    <t>2170201-货币发行</t>
  </si>
  <si>
    <t>2170202-金融服务</t>
  </si>
  <si>
    <t>2170203-反假币</t>
  </si>
  <si>
    <t>2170204-重点金融机构监管</t>
  </si>
  <si>
    <t>2170205-金融稽查与案件处理</t>
  </si>
  <si>
    <t>2170206-金融行业电子化建设</t>
  </si>
  <si>
    <t>2170207-从业人员资格考试</t>
  </si>
  <si>
    <t>2170208-反洗钱</t>
  </si>
  <si>
    <t>2170299-金融部门其他监管支出</t>
  </si>
  <si>
    <t>2170301-政策性银行亏损补贴</t>
  </si>
  <si>
    <t>2170302-利息费用补贴支出</t>
  </si>
  <si>
    <t>2170303-补充资本金</t>
  </si>
  <si>
    <t>2170304-风险基金补助</t>
  </si>
  <si>
    <t>2170399-其他金融发展支出</t>
  </si>
  <si>
    <t>2170401-中央银行亏损补贴</t>
  </si>
  <si>
    <t>2170402-中央特别国债经营基金支出</t>
  </si>
  <si>
    <t>2170403-中央特别国债经营基金财务支出</t>
  </si>
  <si>
    <t>2170499-其他金融调控支出</t>
  </si>
  <si>
    <t>2179902-重点企业贷款贴息</t>
  </si>
  <si>
    <t>2179999-其他金融支出</t>
  </si>
  <si>
    <t>21901-一般公共服务</t>
  </si>
  <si>
    <t>21902-教育</t>
  </si>
  <si>
    <t>21903-文化旅游体育与传媒</t>
  </si>
  <si>
    <t>21904-卫生健康</t>
  </si>
  <si>
    <t>21905-节能环保</t>
  </si>
  <si>
    <t>21906-农业农村</t>
  </si>
  <si>
    <t>21907-交通运输</t>
  </si>
  <si>
    <t>21908-住房保障</t>
  </si>
  <si>
    <t>21999-其他支出</t>
  </si>
  <si>
    <t>2200101-行政运行</t>
  </si>
  <si>
    <t>2200102-一般行政管理事务</t>
  </si>
  <si>
    <t>2200103-机关服务</t>
  </si>
  <si>
    <t>2200108-自然资源行业业务管理</t>
  </si>
  <si>
    <t>2200109-自然资源调查与确权登记</t>
  </si>
  <si>
    <t>2200112-土地资源储备支出</t>
  </si>
  <si>
    <t>2200113-地质矿产资源与环境调查</t>
  </si>
  <si>
    <t>2200114-地质勘查与矿产资源管理</t>
  </si>
  <si>
    <t>2200115-地质转产项目财政贴息</t>
  </si>
  <si>
    <t>2200116-国外风险勘查</t>
  </si>
  <si>
    <t>2200119-地质勘查基金(周转金)支出</t>
  </si>
  <si>
    <t>2200120-海域与海岛管理</t>
  </si>
  <si>
    <t>2200121-自然资源国际合作与海洋权益维护</t>
  </si>
  <si>
    <t>2200122-自然资源卫星</t>
  </si>
  <si>
    <t>2200123-极地考察</t>
  </si>
  <si>
    <t>2200124-深海调查与资源开发</t>
  </si>
  <si>
    <t>2200125-海港航标维护</t>
  </si>
  <si>
    <t>2200126-海水淡化</t>
  </si>
  <si>
    <t>2200127-无居民海岛使用金支出</t>
  </si>
  <si>
    <t>2200128-海洋战略规划与预警监测</t>
  </si>
  <si>
    <t>2200129-基础测绘与地理信息监管</t>
  </si>
  <si>
    <t>2200150-事业运行</t>
  </si>
  <si>
    <t>2200501-行政运行</t>
  </si>
  <si>
    <t>2200502-一般行政管理事务</t>
  </si>
  <si>
    <t>2200503-机关服务</t>
  </si>
  <si>
    <t>2200504-气象事业机构</t>
  </si>
  <si>
    <t>2200506-气象探测</t>
  </si>
  <si>
    <t>2200507-气象信息传输及管理</t>
  </si>
  <si>
    <t>2200508-气象预报预测</t>
  </si>
  <si>
    <t>2200509-气象服务</t>
  </si>
  <si>
    <t>2200510-气象装备保障维护</t>
  </si>
  <si>
    <t>2200511-气象基础设施建设与维修</t>
  </si>
  <si>
    <t>2200512-气象卫星</t>
  </si>
  <si>
    <t>2200513-气象法规与标准</t>
  </si>
  <si>
    <t>2200514-气象资金审计稽查</t>
  </si>
  <si>
    <t>2200599-其他气象事务支出</t>
  </si>
  <si>
    <t>2209999-其他自然资源海洋气象等支出</t>
  </si>
  <si>
    <t>2210101-廉租住房</t>
  </si>
  <si>
    <t>2210102-沉陷区治理</t>
  </si>
  <si>
    <t>2210103-棚户区改造</t>
  </si>
  <si>
    <t>2210104-少数民族地区游牧民定居工程</t>
  </si>
  <si>
    <t>2210105-农村危房改造</t>
  </si>
  <si>
    <t>2210106-公共租赁住房</t>
  </si>
  <si>
    <t>2210107-保障性住房租金补贴</t>
  </si>
  <si>
    <t>2210108-老旧小区改造</t>
  </si>
  <si>
    <t>2210109-住房租赁市场发展</t>
  </si>
  <si>
    <t>2210199-其他保障性安居工程支出</t>
  </si>
  <si>
    <t>2210201-住房公积金</t>
  </si>
  <si>
    <t>2210202-提租补贴</t>
  </si>
  <si>
    <t>2210203-购房补贴</t>
  </si>
  <si>
    <t>2210301-公有住房建设和维修改造支出</t>
  </si>
  <si>
    <t>2210302-住房公积金管理</t>
  </si>
  <si>
    <t>2210399-其他城乡社区住宅支出</t>
  </si>
  <si>
    <t>2220101-行政运行</t>
  </si>
  <si>
    <t>2220102-一般行政管理事务</t>
  </si>
  <si>
    <t>2220103-机关服务</t>
  </si>
  <si>
    <t>2220104-财务和审计支出</t>
  </si>
  <si>
    <t>2220105-信息统计</t>
  </si>
  <si>
    <t>2220106-专项业务活动</t>
  </si>
  <si>
    <t>2220107-国家粮油差价补贴</t>
  </si>
  <si>
    <t>2220112-粮食财务挂账利息补贴</t>
  </si>
  <si>
    <t>2220113-粮食财务挂账消化款</t>
  </si>
  <si>
    <t>2220114-处理陈化粮补贴</t>
  </si>
  <si>
    <t>2220118-粮油市场调控专项资金</t>
  </si>
  <si>
    <t>2220119-设施建设</t>
  </si>
  <si>
    <t>2220120-设施安全</t>
  </si>
  <si>
    <t>2220121-物资保管保养</t>
  </si>
  <si>
    <t>2220150-事业运行</t>
  </si>
  <si>
    <t>2220301-石油储备</t>
  </si>
  <si>
    <t>2220303-天然铀能源储备</t>
  </si>
  <si>
    <t>2220304-煤炭储备</t>
  </si>
  <si>
    <t>2220305-成品油储备</t>
  </si>
  <si>
    <t>2220399-其他能源储备支出</t>
  </si>
  <si>
    <t>2220401-储备粮油补贴</t>
  </si>
  <si>
    <t>2220402-储备粮油差价补贴</t>
  </si>
  <si>
    <t>2220403-储备粮(油)库建设</t>
  </si>
  <si>
    <t>2220404-最低收购价政策支出</t>
  </si>
  <si>
    <t>2220499-其他粮油储备支出</t>
  </si>
  <si>
    <t>2220501-棉花储备</t>
  </si>
  <si>
    <t>2220502-食糖储备</t>
  </si>
  <si>
    <t>2220503-肉类储备</t>
  </si>
  <si>
    <t>2220504-化肥储备</t>
  </si>
  <si>
    <t>2220505-农药储备</t>
  </si>
  <si>
    <t>2220506-边销茶储备</t>
  </si>
  <si>
    <t>2220507-羊毛储备</t>
  </si>
  <si>
    <t>2220508-医药储备</t>
  </si>
  <si>
    <t>2220509-食盐储备</t>
  </si>
  <si>
    <t>2220510-战略物资储备</t>
  </si>
  <si>
    <t>2220511-应急物资储备</t>
  </si>
  <si>
    <t>2220599-其他重要商品储备支出</t>
  </si>
  <si>
    <t>2230101-厂办大集体改革支出</t>
  </si>
  <si>
    <t>2230102-“三供一业”移交补助支出</t>
  </si>
  <si>
    <t>2230103-国有企业办职教幼教补助支出</t>
  </si>
  <si>
    <t>2230104-国有企业办公共服务机构移交补助支出</t>
  </si>
  <si>
    <t>2230105-国有企业退休人员社会化管理补助支出</t>
  </si>
  <si>
    <t>2230106-国有企业棚户区改造支出</t>
  </si>
  <si>
    <t>2230107-国有企业改革成本支出</t>
  </si>
  <si>
    <t>2230108-离休干部医药费补助支出</t>
  </si>
  <si>
    <t>2230109-金融企业改革性支出</t>
  </si>
  <si>
    <t>2230199-其他解决历史遗留问题及改革成本支出</t>
  </si>
  <si>
    <t>2230201-国有经济结构调整支出</t>
  </si>
  <si>
    <t>2230202-公益性设施投资支出</t>
  </si>
  <si>
    <t>2230203-前瞻性战略性产业发展支出</t>
  </si>
  <si>
    <t>2230204-生态环境保护支出</t>
  </si>
  <si>
    <t>2230205-支持科技进步支出</t>
  </si>
  <si>
    <t>2230206-保障国家经济安全支出</t>
  </si>
  <si>
    <t>2230207-对外投资合作支出</t>
  </si>
  <si>
    <t>2230208-金融企业资本性支出</t>
  </si>
  <si>
    <t>2230299-其他国有企业资本金注入</t>
  </si>
  <si>
    <t>2230301-国有企业政策性补贴</t>
  </si>
  <si>
    <t>2239999-其他国有资本经营预算支出</t>
  </si>
  <si>
    <t>2240101-行政运行</t>
  </si>
  <si>
    <t>2240102-一般行政管理事务</t>
  </si>
  <si>
    <t>2240103-机关服务</t>
  </si>
  <si>
    <t>2240104-灾害风险防治</t>
  </si>
  <si>
    <t>2240105-国务院安委会专项</t>
  </si>
  <si>
    <t>2240108-应急救援</t>
  </si>
  <si>
    <t>2240109-应急管理</t>
  </si>
  <si>
    <t>2240150-事业运行</t>
  </si>
  <si>
    <t>2240199-其他应急管理支出</t>
  </si>
  <si>
    <t>2240201-行政运行</t>
  </si>
  <si>
    <t>2240202-一般行政管理事务</t>
  </si>
  <si>
    <t>2240203-机关服务</t>
  </si>
  <si>
    <t>2240204-消防应急救援</t>
  </si>
  <si>
    <t>2240401-行政运行</t>
  </si>
  <si>
    <t>2240402-一般行政管理事务</t>
  </si>
  <si>
    <t>2240403-机关服务</t>
  </si>
  <si>
    <t>2240404-矿山安全监察事务</t>
  </si>
  <si>
    <t>2240405-矿山应急救援事务</t>
  </si>
  <si>
    <t>2240450-事业运行</t>
  </si>
  <si>
    <t>2240499-其他矿山安全支出</t>
  </si>
  <si>
    <t>2240501-行政运行</t>
  </si>
  <si>
    <t>2240502-一般行政管理事务</t>
  </si>
  <si>
    <t>2240503-机关服务</t>
  </si>
  <si>
    <t>2240504-地震监测</t>
  </si>
  <si>
    <t>2240505-地震预测预报</t>
  </si>
  <si>
    <t>2240506-地震灾害预防</t>
  </si>
  <si>
    <t>2240507-地震应急救援</t>
  </si>
  <si>
    <t>2240508-地震环境探察</t>
  </si>
  <si>
    <t>2240509-防震减灾信息管理</t>
  </si>
  <si>
    <t>2240510-防震减灾基础管理</t>
  </si>
  <si>
    <t>2240550-地震事业机构</t>
  </si>
  <si>
    <t>2240599-其他地震事务支出</t>
  </si>
  <si>
    <t>2240602-森林草原防灾减灾</t>
  </si>
  <si>
    <t>2240703-自然灾害救灾补助</t>
  </si>
  <si>
    <t>2240704-自然灾害灾后重建补助</t>
  </si>
  <si>
    <t>2249999-其他灾害防治及应急管理支出</t>
  </si>
  <si>
    <t>2290201-年初预留</t>
  </si>
  <si>
    <t>2290401-其他政府性基金安排的支出</t>
  </si>
  <si>
    <t>2290403-其他政府性基金债务收入安排的支出</t>
  </si>
  <si>
    <t>2290802-福利彩票发行机构的业务费支出</t>
  </si>
  <si>
    <t>2290803-体育彩票发行机构的业务费支出</t>
  </si>
  <si>
    <t>2290804-福利彩票销售机构的业务费支出</t>
  </si>
  <si>
    <t>2290805-体育彩票销售机构的业务费支出</t>
  </si>
  <si>
    <t>2290806-彩票兑奖周转金支出</t>
  </si>
  <si>
    <t>2290807-彩票发行销售风险基金支出</t>
  </si>
  <si>
    <t>2290808-彩票市场调控资金支出</t>
  </si>
  <si>
    <t>2290899-其他彩票发行销售机构业务费安排的支出</t>
  </si>
  <si>
    <t>22909-抗疫特别国债财务基金支出</t>
  </si>
  <si>
    <t>2296001-用于补充全国社会保障基金的彩票公益金支出</t>
  </si>
  <si>
    <t>2296004-用于教育事业的彩票公益金支出</t>
  </si>
  <si>
    <t>2296005-用于红十字事业的彩票公益金支出</t>
  </si>
  <si>
    <t>2296006-用于残疾人事业的彩票公益金支出</t>
  </si>
  <si>
    <t>2296010-用于文化事业的彩票公益金支出</t>
  </si>
  <si>
    <t>2296011-用于巩固脱贫衔接乡村振兴的彩票公益金支出</t>
  </si>
  <si>
    <t>2296012-用于法律援助的彩票公益金支出</t>
  </si>
  <si>
    <t>2296013-用于城乡医疗救助的彩票公益金支出</t>
  </si>
  <si>
    <t>2300102-所得税基数返还支出</t>
  </si>
  <si>
    <t>2300103-成品油税费改革税收返还支出</t>
  </si>
  <si>
    <t>2300104-增值税税收返还支出</t>
  </si>
  <si>
    <t>2300105-消费税税收返还支出</t>
  </si>
  <si>
    <t>2300106-增值税“五五分享”税收返还支出</t>
  </si>
  <si>
    <t>2300199-其他返还性支出</t>
  </si>
  <si>
    <t>2300201-体制补助支出</t>
  </si>
  <si>
    <t>2300202-均衡性转移支付支出</t>
  </si>
  <si>
    <t>2300207-县级基本财力保障机制奖补资金支出</t>
  </si>
  <si>
    <t>2300208-结算补助支出</t>
  </si>
  <si>
    <t>2300212-资源枯竭型城市转移支付补助支出</t>
  </si>
  <si>
    <t>2300214-企业事业单位划转补助支出</t>
  </si>
  <si>
    <t>2300225-产粮（油）大县奖励资金支出</t>
  </si>
  <si>
    <t>2300226-重点生态功能区转移支付支出</t>
  </si>
  <si>
    <t>2300227-固定数额补助支出</t>
  </si>
  <si>
    <t>2300228-革命老区转移支付支出</t>
  </si>
  <si>
    <t>2300229-民族地区转移支付支出</t>
  </si>
  <si>
    <t>2300230-边境地区转移支付支出</t>
  </si>
  <si>
    <t>2300231-欠发达地区转移支付支出</t>
  </si>
  <si>
    <t>2300241-一般公共服务共同财政事权转移支付支出</t>
  </si>
  <si>
    <t>2300242-外交共同财政事权转移支付支出</t>
  </si>
  <si>
    <t>2300243-国防共同财政事权转移支付支出</t>
  </si>
  <si>
    <t>2300244-公共安全共同财政事权转移支付支出</t>
  </si>
  <si>
    <t>2300245-教育共同财政事权转移支付支出</t>
  </si>
  <si>
    <t>2300246-科学技术共同财政事权转移支付支出</t>
  </si>
  <si>
    <t>2300247-文化旅游体育与传媒共同财政事权转移支付支出</t>
  </si>
  <si>
    <t>2300248-社会保障和就业共同财政事权转移支付支出</t>
  </si>
  <si>
    <t>2300249-医疗卫生共同财政事权转移支付支出</t>
  </si>
  <si>
    <t>2300250-节能环保共同财政事权转移支付支出</t>
  </si>
  <si>
    <t>2300251-城乡社区共同财政事权转移支付支出</t>
  </si>
  <si>
    <t>2300252-农林水共同财政事权转移支付支出</t>
  </si>
  <si>
    <t>2300253-交通运输共同财政事权转移支付支出</t>
  </si>
  <si>
    <t>2300254-资源勘探工业信息等共同财政事权转移支付支出</t>
  </si>
  <si>
    <t>2300255-商业服务业等共同财政事权转移支付支出</t>
  </si>
  <si>
    <t>2300256-金融共同财政事权转移支付支出</t>
  </si>
  <si>
    <t>2300257-自然资源海洋气象等共同财政事权转移支付支出</t>
  </si>
  <si>
    <t>2300258-住房保障共同财政事权转移支付支出</t>
  </si>
  <si>
    <t>2300259-粮油物资储备共同财政事权转移支付支出</t>
  </si>
  <si>
    <t>2300260-灾害防治及应急管理共同财政事权转移支付支出</t>
  </si>
  <si>
    <t>2300269-其他共同财政事权转移支付支出</t>
  </si>
  <si>
    <t>2300296-增值税留抵退税转移支付支出</t>
  </si>
  <si>
    <t>2300297-其他退税减税降费转移支付支出</t>
  </si>
  <si>
    <t>2300298-补充县区财力转移支付支出</t>
  </si>
  <si>
    <t>2300299-其他一般性转移支付支出</t>
  </si>
  <si>
    <t>2300301-一般公共服务</t>
  </si>
  <si>
    <t>2300302-外交</t>
  </si>
  <si>
    <t>2300303-国防</t>
  </si>
  <si>
    <t>2300304-公共安全</t>
  </si>
  <si>
    <t>2300305-教育</t>
  </si>
  <si>
    <t>2300306-科学技术</t>
  </si>
  <si>
    <t>2300307-文化旅游体育与传媒</t>
  </si>
  <si>
    <t>2300308-社会保障和就业</t>
  </si>
  <si>
    <t>2300310-卫生健康</t>
  </si>
  <si>
    <t>2300311-节能环保</t>
  </si>
  <si>
    <t>2300312-城乡社区</t>
  </si>
  <si>
    <t>2300313-农林水</t>
  </si>
  <si>
    <t>2300314-交通运输</t>
  </si>
  <si>
    <t>2300315-资源勘探工业信息等</t>
  </si>
  <si>
    <t>2300316-商业服务业等</t>
  </si>
  <si>
    <t>2300317-金融</t>
  </si>
  <si>
    <t>2300320-自然资源海洋气象等</t>
  </si>
  <si>
    <t>2300321-住房保障</t>
  </si>
  <si>
    <t>2300322-粮油物资储备</t>
  </si>
  <si>
    <t>2300324-灾害防治及应急管理</t>
  </si>
  <si>
    <t>2300399-其他支出</t>
  </si>
  <si>
    <t>2300403-抗疫特别国债转移支付支出</t>
  </si>
  <si>
    <t>2300404-科学技术</t>
  </si>
  <si>
    <t>2300405-文化旅游体育与传媒</t>
  </si>
  <si>
    <t>2300406-社会保障和就业</t>
  </si>
  <si>
    <t>2300407-节能环保</t>
  </si>
  <si>
    <t>2300408-城乡社区</t>
  </si>
  <si>
    <t>2300409-农林水</t>
  </si>
  <si>
    <t>2300410-交通运输</t>
  </si>
  <si>
    <t>2300411-资源勘探工业信息等</t>
  </si>
  <si>
    <t>2300499-其他支出</t>
  </si>
  <si>
    <t>2300501-国有资本经营预算转移支付支出</t>
  </si>
  <si>
    <t>2300601-体制上解支出</t>
  </si>
  <si>
    <t>2300602-专项上解支出</t>
  </si>
  <si>
    <t>2300603-政府性基金上解支出</t>
  </si>
  <si>
    <t>2300604-国有资本经营预算上解支出</t>
  </si>
  <si>
    <t>2300802-政府性基金预算调出资金</t>
  </si>
  <si>
    <t>2300803-国有资本经营预算调出资金</t>
  </si>
  <si>
    <t>2300809-调出工资资金</t>
  </si>
  <si>
    <t>2300901-一般公共预算年终结余</t>
  </si>
  <si>
    <t>2300902-政府性基金年终结余</t>
  </si>
  <si>
    <t>2300911-企业职工基本养老保险基金年终结余</t>
  </si>
  <si>
    <t>2300912-失业保险基金年终结余</t>
  </si>
  <si>
    <t>2300913-职工基本医疗保险基金年终结余</t>
  </si>
  <si>
    <t>2300914-工伤保险基金年终结余</t>
  </si>
  <si>
    <t>2300915-城乡居民基本养老保险基金年终结余</t>
  </si>
  <si>
    <t>2300916-机关事业单位基本养老保险基金年终结余</t>
  </si>
  <si>
    <t>2300917-城乡居民基本医疗保险基金年终结余</t>
  </si>
  <si>
    <t>2300918-国有资本经营预算年终结余</t>
  </si>
  <si>
    <t>2301101-地方政府一般债券转贷支出</t>
  </si>
  <si>
    <t>2301102-地方政府向外国政府借款转贷支出</t>
  </si>
  <si>
    <t>2301103-地方政府向国际组织借款转贷支出</t>
  </si>
  <si>
    <t>2301104-地方政府其他一般债务转贷支出</t>
  </si>
  <si>
    <t>2301105-海南省高等级公路车辆通行附加费债务转贷支出</t>
  </si>
  <si>
    <t>2301109-国家电影事业发展专项资金债务转贷支出</t>
  </si>
  <si>
    <t>2301115-国有土地使用权出让金债务转贷支出</t>
  </si>
  <si>
    <t>2301117-农业土地开发资金债务转贷支出</t>
  </si>
  <si>
    <t>2301118-大中型水库库区基金债务转贷支出</t>
  </si>
  <si>
    <t>2301120-城市基础设施配套费债务转贷支出</t>
  </si>
  <si>
    <t>2301121-小型水库移民扶助基金债务转贷支出</t>
  </si>
  <si>
    <t>2301122-国家重大水利工程建设基金债务转贷支出</t>
  </si>
  <si>
    <t>2301123-车辆通行费债务转贷支出</t>
  </si>
  <si>
    <t>2301124-污水处理费债务转贷支出</t>
  </si>
  <si>
    <t>2301131-土地储备专项债券转贷支出</t>
  </si>
  <si>
    <t>2301132-政府收费公路专项债券转贷支出</t>
  </si>
  <si>
    <t>2301133-棚户区改造专项债券转贷支出</t>
  </si>
  <si>
    <t>2301198-其他地方自行试点项目收益专项债券转贷支出</t>
  </si>
  <si>
    <t>2301199-其他地方政府债务转贷支出</t>
  </si>
  <si>
    <t>23013-援助其他地区支出</t>
  </si>
  <si>
    <t>23015-安排预算稳定调节基金</t>
  </si>
  <si>
    <t>23016-补充预算周转金</t>
  </si>
  <si>
    <t>2301701-企业职工基本养老保险基金转移支出</t>
  </si>
  <si>
    <t>2301702-失业保险基金转移支出</t>
  </si>
  <si>
    <t>2301703-职工基本医疗保险基金转移支出</t>
  </si>
  <si>
    <t>2301704-城乡居民基本养老保险基金转移支出</t>
  </si>
  <si>
    <t>2301705-机关事业单位基本养老保险基金转移支出</t>
  </si>
  <si>
    <t>2301801-企业职工基本养老保险基金补助支出</t>
  </si>
  <si>
    <t>2301802-失业保险基金补助支出</t>
  </si>
  <si>
    <t>2301803-职工基本医疗保险基金补助支出</t>
  </si>
  <si>
    <t>2301804-工伤保险基金补助支出</t>
  </si>
  <si>
    <t>2301805-城乡居民基本养老保险基金补助支出</t>
  </si>
  <si>
    <t>2301806-机关事业单位基本养老保险基金补助支出</t>
  </si>
  <si>
    <t>2301807-城乡居民基本医疗保险基金补助支出</t>
  </si>
  <si>
    <t>2301901-企业职工基本养老保险基金上解支出</t>
  </si>
  <si>
    <t>2301902-失业保险基金上解支出</t>
  </si>
  <si>
    <t>2301903-职工基本医疗保险基金上解支出</t>
  </si>
  <si>
    <t>2301904-工伤保险基金上解支出</t>
  </si>
  <si>
    <t>2301905-城乡居民基本养老保险基金上解支出</t>
  </si>
  <si>
    <t>2301906-机关事业单位基本养老保险基金上解支出</t>
  </si>
  <si>
    <t>2301907-城乡居民基本医疗保险基金上解支出</t>
  </si>
  <si>
    <t>2302101-援助其他地区支出</t>
  </si>
  <si>
    <t>2302102-生态保护补偿转移性支出</t>
  </si>
  <si>
    <t>2302103-土地指标调剂转移性支出</t>
  </si>
  <si>
    <t>2302199-其他转移性支出</t>
  </si>
  <si>
    <t>23101-中央政府国内债务还本支出</t>
  </si>
  <si>
    <t>2310201-中央政府境外发行主权债券还本支出</t>
  </si>
  <si>
    <t>2310202-中央政府向外国政府借款还本支出</t>
  </si>
  <si>
    <t>2310203-中央政府向国际金融组织借款还本支出</t>
  </si>
  <si>
    <t>2310299-中央政府其他国外借款还本支出</t>
  </si>
  <si>
    <t>2310302-地方政府向外国政府借款还本支出</t>
  </si>
  <si>
    <t>2310399-地方政府其他一般债务还本支出</t>
  </si>
  <si>
    <t>2310401-海南省高等级公路车辆通行附加费债务还本支出</t>
  </si>
  <si>
    <t>2310405-国家电影事业发展专项资金债务还本支出</t>
  </si>
  <si>
    <t>2310413-农业土地开发资金债务还本支出</t>
  </si>
  <si>
    <t>2310414-大中型水库库区基金债务还本支出</t>
  </si>
  <si>
    <t>2310416-城市基础设施配套费债务还本支出</t>
  </si>
  <si>
    <t>2310417-小型水库移民扶助基金债务还本支出</t>
  </si>
  <si>
    <t>2310418-国家重大水利工程建设基金债务还本支出</t>
  </si>
  <si>
    <t>2310419-车辆通行费债务还本支出</t>
  </si>
  <si>
    <t>2310420-污水处理费债务还本支出</t>
  </si>
  <si>
    <t>2310432-政府收费公路专项债券还本支出</t>
  </si>
  <si>
    <t>2310433-棚户区改造专项债券还本支出</t>
  </si>
  <si>
    <t>2310498-其他地方自行试点项目收益专项债券还本支出</t>
  </si>
  <si>
    <t>2310499-其他政府性基金债务还本支出</t>
  </si>
  <si>
    <t>23105-抗疫特别国债还本支出</t>
  </si>
  <si>
    <t>23201-中央政府国内债务付息支出</t>
  </si>
  <si>
    <t>2320201-中央政府境外发行主权债券付息支出</t>
  </si>
  <si>
    <t>2320202-中央政府向外国政府借款付息支出</t>
  </si>
  <si>
    <t>2320203-中央政府向国际金融组织借款付息支出</t>
  </si>
  <si>
    <t>2320299-中央政府其他国外借款付息支出</t>
  </si>
  <si>
    <t>2320302-地方政府向外国政府借款付息支出</t>
  </si>
  <si>
    <t>2320399-地方政府其他一般债务付息支出</t>
  </si>
  <si>
    <t>2320401-海南省高等级公路车辆通行附加费债务付息支出</t>
  </si>
  <si>
    <t>2320405-国家电影事业发展专项资金债务付息支出</t>
  </si>
  <si>
    <t>2320413-农业土地开发资金债务付息支出</t>
  </si>
  <si>
    <t>2320414-大中型水库库区基金债务付息支出</t>
  </si>
  <si>
    <t>2320416-城市基础设施配套费债务付息支出</t>
  </si>
  <si>
    <t>2320417-小型水库移民扶助基金债务付息支出</t>
  </si>
  <si>
    <t>2320418-国家重大水利工程建设基金债务付息支出</t>
  </si>
  <si>
    <t>2320419-车辆通行费债务付息支出</t>
  </si>
  <si>
    <t>2320420-污水处理费债务付息支出</t>
  </si>
  <si>
    <t>2320433-棚户区改造专项债券付息支出</t>
  </si>
  <si>
    <t>2320499-其他政府性基金债务付息支出</t>
  </si>
  <si>
    <t>23301-中央政府国内债务发行费用支出</t>
  </si>
  <si>
    <t>23302-中央政府国外债务发行费用支出</t>
  </si>
  <si>
    <t>2330401-海南省高等级公路车辆通行附加费债务发行费用支出</t>
  </si>
  <si>
    <t>2330405-国家电影事业发展专项资金债务发行费用支出</t>
  </si>
  <si>
    <t>2330413-农业土地开发资金债务发行费用支出</t>
  </si>
  <si>
    <t>2330414-大中型水库库区基金债务发行费用支出</t>
  </si>
  <si>
    <t>2330416-城市基础设施配套费债务发行费用支出</t>
  </si>
  <si>
    <t>2330417-小型水库移民扶助基金债务发行费用支出</t>
  </si>
  <si>
    <t>2330418-国家重大水利工程建设基金债务发行费用支出</t>
  </si>
  <si>
    <t>2330419-车辆通行费债务发行费用支出</t>
  </si>
  <si>
    <t>2330420-污水处理费债务发行费用支出</t>
  </si>
  <si>
    <t>2330433-棚户区改造专项债券发行费用支出</t>
  </si>
  <si>
    <t>2330499-其他政府性基金债务发行费用支出</t>
  </si>
  <si>
    <t>2340101-公共卫生体系建设</t>
  </si>
  <si>
    <t>2340102-重大疫情防控救治体系建设</t>
  </si>
  <si>
    <t>2340103-粮食安全</t>
  </si>
  <si>
    <t>2340104-能源安全</t>
  </si>
  <si>
    <t>2340105-应急物资保障</t>
  </si>
  <si>
    <t>2340106-产业链改造升级</t>
  </si>
  <si>
    <t>2340107-城镇老旧小区改造</t>
  </si>
  <si>
    <t>2340108-生态环境治理</t>
  </si>
  <si>
    <t>2340109-交通基础设施建设</t>
  </si>
  <si>
    <t>2340110-市政设施建设</t>
  </si>
  <si>
    <t>2340111-重大区域规划基础设施建设</t>
  </si>
  <si>
    <t>2340199-其他基础设施建设</t>
  </si>
  <si>
    <t>2340201-减免房租补贴</t>
  </si>
  <si>
    <t>2340202-重点企业贷款贴息</t>
  </si>
  <si>
    <t>2340203-创业担保贷款贴息</t>
  </si>
  <si>
    <t>2340204-援企稳岗补贴</t>
  </si>
  <si>
    <t>2340205-困难群众基本生活补助</t>
  </si>
  <si>
    <t>2340299-其他抗疫相关支出</t>
  </si>
  <si>
    <t>500-不列支出</t>
  </si>
</sst>
</file>

<file path=xl/styles.xml><?xml version="1.0" encoding="utf-8"?>
<styleSheet xmlns="http://schemas.openxmlformats.org/spreadsheetml/2006/main">
  <numFmts count="16">
    <numFmt numFmtId="41" formatCode="_ * #,##0_ ;_ * \-#,##0_ ;_ * &quot;-&quot;_ ;_ @_ "/>
    <numFmt numFmtId="44" formatCode="_ &quot;￥&quot;* #,##0.00_ ;_ &quot;￥&quot;* \-#,##0.00_ ;_ &quot;￥&quot;* &quot;-&quot;??_ ;_ @_ "/>
    <numFmt numFmtId="43" formatCode="_ * #,##0.00_ ;_ * \-#,##0.00_ ;_ * &quot;-&quot;??_ ;_ @_ "/>
    <numFmt numFmtId="42" formatCode="_ &quot;￥&quot;* #,##0_ ;_ &quot;￥&quot;* \-#,##0_ ;_ &quot;￥&quot;* &quot;-&quot;_ ;_ @_ "/>
    <numFmt numFmtId="176" formatCode="0_ "/>
    <numFmt numFmtId="177" formatCode="#,##0_ "/>
    <numFmt numFmtId="178" formatCode="0.00_ "/>
    <numFmt numFmtId="179" formatCode="#,##0_);[Red]\(#,##0\)"/>
    <numFmt numFmtId="180" formatCode="0.00_);[Red]\(0.00\)"/>
    <numFmt numFmtId="181" formatCode="0.000_ "/>
    <numFmt numFmtId="182" formatCode="0.0000_ "/>
    <numFmt numFmtId="183" formatCode="0.0_ "/>
    <numFmt numFmtId="184" formatCode="0_);[Red]\(0\)"/>
    <numFmt numFmtId="185" formatCode="#,##0_ ;[Red]\-#,##0\ "/>
    <numFmt numFmtId="186" formatCode="_ * #,##0_ ;_ * \-#,##0_ ;_ * &quot;-&quot;??_ ;_ @_ "/>
    <numFmt numFmtId="187" formatCode="#,##0.00_ "/>
  </numFmts>
  <fonts count="92">
    <font>
      <sz val="11"/>
      <color theme="1"/>
      <name val="宋体"/>
      <charset val="134"/>
      <scheme val="minor"/>
    </font>
    <font>
      <sz val="10"/>
      <name val="SimSun"/>
      <charset val="134"/>
    </font>
    <font>
      <sz val="11"/>
      <color indexed="8"/>
      <name val="宋体"/>
      <charset val="134"/>
      <scheme val="minor"/>
    </font>
    <font>
      <b/>
      <sz val="11"/>
      <name val="宋体"/>
      <charset val="134"/>
      <scheme val="minor"/>
    </font>
    <font>
      <sz val="11"/>
      <name val="黑体"/>
      <charset val="134"/>
    </font>
    <font>
      <sz val="18"/>
      <color rgb="FF000000"/>
      <name val="方正小标宋简体"/>
      <charset val="134"/>
    </font>
    <font>
      <b/>
      <sz val="12"/>
      <name val="宋体"/>
      <charset val="134"/>
    </font>
    <font>
      <sz val="12"/>
      <name val="宋体"/>
      <charset val="134"/>
    </font>
    <font>
      <b/>
      <sz val="11"/>
      <color theme="1"/>
      <name val="宋体"/>
      <charset val="134"/>
      <scheme val="minor"/>
    </font>
    <font>
      <sz val="18"/>
      <color theme="1"/>
      <name val="方正小标宋简体"/>
      <charset val="134"/>
    </font>
    <font>
      <b/>
      <sz val="12"/>
      <color theme="1"/>
      <name val="宋体"/>
      <charset val="134"/>
      <scheme val="minor"/>
    </font>
    <font>
      <sz val="12"/>
      <color theme="1"/>
      <name val="宋体"/>
      <charset val="134"/>
      <scheme val="minor"/>
    </font>
    <font>
      <sz val="11"/>
      <color indexed="8"/>
      <name val="宋体"/>
      <charset val="134"/>
    </font>
    <font>
      <sz val="11"/>
      <color indexed="8"/>
      <name val="黑体"/>
      <charset val="134"/>
    </font>
    <font>
      <sz val="18"/>
      <color indexed="8"/>
      <name val="方正小标宋简体"/>
      <charset val="134"/>
    </font>
    <font>
      <b/>
      <sz val="18"/>
      <name val="宋体"/>
      <charset val="134"/>
    </font>
    <font>
      <b/>
      <sz val="11"/>
      <name val="宋体"/>
      <charset val="134"/>
    </font>
    <font>
      <sz val="11"/>
      <name val="宋体"/>
      <charset val="134"/>
    </font>
    <font>
      <sz val="11"/>
      <name val="宋体"/>
      <charset val="134"/>
      <scheme val="minor"/>
    </font>
    <font>
      <sz val="18"/>
      <name val="宋体"/>
      <charset val="134"/>
      <scheme val="minor"/>
    </font>
    <font>
      <sz val="18"/>
      <name val="方正小标宋简体"/>
      <charset val="134"/>
    </font>
    <font>
      <sz val="11"/>
      <name val="Arial Narrow"/>
      <charset val="0"/>
    </font>
    <font>
      <sz val="18"/>
      <name val="宋体"/>
      <charset val="134"/>
    </font>
    <font>
      <sz val="9"/>
      <name val="宋体"/>
      <charset val="134"/>
    </font>
    <font>
      <sz val="9"/>
      <color rgb="FFFF0000"/>
      <name val="宋体"/>
      <charset val="134"/>
    </font>
    <font>
      <sz val="11"/>
      <name val="SimSun"/>
      <charset val="134"/>
    </font>
    <font>
      <sz val="11"/>
      <color theme="1"/>
      <name val="SimSun"/>
      <charset val="134"/>
    </font>
    <font>
      <sz val="10"/>
      <name val="宋体"/>
      <charset val="134"/>
    </font>
    <font>
      <b/>
      <sz val="11"/>
      <color rgb="FFFF0000"/>
      <name val="宋体"/>
      <charset val="134"/>
    </font>
    <font>
      <sz val="12"/>
      <name val="宋体"/>
      <charset val="134"/>
      <scheme val="minor"/>
    </font>
    <font>
      <b/>
      <sz val="12"/>
      <name val="宋体"/>
      <charset val="134"/>
      <scheme val="minor"/>
    </font>
    <font>
      <sz val="18"/>
      <color theme="1"/>
      <name val="宋体"/>
      <charset val="134"/>
    </font>
    <font>
      <sz val="11"/>
      <color theme="1"/>
      <name val="黑体"/>
      <charset val="134"/>
    </font>
    <font>
      <sz val="10"/>
      <color indexed="8"/>
      <name val="宋体"/>
      <charset val="134"/>
    </font>
    <font>
      <b/>
      <sz val="11"/>
      <color indexed="8"/>
      <name val="宋体"/>
      <charset val="134"/>
    </font>
    <font>
      <sz val="10"/>
      <color theme="1"/>
      <name val="宋体"/>
      <charset val="134"/>
    </font>
    <font>
      <b/>
      <sz val="18"/>
      <name val="宋体"/>
      <charset val="134"/>
      <scheme val="minor"/>
    </font>
    <font>
      <sz val="11"/>
      <name val="宋体"/>
      <charset val="134"/>
      <scheme val="major"/>
    </font>
    <font>
      <sz val="10"/>
      <name val="宋体"/>
      <charset val="134"/>
      <scheme val="minor"/>
    </font>
    <font>
      <sz val="11"/>
      <color rgb="FFFF0000"/>
      <name val="宋体"/>
      <charset val="134"/>
      <scheme val="minor"/>
    </font>
    <font>
      <sz val="9"/>
      <color theme="1"/>
      <name val="宋体"/>
      <charset val="134"/>
      <scheme val="minor"/>
    </font>
    <font>
      <sz val="10"/>
      <color theme="1"/>
      <name val="宋体"/>
      <charset val="134"/>
      <scheme val="minor"/>
    </font>
    <font>
      <b/>
      <sz val="10"/>
      <name val="宋体"/>
      <charset val="134"/>
      <scheme val="minor"/>
    </font>
    <font>
      <b/>
      <sz val="10"/>
      <name val="宋体"/>
      <charset val="134"/>
    </font>
    <font>
      <sz val="10"/>
      <color rgb="FFFF0000"/>
      <name val="宋体"/>
      <charset val="134"/>
      <scheme val="minor"/>
    </font>
    <font>
      <b/>
      <sz val="9"/>
      <name val="宋体"/>
      <charset val="134"/>
    </font>
    <font>
      <sz val="10"/>
      <color rgb="FFFF0000"/>
      <name val="SimSun"/>
      <charset val="134"/>
    </font>
    <font>
      <b/>
      <sz val="10"/>
      <color theme="1"/>
      <name val="宋体"/>
      <charset val="134"/>
      <scheme val="minor"/>
    </font>
    <font>
      <sz val="10"/>
      <color theme="1"/>
      <name val="宋体"/>
      <charset val="134"/>
      <scheme val="major"/>
    </font>
    <font>
      <b/>
      <sz val="10"/>
      <color theme="1"/>
      <name val="宋体"/>
      <charset val="134"/>
      <scheme val="major"/>
    </font>
    <font>
      <sz val="10"/>
      <name val="宋体"/>
      <charset val="134"/>
      <scheme val="major"/>
    </font>
    <font>
      <b/>
      <sz val="10"/>
      <name val="宋体"/>
      <charset val="134"/>
      <scheme val="major"/>
    </font>
    <font>
      <b/>
      <sz val="11"/>
      <name val="宋体"/>
      <charset val="134"/>
      <scheme val="major"/>
    </font>
    <font>
      <sz val="11"/>
      <color theme="1"/>
      <name val="宋体"/>
      <charset val="134"/>
      <scheme val="major"/>
    </font>
    <font>
      <b/>
      <sz val="11"/>
      <color theme="1"/>
      <name val="宋体"/>
      <charset val="134"/>
      <scheme val="major"/>
    </font>
    <font>
      <b/>
      <sz val="20"/>
      <name val="宋体"/>
      <charset val="134"/>
      <scheme val="major"/>
    </font>
    <font>
      <sz val="10"/>
      <color rgb="FFFF0000"/>
      <name val="宋体"/>
      <charset val="134"/>
      <scheme val="major"/>
    </font>
    <font>
      <b/>
      <sz val="10"/>
      <color rgb="FFFF0000"/>
      <name val="宋体"/>
      <charset val="134"/>
      <scheme val="major"/>
    </font>
    <font>
      <b/>
      <sz val="22"/>
      <name val="宋体"/>
      <charset val="134"/>
    </font>
    <font>
      <sz val="10"/>
      <color rgb="FFFF0000"/>
      <name val="宋体"/>
      <charset val="134"/>
    </font>
    <font>
      <b/>
      <sz val="10"/>
      <name val="SimSun"/>
      <charset val="134"/>
    </font>
    <font>
      <sz val="10"/>
      <name val="微软雅黑"/>
      <charset val="134"/>
    </font>
    <font>
      <sz val="10"/>
      <color indexed="8"/>
      <name val="宋体"/>
      <charset val="134"/>
      <scheme val="minor"/>
    </font>
    <font>
      <sz val="11"/>
      <name val="Calibri"/>
      <charset val="0"/>
    </font>
    <font>
      <b/>
      <sz val="22"/>
      <name val="宋体"/>
      <charset val="134"/>
      <scheme val="minor"/>
    </font>
    <font>
      <b/>
      <sz val="9"/>
      <name val="宋体"/>
      <charset val="134"/>
      <scheme val="minor"/>
    </font>
    <font>
      <sz val="20"/>
      <color theme="1"/>
      <name val="宋体"/>
      <charset val="134"/>
      <scheme val="minor"/>
    </font>
    <font>
      <b/>
      <sz val="11"/>
      <name val="SimSun"/>
      <charset val="134"/>
    </font>
    <font>
      <sz val="12"/>
      <name val="黑体"/>
      <charset val="134"/>
    </font>
    <font>
      <b/>
      <sz val="18"/>
      <color theme="3"/>
      <name val="宋体"/>
      <charset val="134"/>
      <scheme val="minor"/>
    </font>
    <font>
      <sz val="11"/>
      <color rgb="FF9C0006"/>
      <name val="宋体"/>
      <charset val="134"/>
      <scheme val="minor"/>
    </font>
    <font>
      <b/>
      <sz val="11"/>
      <color theme="3"/>
      <name val="宋体"/>
      <charset val="134"/>
      <scheme val="minor"/>
    </font>
    <font>
      <sz val="11"/>
      <color theme="0"/>
      <name val="宋体"/>
      <charset val="134"/>
      <scheme val="minor"/>
    </font>
    <font>
      <b/>
      <sz val="13"/>
      <color theme="3"/>
      <name val="宋体"/>
      <charset val="134"/>
      <scheme val="minor"/>
    </font>
    <font>
      <sz val="11"/>
      <color rgb="FF3F3F76"/>
      <name val="宋体"/>
      <charset val="134"/>
      <scheme val="minor"/>
    </font>
    <font>
      <sz val="9"/>
      <color indexed="8"/>
      <name val="宋体"/>
      <charset val="134"/>
    </font>
    <font>
      <sz val="11"/>
      <color rgb="FF006100"/>
      <name val="宋体"/>
      <charset val="134"/>
      <scheme val="minor"/>
    </font>
    <font>
      <sz val="10"/>
      <color indexed="8"/>
      <name val="Arial"/>
      <charset val="0"/>
    </font>
    <font>
      <sz val="11"/>
      <color rgb="FFFA7D00"/>
      <name val="宋体"/>
      <charset val="134"/>
      <scheme val="minor"/>
    </font>
    <font>
      <b/>
      <sz val="15"/>
      <color theme="3"/>
      <name val="宋体"/>
      <charset val="134"/>
      <scheme val="minor"/>
    </font>
    <font>
      <sz val="11"/>
      <color rgb="FF9C6500"/>
      <name val="宋体"/>
      <charset val="134"/>
      <scheme val="minor"/>
    </font>
    <font>
      <u/>
      <sz val="11"/>
      <color rgb="FF0000FF"/>
      <name val="宋体"/>
      <charset val="134"/>
      <scheme val="minor"/>
    </font>
    <font>
      <i/>
      <sz val="11"/>
      <color rgb="FF7F7F7F"/>
      <name val="宋体"/>
      <charset val="134"/>
      <scheme val="minor"/>
    </font>
    <font>
      <u/>
      <sz val="11"/>
      <color rgb="FF800080"/>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0"/>
      <name val="Helv"/>
      <charset val="0"/>
    </font>
    <font>
      <b/>
      <sz val="18"/>
      <color rgb="FFFF0000"/>
      <name val="宋体"/>
      <charset val="134"/>
      <scheme val="minor"/>
    </font>
    <font>
      <sz val="10"/>
      <color indexed="10"/>
      <name val="宋体"/>
      <charset val="134"/>
    </font>
    <font>
      <b/>
      <u/>
      <sz val="10"/>
      <name val="宋体"/>
      <charset val="134"/>
    </font>
    <font>
      <u/>
      <sz val="10"/>
      <name val="宋体"/>
      <charset val="134"/>
    </font>
  </fonts>
  <fills count="40">
    <fill>
      <patternFill patternType="none"/>
    </fill>
    <fill>
      <patternFill patternType="gray125"/>
    </fill>
    <fill>
      <patternFill patternType="solid">
        <fgColor theme="9" tint="0.8"/>
        <bgColor indexed="64"/>
      </patternFill>
    </fill>
    <fill>
      <patternFill patternType="solid">
        <fgColor rgb="FFFFFF00"/>
        <bgColor indexed="64"/>
      </patternFill>
    </fill>
    <fill>
      <patternFill patternType="solid">
        <fgColor theme="0"/>
        <bgColor indexed="64"/>
      </patternFill>
    </fill>
    <fill>
      <patternFill patternType="solid">
        <fgColor rgb="FF92D050"/>
        <bgColor indexed="64"/>
      </patternFill>
    </fill>
    <fill>
      <patternFill patternType="solid">
        <fgColor theme="3" tint="0.6"/>
        <bgColor indexed="64"/>
      </patternFill>
    </fill>
    <fill>
      <patternFill patternType="solid">
        <fgColor rgb="FFFFC000"/>
        <bgColor indexed="64"/>
      </patternFill>
    </fill>
    <fill>
      <patternFill patternType="solid">
        <fgColor theme="8" tint="0.599993896298105"/>
        <bgColor indexed="64"/>
      </patternFill>
    </fill>
    <fill>
      <patternFill patternType="solid">
        <fgColor rgb="FFFFFFFF"/>
        <bgColor indexed="64"/>
      </patternFill>
    </fill>
    <fill>
      <patternFill patternType="solid">
        <fgColor rgb="FFFFFFCC"/>
        <bgColor indexed="64"/>
      </patternFill>
    </fill>
    <fill>
      <patternFill patternType="solid">
        <fgColor rgb="FFFFC7CE"/>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4" tint="0.599993896298105"/>
        <bgColor indexed="64"/>
      </patternFill>
    </fill>
    <fill>
      <patternFill patternType="solid">
        <fgColor theme="7" tint="0.599993896298105"/>
        <bgColor indexed="64"/>
      </patternFill>
    </fill>
    <fill>
      <patternFill patternType="solid">
        <fgColor theme="6"/>
        <bgColor indexed="64"/>
      </patternFill>
    </fill>
    <fill>
      <patternFill patternType="solid">
        <fgColor theme="9"/>
        <bgColor indexed="64"/>
      </patternFill>
    </fill>
    <fill>
      <patternFill patternType="solid">
        <fgColor theme="4"/>
        <bgColor indexed="64"/>
      </patternFill>
    </fill>
    <fill>
      <patternFill patternType="solid">
        <fgColor theme="7"/>
        <bgColor indexed="64"/>
      </patternFill>
    </fill>
    <fill>
      <patternFill patternType="solid">
        <fgColor rgb="FFFFCC99"/>
        <bgColor indexed="64"/>
      </patternFill>
    </fill>
    <fill>
      <patternFill patternType="solid">
        <fgColor theme="4" tint="0.399884029663991"/>
        <bgColor indexed="64"/>
      </patternFill>
    </fill>
    <fill>
      <patternFill patternType="solid">
        <fgColor theme="7" tint="0.399884029663991"/>
        <bgColor indexed="64"/>
      </patternFill>
    </fill>
    <fill>
      <patternFill patternType="solid">
        <fgColor theme="6" tint="0.799890133365886"/>
        <bgColor indexed="64"/>
      </patternFill>
    </fill>
    <fill>
      <patternFill patternType="solid">
        <fgColor theme="9" tint="0.799890133365886"/>
        <bgColor indexed="64"/>
      </patternFill>
    </fill>
    <fill>
      <patternFill patternType="solid">
        <fgColor rgb="FFC6EFCE"/>
        <bgColor indexed="64"/>
      </patternFill>
    </fill>
    <fill>
      <patternFill patternType="solid">
        <fgColor theme="4" tint="0.799890133365886"/>
        <bgColor indexed="64"/>
      </patternFill>
    </fill>
    <fill>
      <patternFill patternType="solid">
        <fgColor theme="7" tint="0.799890133365886"/>
        <bgColor indexed="64"/>
      </patternFill>
    </fill>
    <fill>
      <patternFill patternType="solid">
        <fgColor theme="5" tint="0.399884029663991"/>
        <bgColor indexed="64"/>
      </patternFill>
    </fill>
    <fill>
      <patternFill patternType="solid">
        <fgColor theme="8" tint="0.399884029663991"/>
        <bgColor indexed="64"/>
      </patternFill>
    </fill>
    <fill>
      <patternFill patternType="solid">
        <fgColor theme="6" tint="0.399884029663991"/>
        <bgColor indexed="64"/>
      </patternFill>
    </fill>
    <fill>
      <patternFill patternType="solid">
        <fgColor rgb="FFFFEB9C"/>
        <bgColor indexed="64"/>
      </patternFill>
    </fill>
    <fill>
      <patternFill patternType="solid">
        <fgColor theme="9" tint="0.399884029663991"/>
        <bgColor indexed="64"/>
      </patternFill>
    </fill>
    <fill>
      <patternFill patternType="solid">
        <fgColor rgb="FFF2F2F2"/>
        <bgColor indexed="64"/>
      </patternFill>
    </fill>
    <fill>
      <patternFill patternType="solid">
        <fgColor theme="5"/>
        <bgColor indexed="64"/>
      </patternFill>
    </fill>
    <fill>
      <patternFill patternType="solid">
        <fgColor theme="8"/>
        <bgColor indexed="64"/>
      </patternFill>
    </fill>
    <fill>
      <patternFill patternType="solid">
        <fgColor theme="8" tint="0.799890133365886"/>
        <bgColor indexed="64"/>
      </patternFill>
    </fill>
    <fill>
      <patternFill patternType="solid">
        <fgColor theme="5" tint="0.799890133365886"/>
        <bgColor indexed="64"/>
      </patternFill>
    </fill>
    <fill>
      <patternFill patternType="solid">
        <fgColor rgb="FFA5A5A5"/>
        <bgColor indexed="64"/>
      </patternFill>
    </fill>
    <fill>
      <patternFill patternType="solid">
        <fgColor theme="5" tint="0.599993896298105"/>
        <bgColor indexed="64"/>
      </patternFill>
    </fill>
  </fills>
  <borders count="2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right/>
      <top/>
      <bottom style="thin">
        <color auto="1"/>
      </bottom>
      <diagonal/>
    </border>
    <border>
      <left style="thin">
        <color auto="1"/>
      </left>
      <right style="thin">
        <color auto="1"/>
      </right>
      <top/>
      <bottom/>
      <diagonal/>
    </border>
    <border>
      <left style="thin">
        <color rgb="FF000000"/>
      </left>
      <right/>
      <top style="thin">
        <color rgb="FF000000"/>
      </top>
      <bottom style="thin">
        <color rgb="FF000000"/>
      </bottom>
      <diagonal/>
    </border>
    <border>
      <left style="thick">
        <color auto="1"/>
      </left>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style="thin">
        <color rgb="FF000000"/>
      </left>
      <right/>
      <top/>
      <bottom style="thin">
        <color rgb="FF000000"/>
      </bottom>
      <diagonal/>
    </border>
    <border>
      <left style="thin">
        <color indexed="8"/>
      </left>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82">
    <xf numFmtId="0" fontId="0" fillId="0" borderId="0">
      <alignment vertical="center"/>
    </xf>
    <xf numFmtId="42" fontId="0" fillId="0" borderId="0" applyFont="0" applyFill="0" applyBorder="0" applyAlignment="0" applyProtection="0">
      <alignment vertical="center"/>
    </xf>
    <xf numFmtId="0" fontId="0" fillId="23" borderId="0" applyNumberFormat="0" applyBorder="0" applyAlignment="0" applyProtection="0">
      <alignment vertical="center"/>
    </xf>
    <xf numFmtId="0" fontId="74" fillId="20" borderId="21" applyNumberFormat="0" applyAlignment="0" applyProtection="0">
      <alignment vertical="center"/>
    </xf>
    <xf numFmtId="44" fontId="0" fillId="0" borderId="0" applyFont="0" applyFill="0" applyBorder="0" applyAlignment="0" applyProtection="0">
      <alignment vertical="center"/>
    </xf>
    <xf numFmtId="0" fontId="7" fillId="0" borderId="0">
      <alignment vertical="center"/>
    </xf>
    <xf numFmtId="41" fontId="0" fillId="0" borderId="0" applyFont="0" applyFill="0" applyBorder="0" applyAlignment="0" applyProtection="0">
      <alignment vertical="center"/>
    </xf>
    <xf numFmtId="0" fontId="0" fillId="12" borderId="0" applyNumberFormat="0" applyBorder="0" applyAlignment="0" applyProtection="0">
      <alignment vertical="center"/>
    </xf>
    <xf numFmtId="0" fontId="70" fillId="11" borderId="0" applyNumberFormat="0" applyBorder="0" applyAlignment="0" applyProtection="0">
      <alignment vertical="center"/>
    </xf>
    <xf numFmtId="43" fontId="0" fillId="0" borderId="0" applyFont="0" applyFill="0" applyBorder="0" applyAlignment="0" applyProtection="0">
      <alignment vertical="center"/>
    </xf>
    <xf numFmtId="0" fontId="72" fillId="30" borderId="0" applyNumberFormat="0" applyBorder="0" applyAlignment="0" applyProtection="0">
      <alignment vertical="center"/>
    </xf>
    <xf numFmtId="0" fontId="81" fillId="0" borderId="0" applyNumberFormat="0" applyFill="0" applyBorder="0" applyAlignment="0" applyProtection="0">
      <alignment vertical="center"/>
    </xf>
    <xf numFmtId="9" fontId="0" fillId="0" borderId="0" applyFont="0" applyFill="0" applyBorder="0" applyAlignment="0" applyProtection="0">
      <alignment vertical="center"/>
    </xf>
    <xf numFmtId="0" fontId="83" fillId="0" borderId="0" applyNumberFormat="0" applyFill="0" applyBorder="0" applyAlignment="0" applyProtection="0">
      <alignment vertical="center"/>
    </xf>
    <xf numFmtId="0" fontId="0" fillId="10" borderId="18" applyNumberFormat="0" applyFont="0" applyAlignment="0" applyProtection="0">
      <alignment vertical="center"/>
    </xf>
    <xf numFmtId="0" fontId="72" fillId="28" borderId="0" applyNumberFormat="0" applyBorder="0" applyAlignment="0" applyProtection="0">
      <alignment vertical="center"/>
    </xf>
    <xf numFmtId="0" fontId="71"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69" fillId="0" borderId="0" applyNumberFormat="0" applyFill="0" applyBorder="0" applyAlignment="0" applyProtection="0">
      <alignment vertical="center"/>
    </xf>
    <xf numFmtId="0" fontId="82" fillId="0" borderId="0" applyNumberFormat="0" applyFill="0" applyBorder="0" applyAlignment="0" applyProtection="0">
      <alignment vertical="center"/>
    </xf>
    <xf numFmtId="0" fontId="79" fillId="0" borderId="20" applyNumberFormat="0" applyFill="0" applyAlignment="0" applyProtection="0">
      <alignment vertical="center"/>
    </xf>
    <xf numFmtId="0" fontId="73" fillId="0" borderId="20" applyNumberFormat="0" applyFill="0" applyAlignment="0" applyProtection="0">
      <alignment vertical="center"/>
    </xf>
    <xf numFmtId="0" fontId="72" fillId="21" borderId="0" applyNumberFormat="0" applyBorder="0" applyAlignment="0" applyProtection="0">
      <alignment vertical="center"/>
    </xf>
    <xf numFmtId="0" fontId="71" fillId="0" borderId="22" applyNumberFormat="0" applyFill="0" applyAlignment="0" applyProtection="0">
      <alignment vertical="center"/>
    </xf>
    <xf numFmtId="0" fontId="72" fillId="22" borderId="0" applyNumberFormat="0" applyBorder="0" applyAlignment="0" applyProtection="0">
      <alignment vertical="center"/>
    </xf>
    <xf numFmtId="0" fontId="84" fillId="33" borderId="24" applyNumberFormat="0" applyAlignment="0" applyProtection="0">
      <alignment vertical="center"/>
    </xf>
    <xf numFmtId="0" fontId="85" fillId="33" borderId="21" applyNumberFormat="0" applyAlignment="0" applyProtection="0">
      <alignment vertical="center"/>
    </xf>
    <xf numFmtId="0" fontId="86" fillId="38" borderId="25" applyNumberFormat="0" applyAlignment="0" applyProtection="0">
      <alignment vertical="center"/>
    </xf>
    <xf numFmtId="0" fontId="0" fillId="24" borderId="0" applyNumberFormat="0" applyBorder="0" applyAlignment="0" applyProtection="0">
      <alignment vertical="center"/>
    </xf>
    <xf numFmtId="0" fontId="72" fillId="34" borderId="0" applyNumberFormat="0" applyBorder="0" applyAlignment="0" applyProtection="0">
      <alignment vertical="center"/>
    </xf>
    <xf numFmtId="0" fontId="78" fillId="0" borderId="23" applyNumberFormat="0" applyFill="0" applyAlignment="0" applyProtection="0">
      <alignment vertical="center"/>
    </xf>
    <xf numFmtId="0" fontId="77" fillId="0" borderId="0"/>
    <xf numFmtId="0" fontId="8" fillId="0" borderId="19" applyNumberFormat="0" applyFill="0" applyAlignment="0" applyProtection="0">
      <alignment vertical="center"/>
    </xf>
    <xf numFmtId="0" fontId="76" fillId="25" borderId="0" applyNumberFormat="0" applyBorder="0" applyAlignment="0" applyProtection="0">
      <alignment vertical="center"/>
    </xf>
    <xf numFmtId="0" fontId="80" fillId="31" borderId="0" applyNumberFormat="0" applyBorder="0" applyAlignment="0" applyProtection="0">
      <alignment vertical="center"/>
    </xf>
    <xf numFmtId="0" fontId="0" fillId="36" borderId="0" applyNumberFormat="0" applyBorder="0" applyAlignment="0" applyProtection="0">
      <alignment vertical="center"/>
    </xf>
    <xf numFmtId="0" fontId="72" fillId="18" borderId="0" applyNumberFormat="0" applyBorder="0" applyAlignment="0" applyProtection="0">
      <alignment vertical="center"/>
    </xf>
    <xf numFmtId="0" fontId="7" fillId="0" borderId="0">
      <alignment vertical="center"/>
    </xf>
    <xf numFmtId="0" fontId="0" fillId="26" borderId="0" applyNumberFormat="0" applyBorder="0" applyAlignment="0" applyProtection="0">
      <alignment vertical="center"/>
    </xf>
    <xf numFmtId="0" fontId="0" fillId="14" borderId="0" applyNumberFormat="0" applyBorder="0" applyAlignment="0" applyProtection="0">
      <alignment vertical="center"/>
    </xf>
    <xf numFmtId="0" fontId="75" fillId="0" borderId="0">
      <alignment vertical="center"/>
    </xf>
    <xf numFmtId="0" fontId="0" fillId="37" borderId="0" applyNumberFormat="0" applyBorder="0" applyAlignment="0" applyProtection="0">
      <alignment vertical="center"/>
    </xf>
    <xf numFmtId="0" fontId="0" fillId="39" borderId="0" applyNumberFormat="0" applyBorder="0" applyAlignment="0" applyProtection="0">
      <alignment vertical="center"/>
    </xf>
    <xf numFmtId="0" fontId="72" fillId="16" borderId="0" applyNumberFormat="0" applyBorder="0" applyAlignment="0" applyProtection="0">
      <alignment vertical="center"/>
    </xf>
    <xf numFmtId="0" fontId="72" fillId="19" borderId="0" applyNumberFormat="0" applyBorder="0" applyAlignment="0" applyProtection="0">
      <alignment vertical="center"/>
    </xf>
    <xf numFmtId="0" fontId="0" fillId="27" borderId="0" applyNumberFormat="0" applyBorder="0" applyAlignment="0" applyProtection="0">
      <alignment vertical="center"/>
    </xf>
    <xf numFmtId="0" fontId="0" fillId="15" borderId="0" applyNumberFormat="0" applyBorder="0" applyAlignment="0" applyProtection="0">
      <alignment vertical="center"/>
    </xf>
    <xf numFmtId="0" fontId="7" fillId="0" borderId="0"/>
    <xf numFmtId="0" fontId="27" fillId="0" borderId="0"/>
    <xf numFmtId="0" fontId="72" fillId="35" borderId="0" applyNumberFormat="0" applyBorder="0" applyAlignment="0" applyProtection="0">
      <alignment vertical="center"/>
    </xf>
    <xf numFmtId="0" fontId="0" fillId="8" borderId="0" applyNumberFormat="0" applyBorder="0" applyAlignment="0" applyProtection="0">
      <alignment vertical="center"/>
    </xf>
    <xf numFmtId="0" fontId="72" fillId="29" borderId="0" applyNumberFormat="0" applyBorder="0" applyAlignment="0" applyProtection="0">
      <alignment vertical="center"/>
    </xf>
    <xf numFmtId="0" fontId="72" fillId="17" borderId="0" applyNumberFormat="0" applyBorder="0" applyAlignment="0" applyProtection="0">
      <alignment vertical="center"/>
    </xf>
    <xf numFmtId="0" fontId="7" fillId="0" borderId="0">
      <alignment vertical="center"/>
    </xf>
    <xf numFmtId="0" fontId="0" fillId="13" borderId="0" applyNumberFormat="0" applyBorder="0" applyAlignment="0" applyProtection="0">
      <alignment vertical="center"/>
    </xf>
    <xf numFmtId="0" fontId="72" fillId="32" borderId="0" applyNumberFormat="0" applyBorder="0" applyAlignment="0" applyProtection="0">
      <alignment vertical="center"/>
    </xf>
    <xf numFmtId="0" fontId="23" fillId="0" borderId="0"/>
    <xf numFmtId="0" fontId="0" fillId="0" borderId="0"/>
    <xf numFmtId="0" fontId="27"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 fillId="0" borderId="0"/>
    <xf numFmtId="0" fontId="7" fillId="0" borderId="0">
      <alignment vertical="center"/>
    </xf>
    <xf numFmtId="0" fontId="0" fillId="0" borderId="0">
      <alignment vertical="center"/>
    </xf>
    <xf numFmtId="0" fontId="2" fillId="0" borderId="0">
      <alignment vertical="center"/>
    </xf>
    <xf numFmtId="0" fontId="7" fillId="0" borderId="0">
      <alignment vertical="center"/>
    </xf>
    <xf numFmtId="0" fontId="7" fillId="0" borderId="0"/>
    <xf numFmtId="0" fontId="7" fillId="0" borderId="0"/>
    <xf numFmtId="43" fontId="7" fillId="0" borderId="0" applyFont="0" applyFill="0" applyBorder="0" applyAlignment="0" applyProtection="0">
      <alignment vertical="center"/>
    </xf>
    <xf numFmtId="0" fontId="7" fillId="0" borderId="0">
      <alignment vertical="center"/>
    </xf>
    <xf numFmtId="0" fontId="7" fillId="0" borderId="0">
      <alignment vertical="center"/>
    </xf>
    <xf numFmtId="0" fontId="23" fillId="0" borderId="0"/>
    <xf numFmtId="0" fontId="7" fillId="0" borderId="0">
      <alignment vertical="center"/>
    </xf>
    <xf numFmtId="0" fontId="7" fillId="0" borderId="0">
      <alignment vertical="center"/>
    </xf>
    <xf numFmtId="0" fontId="27" fillId="0" borderId="0"/>
    <xf numFmtId="0" fontId="7" fillId="0" borderId="0">
      <alignment vertical="center"/>
    </xf>
    <xf numFmtId="0" fontId="87" fillId="0" borderId="0"/>
    <xf numFmtId="0" fontId="87" fillId="0" borderId="0"/>
    <xf numFmtId="0" fontId="2" fillId="0" borderId="0">
      <alignment vertical="center"/>
    </xf>
    <xf numFmtId="0" fontId="0" fillId="0" borderId="0">
      <alignment vertical="center"/>
    </xf>
  </cellStyleXfs>
  <cellXfs count="796">
    <xf numFmtId="0" fontId="0" fillId="0" borderId="0" xfId="0">
      <alignment vertical="center"/>
    </xf>
    <xf numFmtId="0" fontId="1" fillId="0" borderId="1" xfId="0" applyFont="1" applyFill="1" applyBorder="1" applyAlignment="1">
      <alignment horizontal="left" vertical="center" wrapText="1"/>
    </xf>
    <xf numFmtId="0" fontId="0" fillId="0" borderId="1" xfId="0" applyFont="1" applyFill="1" applyBorder="1" applyAlignment="1">
      <alignment vertical="center"/>
    </xf>
    <xf numFmtId="0" fontId="0" fillId="0" borderId="0" xfId="0" applyFont="1" applyFill="1" applyAlignment="1">
      <alignment vertical="center"/>
    </xf>
    <xf numFmtId="0" fontId="2" fillId="0" borderId="1" xfId="0" applyFont="1" applyFill="1" applyBorder="1" applyAlignment="1">
      <alignment vertical="center"/>
    </xf>
    <xf numFmtId="0" fontId="2" fillId="0" borderId="0" xfId="0" applyFont="1" applyFill="1" applyAlignment="1">
      <alignment vertical="center"/>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0" fillId="0" borderId="0" xfId="0" applyAlignment="1">
      <alignment vertical="center"/>
    </xf>
    <xf numFmtId="0" fontId="4" fillId="0" borderId="0" xfId="58" applyFont="1" applyFill="1" applyBorder="1" applyAlignment="1"/>
    <xf numFmtId="0" fontId="5" fillId="0" borderId="0" xfId="0" applyFont="1" applyAlignment="1">
      <alignment horizontal="center" vertical="center"/>
    </xf>
    <xf numFmtId="0" fontId="0" fillId="0" borderId="0" xfId="0" applyFont="1" applyAlignment="1">
      <alignment horizontal="right" vertical="center"/>
    </xf>
    <xf numFmtId="0" fontId="6" fillId="0" borderId="1" xfId="0" applyFont="1" applyFill="1" applyBorder="1" applyAlignment="1">
      <alignment horizontal="center" vertical="center" wrapText="1"/>
    </xf>
    <xf numFmtId="0" fontId="7" fillId="0" borderId="1" xfId="0" applyNumberFormat="1" applyFont="1" applyFill="1" applyBorder="1" applyAlignment="1">
      <alignment horizontal="center" vertical="center"/>
    </xf>
    <xf numFmtId="0" fontId="7" fillId="0" borderId="1" xfId="0" applyFont="1" applyFill="1" applyBorder="1" applyAlignment="1">
      <alignment vertical="center"/>
    </xf>
    <xf numFmtId="177" fontId="7" fillId="0" borderId="1" xfId="0" applyNumberFormat="1" applyFont="1" applyFill="1" applyBorder="1" applyAlignment="1">
      <alignment horizontal="right" vertical="center"/>
    </xf>
    <xf numFmtId="10" fontId="7" fillId="0" borderId="1" xfId="0" applyNumberFormat="1" applyFont="1" applyFill="1" applyBorder="1" applyAlignment="1">
      <alignment horizontal="right" vertical="center"/>
    </xf>
    <xf numFmtId="177" fontId="7" fillId="0" borderId="1" xfId="0" applyNumberFormat="1" applyFont="1" applyFill="1" applyBorder="1" applyAlignment="1">
      <alignment vertical="center"/>
    </xf>
    <xf numFmtId="0" fontId="0" fillId="0" borderId="0" xfId="0" applyAlignment="1">
      <alignment horizontal="center" vertical="center"/>
    </xf>
    <xf numFmtId="0" fontId="8" fillId="0" borderId="0" xfId="0" applyFont="1">
      <alignment vertical="center"/>
    </xf>
    <xf numFmtId="0" fontId="0" fillId="0" borderId="0" xfId="0" applyAlignment="1">
      <alignment vertical="center" wrapText="1"/>
    </xf>
    <xf numFmtId="0" fontId="0" fillId="0" borderId="0" xfId="0" applyAlignment="1">
      <alignment horizontal="center" vertical="center" wrapText="1"/>
    </xf>
    <xf numFmtId="0" fontId="4" fillId="0" borderId="0" xfId="58" applyFont="1" applyFill="1" applyBorder="1" applyAlignment="1">
      <alignment vertical="center"/>
    </xf>
    <xf numFmtId="0" fontId="9" fillId="0" borderId="0" xfId="0" applyFont="1" applyAlignment="1">
      <alignment horizontal="center" vertical="center"/>
    </xf>
    <xf numFmtId="0" fontId="0" fillId="0" borderId="0" xfId="0" applyAlignment="1">
      <alignment horizontal="right" vertical="center"/>
    </xf>
    <xf numFmtId="0" fontId="10" fillId="0" borderId="1" xfId="0" applyFont="1" applyBorder="1" applyAlignment="1">
      <alignment horizontal="center" vertical="center"/>
    </xf>
    <xf numFmtId="0" fontId="10" fillId="0" borderId="1" xfId="0" applyFont="1" applyBorder="1" applyAlignment="1">
      <alignment horizontal="center" vertical="center" wrapText="1"/>
    </xf>
    <xf numFmtId="0" fontId="11" fillId="0" borderId="1" xfId="0" applyFont="1" applyBorder="1" applyAlignment="1">
      <alignment horizontal="center" vertical="center"/>
    </xf>
    <xf numFmtId="0" fontId="11" fillId="0" borderId="1" xfId="0" applyFont="1" applyBorder="1" applyAlignment="1">
      <alignment vertical="center" wrapText="1"/>
    </xf>
    <xf numFmtId="177" fontId="11" fillId="0" borderId="1" xfId="0" applyNumberFormat="1" applyFont="1" applyBorder="1" applyAlignment="1">
      <alignment horizontal="right" vertical="center" wrapText="1"/>
    </xf>
    <xf numFmtId="177" fontId="11" fillId="0" borderId="1" xfId="0" applyNumberFormat="1" applyFont="1" applyBorder="1" applyAlignment="1">
      <alignment horizontal="right" vertical="center"/>
    </xf>
    <xf numFmtId="0" fontId="10" fillId="0" borderId="4" xfId="0" applyFont="1" applyBorder="1" applyAlignment="1">
      <alignment horizontal="center" vertical="center"/>
    </xf>
    <xf numFmtId="0" fontId="10" fillId="0" borderId="5" xfId="0" applyFont="1" applyBorder="1" applyAlignment="1">
      <alignment horizontal="center" vertical="center"/>
    </xf>
    <xf numFmtId="177" fontId="10" fillId="0" borderId="1" xfId="0" applyNumberFormat="1" applyFont="1" applyBorder="1" applyAlignment="1">
      <alignment horizontal="right" vertical="center"/>
    </xf>
    <xf numFmtId="0" fontId="10" fillId="0" borderId="4" xfId="0" applyFont="1" applyBorder="1" applyAlignment="1">
      <alignment horizontal="center" vertical="center" wrapText="1"/>
    </xf>
    <xf numFmtId="0" fontId="10" fillId="0" borderId="5" xfId="0" applyFont="1" applyBorder="1" applyAlignment="1">
      <alignment horizontal="center" vertical="center" wrapText="1"/>
    </xf>
    <xf numFmtId="0" fontId="12" fillId="0" borderId="0" xfId="0" applyFont="1" applyFill="1" applyBorder="1" applyAlignment="1">
      <alignment vertical="center"/>
    </xf>
    <xf numFmtId="0" fontId="12" fillId="0" borderId="0" xfId="0" applyFont="1" applyFill="1" applyBorder="1" applyAlignment="1">
      <alignment horizontal="center" vertical="center"/>
    </xf>
    <xf numFmtId="176" fontId="12" fillId="0" borderId="0" xfId="0" applyNumberFormat="1" applyFont="1" applyFill="1" applyBorder="1" applyAlignment="1">
      <alignment vertical="center"/>
    </xf>
    <xf numFmtId="0" fontId="13" fillId="0" borderId="0" xfId="0" applyFont="1" applyFill="1" applyBorder="1" applyAlignment="1">
      <alignment horizontal="center" vertical="center"/>
    </xf>
    <xf numFmtId="0" fontId="14" fillId="0" borderId="0" xfId="0" applyFont="1" applyFill="1" applyBorder="1" applyAlignment="1">
      <alignment horizontal="center" vertical="center"/>
    </xf>
    <xf numFmtId="178" fontId="15" fillId="0" borderId="0" xfId="0" applyNumberFormat="1" applyFont="1" applyFill="1" applyBorder="1" applyAlignment="1">
      <alignment vertical="center"/>
    </xf>
    <xf numFmtId="176" fontId="12" fillId="0" borderId="0" xfId="0" applyNumberFormat="1" applyFont="1" applyFill="1" applyBorder="1" applyAlignment="1">
      <alignment horizontal="right" vertical="center"/>
    </xf>
    <xf numFmtId="0" fontId="16" fillId="0" borderId="2" xfId="0" applyNumberFormat="1" applyFont="1" applyFill="1" applyBorder="1" applyAlignment="1" applyProtection="1">
      <alignment horizontal="center" vertical="center" wrapText="1"/>
    </xf>
    <xf numFmtId="176" fontId="16" fillId="0" borderId="4" xfId="0" applyNumberFormat="1" applyFont="1" applyFill="1" applyBorder="1" applyAlignment="1" applyProtection="1">
      <alignment horizontal="center" vertical="center" wrapText="1"/>
    </xf>
    <xf numFmtId="176" fontId="16" fillId="0" borderId="5" xfId="0" applyNumberFormat="1" applyFont="1" applyFill="1" applyBorder="1" applyAlignment="1" applyProtection="1">
      <alignment horizontal="center" vertical="center" wrapText="1"/>
    </xf>
    <xf numFmtId="176" fontId="16" fillId="0" borderId="1" xfId="0" applyNumberFormat="1" applyFont="1" applyFill="1" applyBorder="1" applyAlignment="1" applyProtection="1">
      <alignment horizontal="center" vertical="center" wrapText="1"/>
    </xf>
    <xf numFmtId="176" fontId="16" fillId="0" borderId="2" xfId="0" applyNumberFormat="1" applyFont="1" applyFill="1" applyBorder="1" applyAlignment="1" applyProtection="1">
      <alignment horizontal="center" vertical="center" wrapText="1"/>
    </xf>
    <xf numFmtId="0" fontId="16" fillId="0" borderId="3" xfId="0" applyNumberFormat="1" applyFont="1" applyFill="1" applyBorder="1" applyAlignment="1" applyProtection="1">
      <alignment horizontal="center" vertical="center" wrapText="1"/>
    </xf>
    <xf numFmtId="176" fontId="16" fillId="0" borderId="3" xfId="0" applyNumberFormat="1" applyFont="1" applyFill="1" applyBorder="1" applyAlignment="1" applyProtection="1">
      <alignment horizontal="center" vertical="center" wrapText="1"/>
    </xf>
    <xf numFmtId="0" fontId="16" fillId="0" borderId="4" xfId="0" applyNumberFormat="1" applyFont="1" applyFill="1" applyBorder="1" applyAlignment="1" applyProtection="1">
      <alignment horizontal="center" vertical="center" wrapText="1"/>
    </xf>
    <xf numFmtId="0" fontId="16" fillId="0" borderId="5" xfId="0" applyNumberFormat="1" applyFont="1" applyFill="1" applyBorder="1" applyAlignment="1" applyProtection="1">
      <alignment horizontal="left" vertical="center" wrapText="1"/>
    </xf>
    <xf numFmtId="178" fontId="16" fillId="0" borderId="1" xfId="0" applyNumberFormat="1" applyFont="1" applyFill="1" applyBorder="1" applyAlignment="1" applyProtection="1">
      <alignment horizontal="right" vertical="center" wrapText="1"/>
    </xf>
    <xf numFmtId="0" fontId="17" fillId="0" borderId="1" xfId="0" applyNumberFormat="1" applyFont="1" applyFill="1" applyBorder="1" applyAlignment="1" applyProtection="1">
      <alignment horizontal="center" vertical="center" wrapText="1"/>
    </xf>
    <xf numFmtId="49" fontId="17" fillId="0" borderId="1" xfId="0" applyNumberFormat="1" applyFont="1" applyFill="1" applyBorder="1" applyAlignment="1" applyProtection="1">
      <alignment horizontal="left" vertical="center" wrapText="1"/>
    </xf>
    <xf numFmtId="178" fontId="17" fillId="0" borderId="1" xfId="0" applyNumberFormat="1" applyFont="1" applyFill="1" applyBorder="1" applyAlignment="1" applyProtection="1">
      <alignment horizontal="right" vertical="center" wrapText="1"/>
    </xf>
    <xf numFmtId="178" fontId="12" fillId="0" borderId="1" xfId="0" applyNumberFormat="1" applyFont="1" applyFill="1" applyBorder="1" applyAlignment="1">
      <alignment horizontal="right" vertical="center"/>
    </xf>
    <xf numFmtId="49" fontId="17" fillId="0" borderId="1" xfId="0" applyNumberFormat="1" applyFont="1" applyFill="1" applyBorder="1" applyAlignment="1" applyProtection="1">
      <alignment horizontal="center" vertical="center" wrapText="1"/>
    </xf>
    <xf numFmtId="0" fontId="17" fillId="0" borderId="1" xfId="0" applyNumberFormat="1" applyFont="1" applyFill="1" applyBorder="1" applyAlignment="1">
      <alignment horizontal="center" vertical="center"/>
    </xf>
    <xf numFmtId="0" fontId="17" fillId="0" borderId="1" xfId="0" applyFont="1" applyFill="1" applyBorder="1" applyAlignment="1">
      <alignment vertical="center"/>
    </xf>
    <xf numFmtId="176" fontId="12" fillId="0" borderId="1" xfId="0" applyNumberFormat="1" applyFont="1" applyFill="1" applyBorder="1" applyAlignment="1">
      <alignment horizontal="right" vertical="center"/>
    </xf>
    <xf numFmtId="0" fontId="15" fillId="0" borderId="0" xfId="0" applyFont="1" applyFill="1" applyBorder="1" applyAlignment="1">
      <alignment vertical="center"/>
    </xf>
    <xf numFmtId="0" fontId="0" fillId="0" borderId="0" xfId="0" applyFill="1" applyBorder="1" applyAlignment="1">
      <alignment vertical="center"/>
    </xf>
    <xf numFmtId="0" fontId="0" fillId="0" borderId="0" xfId="0" applyFont="1" applyFill="1" applyBorder="1" applyAlignment="1">
      <alignment vertical="center"/>
    </xf>
    <xf numFmtId="0" fontId="0" fillId="0" borderId="0" xfId="0" applyFill="1" applyBorder="1" applyAlignment="1">
      <alignment horizontal="center" vertical="center"/>
    </xf>
    <xf numFmtId="0" fontId="15" fillId="0" borderId="0" xfId="0" applyFont="1" applyFill="1" applyBorder="1" applyAlignment="1">
      <alignment horizontal="center" vertical="center"/>
    </xf>
    <xf numFmtId="0" fontId="0" fillId="0" borderId="0" xfId="0" applyFont="1" applyFill="1" applyBorder="1" applyAlignment="1">
      <alignment horizontal="center" vertical="center"/>
    </xf>
    <xf numFmtId="0" fontId="16" fillId="0" borderId="1" xfId="75" applyFont="1" applyFill="1" applyBorder="1" applyAlignment="1">
      <alignment horizontal="center" vertical="center" wrapText="1"/>
    </xf>
    <xf numFmtId="0" fontId="17" fillId="0" borderId="1" xfId="75" applyFont="1" applyFill="1" applyBorder="1" applyAlignment="1">
      <alignment horizontal="center" vertical="center" wrapText="1"/>
    </xf>
    <xf numFmtId="0" fontId="18" fillId="0" borderId="1" xfId="0" applyFont="1" applyFill="1" applyBorder="1" applyAlignment="1">
      <alignment horizontal="left" vertical="center" wrapText="1"/>
    </xf>
    <xf numFmtId="0" fontId="18" fillId="0" borderId="1" xfId="0" applyFont="1" applyFill="1" applyBorder="1" applyAlignment="1">
      <alignment horizontal="center" vertical="center" wrapText="1"/>
    </xf>
    <xf numFmtId="0" fontId="18" fillId="0" borderId="1" xfId="0" applyNumberFormat="1" applyFont="1" applyFill="1" applyBorder="1" applyAlignment="1">
      <alignment horizontal="left" vertical="center" wrapText="1"/>
    </xf>
    <xf numFmtId="0" fontId="18" fillId="0" borderId="1" xfId="0" applyFont="1" applyFill="1" applyBorder="1" applyAlignment="1">
      <alignment vertical="center" wrapText="1"/>
    </xf>
    <xf numFmtId="0" fontId="17" fillId="0" borderId="1" xfId="75" applyFont="1" applyFill="1" applyBorder="1" applyAlignment="1">
      <alignment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3" fillId="0" borderId="1" xfId="0" applyNumberFormat="1" applyFont="1" applyFill="1" applyBorder="1" applyAlignment="1">
      <alignment horizontal="left" vertical="center" wrapText="1"/>
    </xf>
    <xf numFmtId="0" fontId="3" fillId="0" borderId="1" xfId="0" applyFont="1" applyFill="1" applyBorder="1" applyAlignment="1">
      <alignment vertical="center" wrapText="1"/>
    </xf>
    <xf numFmtId="0" fontId="16" fillId="0" borderId="1" xfId="75" applyFont="1" applyFill="1" applyBorder="1" applyAlignment="1">
      <alignment vertical="center" wrapText="1"/>
    </xf>
    <xf numFmtId="49" fontId="17" fillId="0" borderId="1" xfId="73" applyNumberFormat="1" applyFont="1" applyFill="1" applyBorder="1" applyAlignment="1" applyProtection="1">
      <alignment vertical="center" wrapText="1"/>
    </xf>
    <xf numFmtId="0" fontId="17" fillId="2" borderId="1" xfId="0" applyFont="1" applyFill="1" applyBorder="1" applyAlignment="1">
      <alignment vertical="center" wrapText="1"/>
    </xf>
    <xf numFmtId="49" fontId="16" fillId="0" borderId="1" xfId="73" applyNumberFormat="1" applyFont="1" applyFill="1" applyBorder="1" applyAlignment="1" applyProtection="1">
      <alignment vertical="center" wrapText="1"/>
    </xf>
    <xf numFmtId="0" fontId="16" fillId="2" borderId="1" xfId="0" applyFont="1" applyFill="1" applyBorder="1" applyAlignment="1">
      <alignment vertical="center" wrapText="1"/>
    </xf>
    <xf numFmtId="49" fontId="16" fillId="0" borderId="1" xfId="0" applyNumberFormat="1" applyFont="1" applyFill="1" applyBorder="1" applyAlignment="1" applyProtection="1">
      <alignment horizontal="left" vertical="center" wrapText="1"/>
    </xf>
    <xf numFmtId="0" fontId="18" fillId="0" borderId="1" xfId="63" applyFont="1" applyFill="1" applyBorder="1" applyAlignment="1">
      <alignment horizontal="left" vertical="center" wrapText="1"/>
    </xf>
    <xf numFmtId="0" fontId="17" fillId="2" borderId="1" xfId="0" applyFont="1" applyFill="1" applyBorder="1" applyAlignment="1">
      <alignment horizontal="left" vertical="center" wrapText="1"/>
    </xf>
    <xf numFmtId="0" fontId="16" fillId="0" borderId="1" xfId="74" applyFont="1" applyFill="1" applyBorder="1" applyAlignment="1">
      <alignment horizontal="center" vertical="center" wrapText="1"/>
    </xf>
    <xf numFmtId="0" fontId="16" fillId="3" borderId="1" xfId="74" applyFont="1" applyFill="1" applyBorder="1" applyAlignment="1">
      <alignment horizontal="center" vertical="center" wrapText="1"/>
    </xf>
    <xf numFmtId="43" fontId="17" fillId="0" borderId="1" xfId="9" applyFont="1" applyFill="1" applyBorder="1" applyAlignment="1" applyProtection="1">
      <alignment vertical="center" wrapText="1"/>
    </xf>
    <xf numFmtId="43" fontId="16" fillId="0" borderId="1" xfId="9" applyFont="1" applyFill="1" applyBorder="1" applyAlignment="1" applyProtection="1">
      <alignment vertical="center" wrapText="1"/>
    </xf>
    <xf numFmtId="0" fontId="17" fillId="3" borderId="1" xfId="75" applyFont="1" applyFill="1" applyBorder="1" applyAlignment="1">
      <alignment vertical="center" wrapText="1"/>
    </xf>
    <xf numFmtId="0" fontId="16" fillId="3" borderId="1" xfId="75" applyFont="1" applyFill="1" applyBorder="1" applyAlignment="1">
      <alignment vertical="center" wrapText="1"/>
    </xf>
    <xf numFmtId="178" fontId="17" fillId="2" borderId="1" xfId="73" applyNumberFormat="1" applyFont="1" applyFill="1" applyBorder="1" applyAlignment="1" applyProtection="1">
      <alignment horizontal="right" vertical="center" wrapText="1"/>
    </xf>
    <xf numFmtId="178" fontId="17" fillId="0" borderId="1" xfId="73" applyNumberFormat="1" applyFont="1" applyFill="1" applyBorder="1" applyAlignment="1" applyProtection="1">
      <alignment horizontal="right" vertical="center" wrapText="1"/>
    </xf>
    <xf numFmtId="0" fontId="17" fillId="0" borderId="1" xfId="0" applyFont="1" applyFill="1" applyBorder="1" applyAlignment="1">
      <alignment horizontal="left" vertical="center" wrapText="1"/>
    </xf>
    <xf numFmtId="178" fontId="16" fillId="2" borderId="1" xfId="73" applyNumberFormat="1" applyFont="1" applyFill="1" applyBorder="1" applyAlignment="1" applyProtection="1">
      <alignment horizontal="right" vertical="center" wrapText="1"/>
    </xf>
    <xf numFmtId="0" fontId="16" fillId="0" borderId="1" xfId="0" applyFont="1" applyFill="1" applyBorder="1" applyAlignment="1">
      <alignment horizontal="left" vertical="center" wrapText="1"/>
    </xf>
    <xf numFmtId="0" fontId="17" fillId="0" borderId="1" xfId="0" applyFont="1" applyFill="1" applyBorder="1" applyAlignment="1">
      <alignment vertical="center" wrapText="1"/>
    </xf>
    <xf numFmtId="0" fontId="16" fillId="0" borderId="1" xfId="0" applyFont="1" applyFill="1" applyBorder="1" applyAlignment="1">
      <alignment vertical="center" wrapText="1"/>
    </xf>
    <xf numFmtId="0" fontId="17" fillId="3" borderId="1" xfId="0" applyFont="1" applyFill="1" applyBorder="1" applyAlignment="1">
      <alignment horizontal="left" vertical="center" wrapText="1"/>
    </xf>
    <xf numFmtId="178" fontId="16" fillId="0" borderId="1" xfId="73" applyNumberFormat="1" applyFont="1" applyFill="1" applyBorder="1" applyAlignment="1" applyProtection="1">
      <alignment horizontal="right" vertical="center" wrapText="1"/>
    </xf>
    <xf numFmtId="0" fontId="17" fillId="0" borderId="0" xfId="58" applyFont="1" applyFill="1" applyBorder="1" applyAlignment="1"/>
    <xf numFmtId="0" fontId="19" fillId="0" borderId="0" xfId="58" applyFont="1" applyFill="1" applyBorder="1" applyAlignment="1"/>
    <xf numFmtId="0" fontId="17" fillId="0" borderId="0" xfId="58" applyFont="1" applyFill="1" applyBorder="1" applyAlignment="1">
      <alignment vertical="center"/>
    </xf>
    <xf numFmtId="0" fontId="16" fillId="0" borderId="0" xfId="58" applyFont="1" applyFill="1" applyBorder="1" applyAlignment="1">
      <alignment vertical="center"/>
    </xf>
    <xf numFmtId="0" fontId="17" fillId="0" borderId="0" xfId="58" applyFont="1" applyFill="1" applyBorder="1" applyAlignment="1">
      <alignment horizontal="center"/>
    </xf>
    <xf numFmtId="0" fontId="7" fillId="0" borderId="0" xfId="0" applyFont="1" applyFill="1" applyBorder="1" applyAlignment="1">
      <alignment vertical="center"/>
    </xf>
    <xf numFmtId="178" fontId="20" fillId="0" borderId="0" xfId="48" applyNumberFormat="1" applyFont="1" applyFill="1" applyAlignment="1" applyProtection="1">
      <alignment horizontal="center" vertical="center"/>
    </xf>
    <xf numFmtId="0" fontId="17" fillId="0" borderId="0" xfId="48" applyNumberFormat="1" applyFont="1" applyFill="1" applyBorder="1" applyAlignment="1" applyProtection="1">
      <alignment vertical="center"/>
    </xf>
    <xf numFmtId="0" fontId="21" fillId="0" borderId="0" xfId="48" applyNumberFormat="1" applyFont="1" applyFill="1" applyBorder="1" applyAlignment="1" applyProtection="1">
      <alignment vertical="center"/>
    </xf>
    <xf numFmtId="176" fontId="17" fillId="0" borderId="0" xfId="58" applyNumberFormat="1" applyFont="1" applyFill="1" applyBorder="1" applyAlignment="1">
      <alignment vertical="center"/>
    </xf>
    <xf numFmtId="0" fontId="3" fillId="0" borderId="2" xfId="48" applyNumberFormat="1" applyFont="1" applyFill="1" applyBorder="1" applyAlignment="1" applyProtection="1">
      <alignment horizontal="center" vertical="center"/>
    </xf>
    <xf numFmtId="0" fontId="16" fillId="0" borderId="4" xfId="76" applyNumberFormat="1" applyFont="1" applyFill="1" applyBorder="1" applyAlignment="1" applyProtection="1">
      <alignment horizontal="center" vertical="center" wrapText="1"/>
    </xf>
    <xf numFmtId="0" fontId="16" fillId="0" borderId="6" xfId="76" applyNumberFormat="1" applyFont="1" applyFill="1" applyBorder="1" applyAlignment="1" applyProtection="1">
      <alignment horizontal="center" vertical="center" wrapText="1"/>
    </xf>
    <xf numFmtId="0" fontId="16" fillId="0" borderId="5" xfId="76" applyNumberFormat="1" applyFont="1" applyFill="1" applyBorder="1" applyAlignment="1" applyProtection="1">
      <alignment horizontal="center" vertical="center" wrapText="1"/>
    </xf>
    <xf numFmtId="0" fontId="16" fillId="0" borderId="1" xfId="76" applyNumberFormat="1" applyFont="1" applyFill="1" applyBorder="1" applyAlignment="1" applyProtection="1">
      <alignment horizontal="center" vertical="center" wrapText="1"/>
    </xf>
    <xf numFmtId="0" fontId="3" fillId="0" borderId="3" xfId="48" applyNumberFormat="1" applyFont="1" applyFill="1" applyBorder="1" applyAlignment="1" applyProtection="1">
      <alignment horizontal="center" vertical="center"/>
    </xf>
    <xf numFmtId="0" fontId="16" fillId="0" borderId="1" xfId="48" applyNumberFormat="1" applyFont="1" applyFill="1" applyBorder="1" applyAlignment="1" applyProtection="1">
      <alignment horizontal="center" vertical="center" wrapText="1"/>
    </xf>
    <xf numFmtId="176" fontId="16" fillId="0" borderId="1" xfId="48" applyNumberFormat="1" applyFont="1" applyFill="1" applyBorder="1" applyAlignment="1" applyProtection="1">
      <alignment horizontal="center" vertical="center" wrapText="1"/>
    </xf>
    <xf numFmtId="0" fontId="16" fillId="0" borderId="3" xfId="48" applyNumberFormat="1" applyFont="1" applyFill="1" applyBorder="1" applyAlignment="1" applyProtection="1">
      <alignment horizontal="left" vertical="center"/>
    </xf>
    <xf numFmtId="177" fontId="16" fillId="0" borderId="1" xfId="48" applyNumberFormat="1" applyFont="1" applyFill="1" applyBorder="1" applyAlignment="1" applyProtection="1">
      <alignment horizontal="right" vertical="center" wrapText="1"/>
    </xf>
    <xf numFmtId="177" fontId="17" fillId="0" borderId="1" xfId="48" applyNumberFormat="1" applyFont="1" applyFill="1" applyBorder="1" applyAlignment="1" applyProtection="1">
      <alignment horizontal="right" vertical="center"/>
    </xf>
    <xf numFmtId="0" fontId="16" fillId="0" borderId="1" xfId="48" applyNumberFormat="1" applyFont="1" applyFill="1" applyBorder="1" applyAlignment="1" applyProtection="1">
      <alignment horizontal="left" vertical="center"/>
    </xf>
    <xf numFmtId="177" fontId="16" fillId="0" borderId="1" xfId="48" applyNumberFormat="1" applyFont="1" applyFill="1" applyBorder="1" applyAlignment="1" applyProtection="1">
      <alignment horizontal="right" vertical="center"/>
    </xf>
    <xf numFmtId="0" fontId="17" fillId="0" borderId="1" xfId="48" applyNumberFormat="1" applyFont="1" applyFill="1" applyBorder="1" applyAlignment="1" applyProtection="1">
      <alignment horizontal="left" vertical="center"/>
    </xf>
    <xf numFmtId="177" fontId="17" fillId="0" borderId="1" xfId="48" applyNumberFormat="1" applyFont="1" applyFill="1" applyBorder="1" applyAlignment="1" applyProtection="1">
      <alignment horizontal="right" vertical="center" wrapText="1"/>
    </xf>
    <xf numFmtId="0" fontId="17" fillId="0" borderId="1" xfId="48" applyNumberFormat="1" applyFont="1" applyFill="1" applyBorder="1" applyAlignment="1" applyProtection="1">
      <alignment vertical="center"/>
    </xf>
    <xf numFmtId="177" fontId="17" fillId="0" borderId="1" xfId="58" applyNumberFormat="1" applyFont="1" applyFill="1" applyBorder="1" applyAlignment="1">
      <alignment horizontal="right" vertical="center"/>
    </xf>
    <xf numFmtId="0" fontId="17" fillId="0" borderId="0" xfId="48" applyNumberFormat="1" applyFont="1" applyFill="1" applyBorder="1" applyAlignment="1" applyProtection="1">
      <alignment horizontal="left" vertical="center" wrapText="1"/>
    </xf>
    <xf numFmtId="0" fontId="17" fillId="0" borderId="0" xfId="48" applyNumberFormat="1" applyFont="1" applyFill="1" applyBorder="1" applyAlignment="1" applyProtection="1">
      <alignment horizontal="right" vertical="center"/>
    </xf>
    <xf numFmtId="0" fontId="0" fillId="0" borderId="0" xfId="0" applyFill="1">
      <alignment vertical="center"/>
    </xf>
    <xf numFmtId="0" fontId="18" fillId="0" borderId="0" xfId="0" applyFont="1" applyFill="1">
      <alignment vertical="center"/>
    </xf>
    <xf numFmtId="0" fontId="0" fillId="0" borderId="0" xfId="0" applyFont="1" applyFill="1">
      <alignment vertical="center"/>
    </xf>
    <xf numFmtId="0" fontId="8" fillId="0" borderId="0" xfId="0" applyFont="1" applyFill="1" applyAlignment="1">
      <alignment vertical="center"/>
    </xf>
    <xf numFmtId="0" fontId="8" fillId="0" borderId="0" xfId="0" applyFont="1" applyFill="1">
      <alignment vertical="center"/>
    </xf>
    <xf numFmtId="176" fontId="8" fillId="0" borderId="0" xfId="0" applyNumberFormat="1" applyFont="1" applyFill="1" applyAlignment="1">
      <alignment vertical="center"/>
    </xf>
    <xf numFmtId="0" fontId="0" fillId="0" borderId="0" xfId="0" applyFont="1" applyFill="1" applyAlignment="1">
      <alignment horizontal="center" vertical="center"/>
    </xf>
    <xf numFmtId="0" fontId="0" fillId="0" borderId="0" xfId="0" applyFont="1" applyFill="1" applyAlignment="1">
      <alignment vertical="center" wrapText="1"/>
    </xf>
    <xf numFmtId="0" fontId="18" fillId="0" borderId="0" xfId="0" applyFont="1" applyFill="1" applyAlignment="1">
      <alignment vertical="center"/>
    </xf>
    <xf numFmtId="0" fontId="15" fillId="0" borderId="0" xfId="0" applyFont="1" applyFill="1" applyAlignment="1">
      <alignment horizontal="center" vertical="center"/>
    </xf>
    <xf numFmtId="0" fontId="22" fillId="0" borderId="0" xfId="0" applyFont="1" applyFill="1" applyAlignment="1">
      <alignment horizontal="center" vertical="center"/>
    </xf>
    <xf numFmtId="0" fontId="15" fillId="0" borderId="0" xfId="0" applyFont="1" applyFill="1" applyAlignment="1">
      <alignment horizontal="center" vertical="center" wrapText="1"/>
    </xf>
    <xf numFmtId="0" fontId="22" fillId="0" borderId="0" xfId="0" applyFont="1" applyFill="1" applyAlignment="1">
      <alignment horizontal="center" vertical="center" wrapText="1"/>
    </xf>
    <xf numFmtId="0" fontId="23" fillId="0" borderId="0" xfId="0" applyFont="1" applyFill="1" applyBorder="1" applyAlignment="1"/>
    <xf numFmtId="0" fontId="23" fillId="0" borderId="0" xfId="0" applyFont="1" applyFill="1" applyBorder="1" applyAlignment="1">
      <alignment wrapText="1"/>
    </xf>
    <xf numFmtId="0" fontId="24" fillId="0" borderId="0" xfId="0" applyFont="1" applyFill="1" applyBorder="1" applyAlignment="1"/>
    <xf numFmtId="0" fontId="8" fillId="0" borderId="1" xfId="0" applyFont="1" applyFill="1" applyBorder="1" applyAlignment="1">
      <alignment horizontal="center" vertical="center"/>
    </xf>
    <xf numFmtId="0" fontId="0" fillId="0" borderId="1" xfId="0" applyFont="1" applyFill="1" applyBorder="1" applyAlignment="1">
      <alignment horizontal="center" vertical="center"/>
    </xf>
    <xf numFmtId="0" fontId="18" fillId="0" borderId="1" xfId="0" applyNumberFormat="1" applyFont="1" applyFill="1" applyBorder="1" applyAlignment="1">
      <alignment horizontal="left" vertical="center"/>
    </xf>
    <xf numFmtId="0" fontId="3" fillId="0" borderId="1" xfId="0" applyNumberFormat="1" applyFont="1" applyFill="1" applyBorder="1" applyAlignment="1">
      <alignment horizontal="left" vertical="center"/>
    </xf>
    <xf numFmtId="0" fontId="25" fillId="0" borderId="1" xfId="0" applyFont="1" applyFill="1" applyBorder="1" applyAlignment="1">
      <alignment horizontal="left" vertical="center" wrapText="1"/>
    </xf>
    <xf numFmtId="0" fontId="17" fillId="0" borderId="1" xfId="0" applyNumberFormat="1" applyFont="1" applyFill="1" applyBorder="1" applyAlignment="1" applyProtection="1">
      <alignment vertical="center" wrapText="1"/>
    </xf>
    <xf numFmtId="0" fontId="0" fillId="0" borderId="1" xfId="0" applyNumberFormat="1" applyFont="1" applyFill="1" applyBorder="1" applyAlignment="1">
      <alignment horizontal="left" vertical="center"/>
    </xf>
    <xf numFmtId="0" fontId="0" fillId="0" borderId="1" xfId="0" applyFont="1" applyFill="1" applyBorder="1" applyAlignment="1">
      <alignment vertical="center" wrapText="1"/>
    </xf>
    <xf numFmtId="0" fontId="26" fillId="0" borderId="1" xfId="0" applyFont="1" applyFill="1" applyBorder="1" applyAlignment="1">
      <alignment horizontal="left" vertical="center" wrapText="1"/>
    </xf>
    <xf numFmtId="0" fontId="0" fillId="0" borderId="1" xfId="0" applyNumberFormat="1" applyFont="1" applyFill="1" applyBorder="1" applyAlignment="1">
      <alignment horizontal="left" vertical="center" wrapText="1"/>
    </xf>
    <xf numFmtId="0" fontId="27" fillId="0" borderId="0" xfId="0" applyFont="1" applyFill="1" applyAlignment="1">
      <alignment horizontal="right" vertical="center"/>
    </xf>
    <xf numFmtId="0" fontId="18" fillId="0" borderId="0" xfId="0" applyFont="1" applyFill="1" applyAlignment="1">
      <alignment horizontal="right" vertical="center" wrapText="1"/>
    </xf>
    <xf numFmtId="0" fontId="16" fillId="0" borderId="1" xfId="0" applyFont="1" applyFill="1" applyBorder="1" applyAlignment="1">
      <alignment horizontal="center" vertical="center" wrapText="1"/>
    </xf>
    <xf numFmtId="0" fontId="28" fillId="0" borderId="2"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28" fillId="0" borderId="3" xfId="0" applyFont="1" applyFill="1" applyBorder="1" applyAlignment="1">
      <alignment horizontal="center" vertical="center" wrapText="1"/>
    </xf>
    <xf numFmtId="178" fontId="3" fillId="0" borderId="1" xfId="0" applyNumberFormat="1" applyFont="1" applyFill="1" applyBorder="1" applyAlignment="1">
      <alignment vertical="center" wrapText="1"/>
    </xf>
    <xf numFmtId="178" fontId="3" fillId="3" borderId="1" xfId="0" applyNumberFormat="1" applyFont="1" applyFill="1" applyBorder="1" applyAlignment="1">
      <alignment vertical="center" wrapText="1"/>
    </xf>
    <xf numFmtId="180" fontId="3" fillId="0" borderId="1" xfId="0" applyNumberFormat="1" applyFont="1" applyFill="1" applyBorder="1" applyAlignment="1">
      <alignment vertical="center" wrapText="1"/>
    </xf>
    <xf numFmtId="0" fontId="0" fillId="0" borderId="1" xfId="0" applyFill="1" applyBorder="1" applyAlignment="1">
      <alignment vertical="center"/>
    </xf>
    <xf numFmtId="178" fontId="18" fillId="0" borderId="1" xfId="0" applyNumberFormat="1" applyFont="1" applyFill="1" applyBorder="1" applyAlignment="1">
      <alignment vertical="center" wrapText="1"/>
    </xf>
    <xf numFmtId="180" fontId="18" fillId="0" borderId="1" xfId="0" applyNumberFormat="1" applyFont="1" applyFill="1" applyBorder="1" applyAlignment="1">
      <alignment vertical="center" wrapText="1"/>
    </xf>
    <xf numFmtId="181" fontId="18" fillId="0" borderId="1" xfId="0" applyNumberFormat="1" applyFont="1" applyFill="1" applyBorder="1" applyAlignment="1">
      <alignment vertical="center" wrapText="1"/>
    </xf>
    <xf numFmtId="0" fontId="18" fillId="0" borderId="1" xfId="0" applyFont="1" applyFill="1" applyBorder="1" applyAlignment="1">
      <alignment vertical="center"/>
    </xf>
    <xf numFmtId="182" fontId="18" fillId="0" borderId="1" xfId="0" applyNumberFormat="1" applyFont="1" applyFill="1" applyBorder="1" applyAlignment="1">
      <alignment vertical="center" wrapText="1"/>
    </xf>
    <xf numFmtId="178" fontId="17" fillId="0" borderId="1" xfId="9" applyNumberFormat="1" applyFont="1" applyFill="1" applyBorder="1" applyAlignment="1" applyProtection="1">
      <alignment horizontal="right" vertical="center" wrapText="1"/>
    </xf>
    <xf numFmtId="43" fontId="17" fillId="0" borderId="1" xfId="9" applyNumberFormat="1" applyFont="1" applyFill="1" applyBorder="1" applyAlignment="1" applyProtection="1">
      <alignment horizontal="right" vertical="center" wrapText="1"/>
    </xf>
    <xf numFmtId="4" fontId="17" fillId="0" borderId="1" xfId="0" applyNumberFormat="1" applyFont="1" applyFill="1" applyBorder="1" applyAlignment="1" applyProtection="1">
      <alignment vertical="center" wrapText="1"/>
    </xf>
    <xf numFmtId="178" fontId="0" fillId="0" borderId="1" xfId="0" applyNumberFormat="1" applyFont="1" applyFill="1" applyBorder="1" applyAlignment="1">
      <alignment vertical="center" wrapText="1"/>
    </xf>
    <xf numFmtId="0" fontId="3" fillId="0" borderId="1" xfId="0" applyNumberFormat="1" applyFont="1" applyFill="1" applyBorder="1" applyAlignment="1">
      <alignment vertical="center" wrapText="1"/>
    </xf>
    <xf numFmtId="0" fontId="18" fillId="0" borderId="7" xfId="0" applyNumberFormat="1" applyFont="1" applyFill="1" applyBorder="1" applyAlignment="1">
      <alignment horizontal="left" vertical="center"/>
    </xf>
    <xf numFmtId="0" fontId="18" fillId="0" borderId="7" xfId="0" applyFont="1" applyFill="1" applyBorder="1" applyAlignment="1">
      <alignment vertical="center" wrapText="1"/>
    </xf>
    <xf numFmtId="0" fontId="17" fillId="0" borderId="1" xfId="0" applyNumberFormat="1" applyFont="1" applyFill="1" applyBorder="1" applyAlignment="1">
      <alignment vertical="center" wrapText="1"/>
    </xf>
    <xf numFmtId="0" fontId="17" fillId="0" borderId="1" xfId="0" applyNumberFormat="1" applyFont="1" applyFill="1" applyBorder="1" applyAlignment="1">
      <alignment horizontal="center" vertical="center" wrapText="1"/>
    </xf>
    <xf numFmtId="0" fontId="0" fillId="3" borderId="1" xfId="0" applyFont="1" applyFill="1" applyBorder="1" applyAlignment="1">
      <alignment horizontal="center" vertical="center"/>
    </xf>
    <xf numFmtId="0" fontId="18" fillId="3" borderId="1" xfId="0" applyNumberFormat="1" applyFont="1" applyFill="1" applyBorder="1" applyAlignment="1">
      <alignment horizontal="left" vertical="center"/>
    </xf>
    <xf numFmtId="0" fontId="3" fillId="3" borderId="1" xfId="0" applyFont="1" applyFill="1" applyBorder="1" applyAlignment="1">
      <alignment vertical="center" wrapText="1"/>
    </xf>
    <xf numFmtId="0" fontId="3" fillId="3" borderId="1" xfId="0" applyNumberFormat="1" applyFont="1" applyFill="1" applyBorder="1" applyAlignment="1">
      <alignment horizontal="center" vertical="center" wrapText="1"/>
    </xf>
    <xf numFmtId="0" fontId="18" fillId="3" borderId="1" xfId="0" applyNumberFormat="1" applyFont="1" applyFill="1" applyBorder="1" applyAlignment="1">
      <alignment horizontal="left" vertical="center" wrapText="1"/>
    </xf>
    <xf numFmtId="0" fontId="3" fillId="0" borderId="1" xfId="0" applyNumberFormat="1" applyFont="1" applyFill="1" applyBorder="1" applyAlignment="1">
      <alignment vertical="center"/>
    </xf>
    <xf numFmtId="0" fontId="3" fillId="0" borderId="1" xfId="0" applyNumberFormat="1" applyFont="1" applyFill="1" applyBorder="1" applyAlignment="1">
      <alignment horizontal="center" vertical="center"/>
    </xf>
    <xf numFmtId="0" fontId="16" fillId="0" borderId="1" xfId="0" applyNumberFormat="1" applyFont="1" applyFill="1" applyBorder="1" applyAlignment="1" applyProtection="1">
      <alignment vertical="center" wrapText="1"/>
    </xf>
    <xf numFmtId="176" fontId="3" fillId="3" borderId="1" xfId="0" applyNumberFormat="1" applyFont="1" applyFill="1" applyBorder="1" applyAlignment="1">
      <alignment horizontal="left" vertical="center"/>
    </xf>
    <xf numFmtId="176" fontId="3" fillId="3" borderId="1" xfId="0" applyNumberFormat="1" applyFont="1" applyFill="1" applyBorder="1" applyAlignment="1">
      <alignment vertical="center" wrapText="1"/>
    </xf>
    <xf numFmtId="176" fontId="3" fillId="3" borderId="1" xfId="0" applyNumberFormat="1" applyFont="1" applyFill="1" applyBorder="1" applyAlignment="1">
      <alignment horizontal="center" vertical="center" wrapText="1"/>
    </xf>
    <xf numFmtId="176" fontId="3" fillId="3" borderId="1" xfId="0" applyNumberFormat="1" applyFont="1" applyFill="1" applyBorder="1" applyAlignment="1">
      <alignment horizontal="left" vertical="center" wrapText="1"/>
    </xf>
    <xf numFmtId="0" fontId="8" fillId="0" borderId="1" xfId="0" applyFont="1" applyFill="1" applyBorder="1" applyAlignment="1">
      <alignment vertical="center"/>
    </xf>
    <xf numFmtId="180" fontId="3" fillId="3" borderId="1" xfId="0" applyNumberFormat="1" applyFont="1" applyFill="1" applyBorder="1" applyAlignment="1">
      <alignment vertical="center" wrapText="1"/>
    </xf>
    <xf numFmtId="0" fontId="8" fillId="3" borderId="1" xfId="0" applyFont="1" applyFill="1" applyBorder="1" applyAlignment="1">
      <alignment vertical="center"/>
    </xf>
    <xf numFmtId="178" fontId="18" fillId="3" borderId="1" xfId="0" applyNumberFormat="1" applyFont="1" applyFill="1" applyBorder="1" applyAlignment="1">
      <alignment vertical="center" wrapText="1"/>
    </xf>
    <xf numFmtId="181" fontId="8" fillId="3" borderId="1" xfId="0" applyNumberFormat="1" applyFont="1" applyFill="1" applyBorder="1" applyAlignment="1">
      <alignment vertical="center"/>
    </xf>
    <xf numFmtId="176" fontId="0" fillId="0" borderId="0" xfId="0" applyNumberFormat="1">
      <alignment vertical="center"/>
    </xf>
    <xf numFmtId="0" fontId="29" fillId="0" borderId="0" xfId="0" applyFont="1" applyFill="1">
      <alignment vertical="center"/>
    </xf>
    <xf numFmtId="176" fontId="29" fillId="0" borderId="0" xfId="0" applyNumberFormat="1" applyFont="1" applyFill="1">
      <alignment vertical="center"/>
    </xf>
    <xf numFmtId="0" fontId="4" fillId="0" borderId="0" xfId="0" applyFont="1" applyFill="1">
      <alignment vertical="center"/>
    </xf>
    <xf numFmtId="0" fontId="20" fillId="0" borderId="0" xfId="0" applyFont="1" applyFill="1" applyAlignment="1">
      <alignment horizontal="center" vertical="center"/>
    </xf>
    <xf numFmtId="0" fontId="29" fillId="0" borderId="0" xfId="0" applyFont="1" applyFill="1" applyAlignment="1">
      <alignment horizontal="center" vertical="center"/>
    </xf>
    <xf numFmtId="0" fontId="18" fillId="0" borderId="0" xfId="0" applyFont="1" applyFill="1" applyAlignment="1">
      <alignment horizontal="right" vertical="center"/>
    </xf>
    <xf numFmtId="0" fontId="6" fillId="0" borderId="1" xfId="0" applyNumberFormat="1" applyFont="1" applyFill="1" applyBorder="1" applyAlignment="1" applyProtection="1">
      <alignment horizontal="center" vertical="center" wrapText="1"/>
    </xf>
    <xf numFmtId="176" fontId="6" fillId="0" borderId="1" xfId="0" applyNumberFormat="1" applyFont="1" applyFill="1" applyBorder="1" applyAlignment="1" applyProtection="1">
      <alignment horizontal="center" vertical="center" wrapText="1"/>
    </xf>
    <xf numFmtId="0" fontId="29" fillId="0" borderId="1" xfId="0" applyFont="1" applyFill="1" applyBorder="1">
      <alignment vertical="center"/>
    </xf>
    <xf numFmtId="177" fontId="7" fillId="0" borderId="1" xfId="0" applyNumberFormat="1" applyFont="1" applyFill="1" applyBorder="1" applyAlignment="1" applyProtection="1">
      <alignment horizontal="right" vertical="center" wrapText="1"/>
    </xf>
    <xf numFmtId="176" fontId="7" fillId="0" borderId="4" xfId="0" applyNumberFormat="1" applyFont="1" applyFill="1" applyBorder="1" applyAlignment="1" applyProtection="1">
      <alignment horizontal="right" vertical="center" wrapText="1"/>
    </xf>
    <xf numFmtId="176" fontId="7" fillId="0" borderId="1" xfId="0" applyNumberFormat="1" applyFont="1" applyFill="1" applyBorder="1" applyAlignment="1" applyProtection="1">
      <alignment horizontal="right" vertical="center" wrapText="1"/>
    </xf>
    <xf numFmtId="183" fontId="0" fillId="0" borderId="1" xfId="61" applyNumberFormat="1" applyFont="1" applyBorder="1" applyAlignment="1">
      <alignment horizontal="right" vertical="center"/>
    </xf>
    <xf numFmtId="49" fontId="6" fillId="0" borderId="1" xfId="0" applyNumberFormat="1" applyFont="1" applyFill="1" applyBorder="1" applyAlignment="1" applyProtection="1">
      <alignment horizontal="center" vertical="center" wrapText="1"/>
    </xf>
    <xf numFmtId="177" fontId="6" fillId="0" borderId="1" xfId="0" applyNumberFormat="1" applyFont="1" applyFill="1" applyBorder="1" applyAlignment="1" applyProtection="1">
      <alignment horizontal="right" vertical="center" wrapText="1"/>
    </xf>
    <xf numFmtId="176" fontId="6" fillId="0" borderId="4" xfId="0" applyNumberFormat="1" applyFont="1" applyFill="1" applyBorder="1" applyAlignment="1" applyProtection="1">
      <alignment horizontal="right" vertical="center" wrapText="1"/>
    </xf>
    <xf numFmtId="176" fontId="6" fillId="0" borderId="1" xfId="0" applyNumberFormat="1" applyFont="1" applyFill="1" applyBorder="1" applyAlignment="1" applyProtection="1">
      <alignment horizontal="right" vertical="center" wrapText="1"/>
    </xf>
    <xf numFmtId="183" fontId="8" fillId="0" borderId="1" xfId="61" applyNumberFormat="1" applyFont="1" applyBorder="1" applyAlignment="1">
      <alignment horizontal="right" vertical="center"/>
    </xf>
    <xf numFmtId="0" fontId="7" fillId="0" borderId="1" xfId="0" applyNumberFormat="1" applyFont="1" applyFill="1" applyBorder="1" applyAlignment="1" applyProtection="1">
      <alignment vertical="center" wrapText="1"/>
    </xf>
    <xf numFmtId="176" fontId="7" fillId="0" borderId="1" xfId="9" applyNumberFormat="1" applyFont="1" applyFill="1" applyBorder="1" applyAlignment="1" applyProtection="1">
      <alignment horizontal="right" vertical="center" wrapText="1"/>
    </xf>
    <xf numFmtId="0" fontId="29" fillId="0" borderId="1" xfId="0" applyFont="1" applyFill="1" applyBorder="1" applyAlignment="1">
      <alignment vertical="center" wrapText="1"/>
    </xf>
    <xf numFmtId="0" fontId="30" fillId="0" borderId="1" xfId="0" applyFont="1" applyFill="1" applyBorder="1" applyAlignment="1">
      <alignment horizontal="center" vertical="center"/>
    </xf>
    <xf numFmtId="0" fontId="31" fillId="0" borderId="0" xfId="60" applyFont="1">
      <alignment vertical="center"/>
    </xf>
    <xf numFmtId="0" fontId="0" fillId="0" borderId="0" xfId="60" applyFont="1">
      <alignment vertical="center"/>
    </xf>
    <xf numFmtId="0" fontId="0" fillId="0" borderId="0" xfId="60" applyFont="1" applyAlignment="1">
      <alignment horizontal="center" vertical="center" wrapText="1"/>
    </xf>
    <xf numFmtId="0" fontId="8" fillId="0" borderId="0" xfId="61" applyFont="1">
      <alignment vertical="center"/>
    </xf>
    <xf numFmtId="0" fontId="0" fillId="0" borderId="0" xfId="61">
      <alignment vertical="center"/>
    </xf>
    <xf numFmtId="0" fontId="0" fillId="0" borderId="0" xfId="61" applyAlignment="1">
      <alignment vertical="center" wrapText="1"/>
    </xf>
    <xf numFmtId="0" fontId="0" fillId="0" borderId="0" xfId="61" applyAlignment="1">
      <alignment vertical="center" wrapText="1"/>
    </xf>
    <xf numFmtId="0" fontId="0" fillId="0" borderId="0" xfId="60" applyFill="1">
      <alignment vertical="center"/>
    </xf>
    <xf numFmtId="0" fontId="0" fillId="0" borderId="0" xfId="60" applyFill="1" applyAlignment="1">
      <alignment horizontal="right" vertical="center"/>
    </xf>
    <xf numFmtId="0" fontId="0" fillId="0" borderId="0" xfId="60" applyAlignment="1">
      <alignment horizontal="right" vertical="center"/>
    </xf>
    <xf numFmtId="0" fontId="0" fillId="0" borderId="0" xfId="60">
      <alignment vertical="center"/>
    </xf>
    <xf numFmtId="0" fontId="32" fillId="0" borderId="0" xfId="60" applyFont="1" applyFill="1">
      <alignment vertical="center"/>
    </xf>
    <xf numFmtId="0" fontId="14" fillId="0" borderId="0" xfId="53" applyFont="1" applyFill="1" applyAlignment="1" applyProtection="1">
      <alignment horizontal="center" vertical="center"/>
      <protection locked="0"/>
    </xf>
    <xf numFmtId="184" fontId="33" fillId="0" borderId="0" xfId="53" applyNumberFormat="1" applyFont="1" applyFill="1" applyAlignment="1" applyProtection="1">
      <alignment vertical="center" wrapText="1"/>
      <protection locked="0"/>
    </xf>
    <xf numFmtId="184" fontId="33" fillId="0" borderId="0" xfId="53" applyNumberFormat="1" applyFont="1" applyFill="1" applyAlignment="1" applyProtection="1">
      <alignment horizontal="right" vertical="center" wrapText="1"/>
      <protection locked="0"/>
    </xf>
    <xf numFmtId="183" fontId="12" fillId="0" borderId="8" xfId="53" applyNumberFormat="1" applyFont="1" applyFill="1" applyBorder="1" applyAlignment="1" applyProtection="1">
      <alignment vertical="center" wrapText="1"/>
      <protection locked="0"/>
    </xf>
    <xf numFmtId="184" fontId="34" fillId="0" borderId="1" xfId="53" applyNumberFormat="1" applyFont="1" applyFill="1" applyBorder="1" applyAlignment="1" applyProtection="1">
      <alignment horizontal="center" vertical="center" wrapText="1"/>
      <protection locked="0"/>
    </xf>
    <xf numFmtId="184" fontId="8" fillId="0" borderId="2" xfId="60" applyNumberFormat="1" applyFont="1" applyFill="1" applyBorder="1" applyAlignment="1">
      <alignment horizontal="center" vertical="center" wrapText="1"/>
    </xf>
    <xf numFmtId="184" fontId="8" fillId="0" borderId="1" xfId="60" applyNumberFormat="1" applyFont="1" applyFill="1" applyBorder="1" applyAlignment="1">
      <alignment horizontal="center" vertical="center" wrapText="1"/>
    </xf>
    <xf numFmtId="0" fontId="16" fillId="4" borderId="1" xfId="60" applyFont="1" applyFill="1" applyBorder="1" applyAlignment="1">
      <alignment horizontal="center" vertical="center" wrapText="1"/>
    </xf>
    <xf numFmtId="184" fontId="8" fillId="0" borderId="3" xfId="60" applyNumberFormat="1" applyFont="1" applyFill="1" applyBorder="1" applyAlignment="1">
      <alignment horizontal="center" vertical="center" wrapText="1"/>
    </xf>
    <xf numFmtId="49" fontId="34" fillId="0" borderId="1" xfId="69" applyNumberFormat="1" applyFont="1" applyFill="1" applyBorder="1" applyAlignment="1" applyProtection="1">
      <alignment horizontal="left" vertical="center" wrapText="1"/>
      <protection locked="0"/>
    </xf>
    <xf numFmtId="177" fontId="34" fillId="0" borderId="1" xfId="53" applyNumberFormat="1" applyFont="1" applyFill="1" applyBorder="1" applyAlignment="1" applyProtection="1">
      <alignment vertical="center" wrapText="1"/>
      <protection locked="0"/>
    </xf>
    <xf numFmtId="183" fontId="34" fillId="0" borderId="1" xfId="53" applyNumberFormat="1" applyFont="1" applyFill="1" applyBorder="1" applyAlignment="1" applyProtection="1">
      <alignment vertical="center" wrapText="1"/>
      <protection locked="0"/>
    </xf>
    <xf numFmtId="185" fontId="34" fillId="0" borderId="1" xfId="53" applyNumberFormat="1" applyFont="1" applyFill="1" applyBorder="1" applyAlignment="1" applyProtection="1">
      <alignment vertical="center" wrapText="1"/>
      <protection locked="0"/>
    </xf>
    <xf numFmtId="176" fontId="16" fillId="0" borderId="1" xfId="53" applyNumberFormat="1" applyFont="1" applyFill="1" applyBorder="1" applyAlignment="1" applyProtection="1">
      <alignment vertical="center" wrapText="1"/>
      <protection locked="0"/>
    </xf>
    <xf numFmtId="183" fontId="8" fillId="0" borderId="1" xfId="61" applyNumberFormat="1" applyFont="1" applyBorder="1" applyAlignment="1">
      <alignment vertical="center"/>
    </xf>
    <xf numFmtId="49" fontId="12" fillId="0" borderId="1" xfId="69" applyNumberFormat="1" applyFont="1" applyFill="1" applyBorder="1" applyAlignment="1" applyProtection="1">
      <alignment horizontal="left" vertical="center" wrapText="1"/>
      <protection locked="0"/>
    </xf>
    <xf numFmtId="177" fontId="12" fillId="0" borderId="1" xfId="53" applyNumberFormat="1" applyFont="1" applyFill="1" applyBorder="1" applyAlignment="1" applyProtection="1">
      <alignment vertical="center" wrapText="1"/>
      <protection locked="0"/>
    </xf>
    <xf numFmtId="177" fontId="12" fillId="0" borderId="1" xfId="69" applyNumberFormat="1" applyFont="1" applyFill="1" applyBorder="1" applyAlignment="1" applyProtection="1">
      <alignment vertical="center" wrapText="1"/>
      <protection locked="0"/>
    </xf>
    <xf numFmtId="183" fontId="12" fillId="0" borderId="1" xfId="53" applyNumberFormat="1" applyFont="1" applyFill="1" applyBorder="1" applyAlignment="1" applyProtection="1">
      <alignment vertical="center" wrapText="1"/>
      <protection locked="0"/>
    </xf>
    <xf numFmtId="185" fontId="12" fillId="0" borderId="1" xfId="53" applyNumberFormat="1" applyFont="1" applyFill="1" applyBorder="1" applyAlignment="1" applyProtection="1">
      <alignment vertical="center" wrapText="1"/>
      <protection locked="0"/>
    </xf>
    <xf numFmtId="176" fontId="18" fillId="0" borderId="1" xfId="61" applyNumberFormat="1" applyFont="1" applyBorder="1" applyAlignment="1">
      <alignment vertical="center"/>
    </xf>
    <xf numFmtId="183" fontId="0" fillId="0" borderId="1" xfId="61" applyNumberFormat="1" applyFont="1" applyBorder="1" applyAlignment="1">
      <alignment vertical="center"/>
    </xf>
    <xf numFmtId="49" fontId="12" fillId="4" borderId="1" xfId="69" applyNumberFormat="1" applyFont="1" applyFill="1" applyBorder="1" applyAlignment="1" applyProtection="1">
      <alignment horizontal="left" vertical="center" wrapText="1"/>
      <protection locked="0"/>
    </xf>
    <xf numFmtId="3" fontId="18" fillId="0" borderId="1" xfId="47" applyNumberFormat="1" applyFont="1" applyFill="1" applyBorder="1" applyAlignment="1" applyProtection="1">
      <alignment horizontal="left" vertical="center"/>
    </xf>
    <xf numFmtId="3" fontId="18" fillId="0" borderId="1" xfId="47" applyNumberFormat="1" applyFont="1" applyFill="1" applyBorder="1" applyAlignment="1" applyProtection="1">
      <alignment horizontal="left" vertical="center" wrapText="1"/>
    </xf>
    <xf numFmtId="3" fontId="18" fillId="0" borderId="1" xfId="47" applyNumberFormat="1" applyFont="1" applyFill="1" applyBorder="1" applyAlignment="1" applyProtection="1">
      <alignment vertical="center"/>
    </xf>
    <xf numFmtId="185" fontId="12" fillId="0" borderId="1" xfId="69" applyNumberFormat="1" applyFont="1" applyFill="1" applyBorder="1" applyAlignment="1" applyProtection="1">
      <alignment vertical="center" wrapText="1"/>
      <protection locked="0"/>
    </xf>
    <xf numFmtId="0" fontId="8" fillId="0" borderId="1" xfId="67" applyFont="1" applyFill="1" applyBorder="1" applyAlignment="1">
      <alignment vertical="center"/>
    </xf>
    <xf numFmtId="177" fontId="34" fillId="0" borderId="1" xfId="69" applyNumberFormat="1" applyFont="1" applyFill="1" applyBorder="1" applyAlignment="1" applyProtection="1">
      <alignment vertical="center" wrapText="1"/>
      <protection locked="0"/>
    </xf>
    <xf numFmtId="185" fontId="34" fillId="0" borderId="1" xfId="69" applyNumberFormat="1" applyFont="1" applyFill="1" applyBorder="1" applyAlignment="1" applyProtection="1">
      <alignment vertical="center" wrapText="1"/>
      <protection locked="0"/>
    </xf>
    <xf numFmtId="176" fontId="16" fillId="0" borderId="1" xfId="69" applyNumberFormat="1" applyFont="1" applyFill="1" applyBorder="1" applyAlignment="1" applyProtection="1">
      <alignment vertical="center" wrapText="1"/>
      <protection locked="0"/>
    </xf>
    <xf numFmtId="0" fontId="0" fillId="0" borderId="1" xfId="67" applyFont="1" applyFill="1" applyBorder="1" applyAlignment="1">
      <alignment vertical="center"/>
    </xf>
    <xf numFmtId="0" fontId="0" fillId="0" borderId="1" xfId="67" applyFont="1" applyFill="1" applyBorder="1" applyAlignment="1">
      <alignment vertical="center" wrapText="1"/>
    </xf>
    <xf numFmtId="176" fontId="18" fillId="0" borderId="1" xfId="61" applyNumberFormat="1" applyFont="1" applyBorder="1" applyAlignment="1">
      <alignment vertical="center" wrapText="1"/>
    </xf>
    <xf numFmtId="183" fontId="0" fillId="0" borderId="1" xfId="61" applyNumberFormat="1" applyFont="1" applyBorder="1" applyAlignment="1">
      <alignment vertical="center" wrapText="1"/>
    </xf>
    <xf numFmtId="0" fontId="8" fillId="0" borderId="1" xfId="61" applyFont="1" applyFill="1" applyBorder="1" applyAlignment="1">
      <alignment horizontal="center" vertical="center"/>
    </xf>
    <xf numFmtId="177" fontId="12" fillId="0" borderId="0" xfId="69" applyNumberFormat="1" applyFont="1" applyFill="1" applyBorder="1" applyAlignment="1" applyProtection="1">
      <alignment horizontal="right" vertical="center" wrapText="1"/>
      <protection locked="0"/>
    </xf>
    <xf numFmtId="177" fontId="12" fillId="0" borderId="0" xfId="69" applyNumberFormat="1" applyFont="1" applyFill="1" applyAlignment="1" applyProtection="1">
      <alignment horizontal="right" vertical="center" wrapText="1"/>
      <protection locked="0"/>
    </xf>
    <xf numFmtId="0" fontId="35" fillId="0" borderId="0" xfId="60" applyFont="1">
      <alignment vertical="center"/>
    </xf>
    <xf numFmtId="183" fontId="12" fillId="0" borderId="8" xfId="53" applyNumberFormat="1" applyFont="1" applyFill="1" applyBorder="1" applyAlignment="1" applyProtection="1">
      <alignment horizontal="right" vertical="center" wrapText="1"/>
      <protection locked="0"/>
    </xf>
    <xf numFmtId="9" fontId="0" fillId="0" borderId="0" xfId="12" applyFont="1" applyFill="1" applyBorder="1" applyAlignment="1" applyProtection="1">
      <alignment vertical="center"/>
    </xf>
    <xf numFmtId="0" fontId="0" fillId="0" borderId="0" xfId="60" applyAlignment="1">
      <alignment vertical="center" wrapText="1"/>
    </xf>
    <xf numFmtId="176" fontId="8" fillId="0" borderId="1" xfId="60" applyNumberFormat="1" applyFont="1" applyBorder="1" applyAlignment="1">
      <alignment vertical="center"/>
    </xf>
    <xf numFmtId="0" fontId="31" fillId="0" borderId="0" xfId="59" applyFont="1" applyFill="1" applyAlignment="1">
      <alignment vertical="center"/>
    </xf>
    <xf numFmtId="0" fontId="8" fillId="0" borderId="0" xfId="59" applyFont="1" applyFill="1" applyAlignment="1">
      <alignment vertical="center"/>
    </xf>
    <xf numFmtId="0" fontId="0" fillId="0" borderId="0" xfId="59" applyFont="1" applyFill="1" applyAlignment="1">
      <alignment vertical="center"/>
    </xf>
    <xf numFmtId="0" fontId="0" fillId="0" borderId="0" xfId="59" applyFont="1" applyFill="1" applyAlignment="1">
      <alignment horizontal="right" vertical="center"/>
    </xf>
    <xf numFmtId="0" fontId="32" fillId="0" borderId="0" xfId="59" applyFont="1" applyFill="1" applyAlignment="1">
      <alignment vertical="center"/>
    </xf>
    <xf numFmtId="184" fontId="8" fillId="0" borderId="2" xfId="0" applyNumberFormat="1" applyFont="1" applyFill="1" applyBorder="1" applyAlignment="1">
      <alignment horizontal="center" vertical="center" wrapText="1"/>
    </xf>
    <xf numFmtId="184" fontId="0" fillId="0" borderId="2" xfId="0" applyNumberFormat="1" applyFont="1" applyFill="1" applyBorder="1" applyAlignment="1">
      <alignment horizontal="center" vertical="center" wrapText="1"/>
    </xf>
    <xf numFmtId="0" fontId="0" fillId="0" borderId="1" xfId="59" applyFont="1" applyFill="1" applyBorder="1" applyAlignment="1">
      <alignment horizontal="center" vertical="center"/>
    </xf>
    <xf numFmtId="184" fontId="34" fillId="0" borderId="1" xfId="53" applyNumberFormat="1" applyFont="1" applyFill="1" applyBorder="1" applyAlignment="1" applyProtection="1">
      <alignment horizontal="left" vertical="center" wrapText="1"/>
      <protection locked="0"/>
    </xf>
    <xf numFmtId="177" fontId="34" fillId="0" borderId="1" xfId="69" applyNumberFormat="1" applyFont="1" applyFill="1" applyBorder="1" applyAlignment="1" applyProtection="1">
      <alignment horizontal="right" vertical="center" wrapText="1"/>
      <protection locked="0"/>
    </xf>
    <xf numFmtId="177" fontId="12" fillId="0" borderId="1" xfId="53" applyNumberFormat="1" applyFont="1" applyFill="1" applyBorder="1" applyAlignment="1" applyProtection="1">
      <alignment horizontal="right" vertical="center" wrapText="1"/>
      <protection locked="0"/>
    </xf>
    <xf numFmtId="177" fontId="0" fillId="0" borderId="1" xfId="61" applyNumberFormat="1" applyFont="1" applyFill="1" applyBorder="1">
      <alignment vertical="center"/>
    </xf>
    <xf numFmtId="177" fontId="12" fillId="0" borderId="1" xfId="69" applyNumberFormat="1" applyFont="1" applyFill="1" applyBorder="1" applyAlignment="1" applyProtection="1">
      <alignment horizontal="right" vertical="center" wrapText="1"/>
      <protection locked="0"/>
    </xf>
    <xf numFmtId="177" fontId="0" fillId="0" borderId="1" xfId="61" applyNumberFormat="1" applyFill="1" applyBorder="1">
      <alignment vertical="center"/>
    </xf>
    <xf numFmtId="0" fontId="8" fillId="0" borderId="1" xfId="61" applyFont="1" applyFill="1" applyBorder="1" applyAlignment="1">
      <alignment horizontal="left" vertical="center"/>
    </xf>
    <xf numFmtId="177" fontId="8" fillId="0" borderId="1" xfId="0" applyNumberFormat="1" applyFont="1" applyBorder="1">
      <alignment vertical="center"/>
    </xf>
    <xf numFmtId="177" fontId="8" fillId="0" borderId="1" xfId="0" applyNumberFormat="1" applyFont="1" applyFill="1" applyBorder="1">
      <alignment vertical="center"/>
    </xf>
    <xf numFmtId="176" fontId="0" fillId="0" borderId="0" xfId="59" applyNumberFormat="1" applyFont="1" applyFill="1" applyAlignment="1">
      <alignment horizontal="right" vertical="center"/>
    </xf>
    <xf numFmtId="178" fontId="0" fillId="0" borderId="0" xfId="59" applyNumberFormat="1" applyFont="1" applyFill="1" applyAlignment="1">
      <alignment horizontal="right" vertical="center"/>
    </xf>
    <xf numFmtId="0" fontId="18" fillId="0" borderId="0" xfId="0" applyFont="1" applyFill="1" applyAlignment="1">
      <alignment horizontal="center" vertical="center"/>
    </xf>
    <xf numFmtId="0" fontId="36" fillId="0" borderId="0" xfId="0" applyFont="1" applyFill="1" applyAlignment="1">
      <alignment horizontal="center" vertical="center"/>
    </xf>
    <xf numFmtId="0" fontId="3" fillId="0" borderId="1" xfId="0" applyFont="1" applyFill="1" applyBorder="1" applyAlignment="1">
      <alignment horizontal="center" vertical="center"/>
    </xf>
    <xf numFmtId="0" fontId="18" fillId="0" borderId="1" xfId="0" applyFont="1" applyFill="1" applyBorder="1" applyAlignment="1">
      <alignment horizontal="center" vertical="center"/>
    </xf>
    <xf numFmtId="178" fontId="3" fillId="0" borderId="1" xfId="0" applyNumberFormat="1" applyFont="1" applyFill="1" applyBorder="1" applyAlignment="1">
      <alignment horizontal="center" vertical="center"/>
    </xf>
    <xf numFmtId="0" fontId="18" fillId="0" borderId="1" xfId="0" applyFont="1" applyFill="1" applyBorder="1">
      <alignment vertical="center"/>
    </xf>
    <xf numFmtId="0" fontId="3" fillId="0" borderId="1" xfId="0" applyFont="1" applyFill="1" applyBorder="1" applyAlignment="1">
      <alignment vertical="center"/>
    </xf>
    <xf numFmtId="0" fontId="37" fillId="0" borderId="1" xfId="0" applyFont="1" applyFill="1" applyBorder="1" applyAlignment="1">
      <alignment horizontal="left" vertical="center" wrapText="1"/>
    </xf>
    <xf numFmtId="0" fontId="18" fillId="0" borderId="1" xfId="0" applyNumberFormat="1" applyFont="1" applyFill="1" applyBorder="1" applyAlignment="1">
      <alignment horizontal="center" vertical="center" wrapText="1"/>
    </xf>
    <xf numFmtId="0" fontId="18" fillId="0" borderId="1" xfId="0" applyNumberFormat="1" applyFont="1" applyFill="1" applyBorder="1" applyAlignment="1">
      <alignment horizontal="center" vertical="center"/>
    </xf>
    <xf numFmtId="0" fontId="38" fillId="0" borderId="1" xfId="0" applyFont="1" applyFill="1" applyBorder="1" applyAlignment="1">
      <alignment vertical="center" wrapText="1"/>
    </xf>
    <xf numFmtId="0" fontId="25" fillId="0" borderId="1" xfId="0" applyFont="1" applyFill="1" applyBorder="1" applyAlignment="1">
      <alignment horizontal="center" vertical="center" wrapText="1"/>
    </xf>
    <xf numFmtId="0" fontId="38" fillId="0" borderId="4" xfId="0" applyNumberFormat="1" applyFont="1" applyFill="1" applyBorder="1" applyAlignment="1">
      <alignment horizontal="center" vertical="center" wrapText="1"/>
    </xf>
    <xf numFmtId="49" fontId="27" fillId="0" borderId="1" xfId="0" applyNumberFormat="1" applyFont="1" applyFill="1" applyBorder="1" applyAlignment="1" applyProtection="1">
      <alignment horizontal="left" vertical="center"/>
    </xf>
    <xf numFmtId="0" fontId="36" fillId="0" borderId="0" xfId="0" applyFont="1" applyFill="1" applyAlignment="1">
      <alignment vertical="center"/>
    </xf>
    <xf numFmtId="0" fontId="29" fillId="0" borderId="0" xfId="0" applyFont="1" applyFill="1" applyAlignment="1">
      <alignment vertical="center"/>
    </xf>
    <xf numFmtId="43" fontId="3" fillId="0" borderId="1" xfId="9" applyFont="1" applyFill="1" applyBorder="1" applyAlignment="1">
      <alignment horizontal="center" vertical="center"/>
    </xf>
    <xf numFmtId="0" fontId="18" fillId="0" borderId="1" xfId="0" applyNumberFormat="1" applyFont="1" applyFill="1" applyBorder="1" applyAlignment="1">
      <alignment vertical="center" wrapText="1"/>
    </xf>
    <xf numFmtId="0" fontId="25" fillId="0" borderId="1" xfId="0" applyFont="1" applyFill="1" applyBorder="1" applyAlignment="1">
      <alignment vertical="center" wrapText="1"/>
    </xf>
    <xf numFmtId="43" fontId="3" fillId="0" borderId="1" xfId="9" applyFont="1" applyFill="1" applyBorder="1" applyAlignment="1">
      <alignment horizontal="center" vertical="center" wrapText="1"/>
    </xf>
    <xf numFmtId="0" fontId="18" fillId="0" borderId="4" xfId="0" applyNumberFormat="1" applyFont="1" applyFill="1" applyBorder="1" applyAlignment="1">
      <alignment vertical="center" wrapText="1"/>
    </xf>
    <xf numFmtId="0" fontId="0" fillId="0" borderId="0" xfId="0" applyFill="1" applyAlignment="1">
      <alignment vertical="center"/>
    </xf>
    <xf numFmtId="0" fontId="0" fillId="5" borderId="0" xfId="0" applyFill="1" applyAlignment="1">
      <alignment vertical="center" wrapText="1"/>
    </xf>
    <xf numFmtId="0" fontId="18" fillId="0" borderId="0" xfId="0" applyFont="1" applyFill="1" applyAlignment="1">
      <alignment vertical="center" wrapText="1"/>
    </xf>
    <xf numFmtId="0" fontId="39" fillId="0" borderId="0" xfId="0" applyFont="1" applyFill="1" applyAlignment="1">
      <alignment vertical="center"/>
    </xf>
    <xf numFmtId="0" fontId="8" fillId="5" borderId="0" xfId="0" applyFont="1" applyFill="1" applyAlignment="1">
      <alignment vertical="center" wrapText="1"/>
    </xf>
    <xf numFmtId="176" fontId="8" fillId="5" borderId="0" xfId="0" applyNumberFormat="1" applyFont="1" applyFill="1" applyAlignment="1">
      <alignment vertical="center" wrapText="1"/>
    </xf>
    <xf numFmtId="0" fontId="40" fillId="0" borderId="0" xfId="0" applyFont="1" applyFill="1" applyAlignment="1">
      <alignment horizontal="right" vertical="center"/>
    </xf>
    <xf numFmtId="0" fontId="40" fillId="0" borderId="0" xfId="0" applyFont="1" applyFill="1" applyAlignment="1">
      <alignment vertical="center"/>
    </xf>
    <xf numFmtId="0" fontId="18" fillId="0" borderId="0" xfId="0" applyFont="1">
      <alignment vertical="center"/>
    </xf>
    <xf numFmtId="0" fontId="15" fillId="0" borderId="0" xfId="0" applyFont="1" applyFill="1" applyAlignment="1">
      <alignment vertical="center"/>
    </xf>
    <xf numFmtId="0" fontId="23" fillId="0" borderId="0" xfId="0" applyFont="1" applyFill="1" applyBorder="1" applyAlignment="1">
      <alignment horizontal="center" vertical="center"/>
    </xf>
    <xf numFmtId="0" fontId="23" fillId="0" borderId="0" xfId="0" applyFont="1" applyFill="1" applyBorder="1" applyAlignment="1">
      <alignment vertical="center" wrapText="1"/>
    </xf>
    <xf numFmtId="0" fontId="24" fillId="0" borderId="0" xfId="0" applyFont="1" applyFill="1" applyBorder="1" applyAlignment="1">
      <alignment vertical="center" wrapText="1"/>
    </xf>
    <xf numFmtId="0" fontId="23" fillId="0" borderId="0" xfId="0" applyFont="1" applyFill="1" applyBorder="1" applyAlignment="1">
      <alignment vertical="center"/>
    </xf>
    <xf numFmtId="0" fontId="41" fillId="5" borderId="1" xfId="0" applyFont="1" applyFill="1" applyBorder="1" applyAlignment="1">
      <alignment horizontal="center" vertical="center" wrapText="1"/>
    </xf>
    <xf numFmtId="0" fontId="42" fillId="5" borderId="1" xfId="0" applyNumberFormat="1" applyFont="1" applyFill="1" applyBorder="1" applyAlignment="1">
      <alignment horizontal="center" vertical="center"/>
    </xf>
    <xf numFmtId="0" fontId="42" fillId="5" borderId="1" xfId="0" applyNumberFormat="1" applyFont="1" applyFill="1" applyBorder="1" applyAlignment="1">
      <alignment horizontal="center" vertical="center" wrapText="1"/>
    </xf>
    <xf numFmtId="49" fontId="43" fillId="5" borderId="1" xfId="0" applyNumberFormat="1" applyFont="1" applyFill="1" applyBorder="1" applyAlignment="1" applyProtection="1">
      <alignment horizontal="left" vertical="center" wrapText="1"/>
    </xf>
    <xf numFmtId="0" fontId="42" fillId="5" borderId="1" xfId="0" applyNumberFormat="1" applyFont="1" applyFill="1" applyBorder="1" applyAlignment="1">
      <alignment horizontal="left" vertical="center" wrapText="1"/>
    </xf>
    <xf numFmtId="0" fontId="42" fillId="5" borderId="1" xfId="0" applyFont="1" applyFill="1" applyBorder="1" applyAlignment="1">
      <alignment vertical="center" wrapText="1"/>
    </xf>
    <xf numFmtId="0" fontId="41" fillId="0" borderId="1" xfId="0" applyFont="1" applyFill="1" applyBorder="1" applyAlignment="1">
      <alignment horizontal="center" vertical="center"/>
    </xf>
    <xf numFmtId="0" fontId="38" fillId="0" borderId="1" xfId="0" applyNumberFormat="1" applyFont="1" applyFill="1" applyBorder="1" applyAlignment="1">
      <alignment horizontal="center" vertical="center" wrapText="1"/>
    </xf>
    <xf numFmtId="0" fontId="38" fillId="5" borderId="1" xfId="0" applyNumberFormat="1" applyFont="1" applyFill="1" applyBorder="1" applyAlignment="1">
      <alignment horizontal="center" vertical="center" wrapText="1"/>
    </xf>
    <xf numFmtId="0" fontId="44" fillId="0" borderId="1" xfId="0" applyFont="1" applyFill="1" applyBorder="1" applyAlignment="1">
      <alignment vertical="center" wrapText="1"/>
    </xf>
    <xf numFmtId="0" fontId="27" fillId="0" borderId="1" xfId="0" applyNumberFormat="1" applyFont="1" applyFill="1" applyBorder="1" applyAlignment="1">
      <alignment horizontal="center" vertical="center" wrapText="1"/>
    </xf>
    <xf numFmtId="0" fontId="27" fillId="0" borderId="1" xfId="0" applyNumberFormat="1" applyFont="1" applyFill="1" applyBorder="1" applyAlignment="1">
      <alignment vertical="center" wrapText="1"/>
    </xf>
    <xf numFmtId="0" fontId="1" fillId="0" borderId="1" xfId="0" applyNumberFormat="1" applyFont="1" applyFill="1" applyBorder="1" applyAlignment="1">
      <alignment horizontal="left" vertical="center" wrapText="1"/>
    </xf>
    <xf numFmtId="0" fontId="41" fillId="0" borderId="1" xfId="0" applyFont="1" applyFill="1" applyBorder="1" applyAlignment="1">
      <alignment vertical="center" wrapText="1"/>
    </xf>
    <xf numFmtId="0" fontId="1" fillId="0" borderId="1" xfId="0" applyFont="1" applyFill="1" applyBorder="1" applyAlignment="1">
      <alignment horizontal="center" vertical="center" wrapText="1"/>
    </xf>
    <xf numFmtId="0" fontId="41" fillId="0" borderId="1" xfId="0" applyFont="1" applyFill="1" applyBorder="1" applyAlignment="1">
      <alignment horizontal="center" vertical="center" wrapText="1"/>
    </xf>
    <xf numFmtId="0" fontId="38" fillId="3" borderId="1" xfId="0" applyNumberFormat="1" applyFont="1" applyFill="1" applyBorder="1" applyAlignment="1">
      <alignment horizontal="center" vertical="center" wrapText="1"/>
    </xf>
    <xf numFmtId="49" fontId="27" fillId="3" borderId="1" xfId="0" applyNumberFormat="1" applyFont="1" applyFill="1" applyBorder="1" applyAlignment="1" applyProtection="1">
      <alignment horizontal="left" vertical="center" wrapText="1"/>
    </xf>
    <xf numFmtId="0" fontId="38" fillId="3" borderId="1" xfId="0" applyNumberFormat="1" applyFont="1" applyFill="1" applyBorder="1" applyAlignment="1">
      <alignment horizontal="left" vertical="center" wrapText="1"/>
    </xf>
    <xf numFmtId="0" fontId="1" fillId="3" borderId="1" xfId="0" applyFont="1" applyFill="1" applyBorder="1" applyAlignment="1">
      <alignment horizontal="left" vertical="center" wrapText="1"/>
    </xf>
    <xf numFmtId="0" fontId="38" fillId="3" borderId="1" xfId="0" applyFont="1" applyFill="1" applyBorder="1" applyAlignment="1">
      <alignment vertical="center" wrapText="1"/>
    </xf>
    <xf numFmtId="0" fontId="45" fillId="0" borderId="0" xfId="0" applyFont="1" applyFill="1" applyAlignment="1">
      <alignment horizontal="right" vertical="center"/>
    </xf>
    <xf numFmtId="0" fontId="45" fillId="0" borderId="0" xfId="0" applyFont="1" applyFill="1" applyAlignment="1">
      <alignment horizontal="center" vertical="center"/>
    </xf>
    <xf numFmtId="0" fontId="23" fillId="0" borderId="0" xfId="0" applyFont="1" applyFill="1" applyAlignment="1">
      <alignment horizontal="right" vertical="center"/>
    </xf>
    <xf numFmtId="0" fontId="23" fillId="0" borderId="0" xfId="0" applyFont="1" applyFill="1" applyAlignment="1">
      <alignment horizontal="center" vertical="center"/>
    </xf>
    <xf numFmtId="0" fontId="27" fillId="0" borderId="0" xfId="0" applyFont="1" applyFill="1" applyAlignment="1">
      <alignment horizontal="center" vertical="center"/>
    </xf>
    <xf numFmtId="0" fontId="45" fillId="0" borderId="1" xfId="0" applyFont="1" applyFill="1" applyBorder="1" applyAlignment="1">
      <alignment horizontal="center" vertical="center" wrapText="1"/>
    </xf>
    <xf numFmtId="0" fontId="23" fillId="0" borderId="1" xfId="0" applyFont="1" applyFill="1" applyBorder="1" applyAlignment="1">
      <alignment horizontal="right" vertical="center" wrapText="1"/>
    </xf>
    <xf numFmtId="0" fontId="23" fillId="0" borderId="1" xfId="0" applyFont="1" applyFill="1" applyBorder="1" applyAlignment="1">
      <alignment horizontal="center" vertical="center" wrapText="1"/>
    </xf>
    <xf numFmtId="178" fontId="42" fillId="5" borderId="1" xfId="0" applyNumberFormat="1" applyFont="1" applyFill="1" applyBorder="1" applyAlignment="1">
      <alignment vertical="center" wrapText="1"/>
    </xf>
    <xf numFmtId="178" fontId="38" fillId="0" borderId="1" xfId="0" applyNumberFormat="1" applyFont="1" applyFill="1" applyBorder="1" applyAlignment="1">
      <alignment vertical="center" wrapText="1"/>
    </xf>
    <xf numFmtId="178" fontId="38" fillId="0" borderId="1" xfId="0" applyNumberFormat="1" applyFont="1" applyFill="1" applyBorder="1" applyAlignment="1">
      <alignment horizontal="right" vertical="center" wrapText="1"/>
    </xf>
    <xf numFmtId="178" fontId="38" fillId="3" borderId="1" xfId="0" applyNumberFormat="1" applyFont="1" applyFill="1" applyBorder="1" applyAlignment="1">
      <alignment vertical="center" wrapText="1"/>
    </xf>
    <xf numFmtId="178" fontId="42" fillId="0" borderId="1" xfId="0" applyNumberFormat="1" applyFont="1" applyFill="1" applyBorder="1" applyAlignment="1">
      <alignment vertical="center" wrapText="1"/>
    </xf>
    <xf numFmtId="0" fontId="18" fillId="0" borderId="0" xfId="0" applyFont="1" applyBorder="1" applyAlignment="1">
      <alignment vertical="center"/>
    </xf>
    <xf numFmtId="0" fontId="38" fillId="5" borderId="1" xfId="0" applyFont="1" applyFill="1" applyBorder="1" applyAlignment="1">
      <alignment vertical="center" wrapText="1"/>
    </xf>
    <xf numFmtId="0" fontId="18" fillId="5" borderId="1" xfId="0" applyFont="1" applyFill="1" applyBorder="1" applyAlignment="1">
      <alignment vertical="center" wrapText="1"/>
    </xf>
    <xf numFmtId="0" fontId="0" fillId="5" borderId="1" xfId="0" applyFill="1" applyBorder="1" applyAlignment="1">
      <alignment vertical="center" wrapText="1"/>
    </xf>
    <xf numFmtId="178" fontId="38" fillId="6" borderId="1" xfId="0" applyNumberFormat="1" applyFont="1" applyFill="1" applyBorder="1" applyAlignment="1">
      <alignment vertical="center" wrapText="1"/>
    </xf>
    <xf numFmtId="0" fontId="38" fillId="4" borderId="1" xfId="0" applyFont="1" applyFill="1" applyBorder="1" applyAlignment="1">
      <alignment vertical="center" wrapText="1"/>
    </xf>
    <xf numFmtId="180" fontId="42" fillId="5" borderId="1" xfId="0" applyNumberFormat="1" applyFont="1" applyFill="1" applyBorder="1" applyAlignment="1">
      <alignment vertical="center" wrapText="1"/>
    </xf>
    <xf numFmtId="0" fontId="38" fillId="0" borderId="1" xfId="0" applyNumberFormat="1" applyFont="1" applyFill="1" applyBorder="1" applyAlignment="1">
      <alignment vertical="center" wrapText="1"/>
    </xf>
    <xf numFmtId="0" fontId="41" fillId="0" borderId="1" xfId="0" applyNumberFormat="1" applyFont="1" applyFill="1" applyBorder="1" applyAlignment="1">
      <alignment vertical="center" wrapText="1"/>
    </xf>
    <xf numFmtId="180" fontId="38" fillId="3" borderId="1" xfId="0" applyNumberFormat="1" applyFont="1" applyFill="1" applyBorder="1" applyAlignment="1">
      <alignment vertical="center" wrapText="1"/>
    </xf>
    <xf numFmtId="0" fontId="0" fillId="0" borderId="1" xfId="0" applyFill="1" applyBorder="1" applyAlignment="1">
      <alignment vertical="center" wrapText="1"/>
    </xf>
    <xf numFmtId="49" fontId="27" fillId="0" borderId="1" xfId="0" applyNumberFormat="1" applyFont="1" applyFill="1" applyBorder="1" applyAlignment="1" applyProtection="1">
      <alignment horizontal="left" vertical="center" wrapText="1"/>
    </xf>
    <xf numFmtId="0" fontId="38" fillId="0" borderId="1" xfId="0" applyNumberFormat="1" applyFont="1" applyFill="1" applyBorder="1" applyAlignment="1">
      <alignment horizontal="left" vertical="center" wrapText="1"/>
    </xf>
    <xf numFmtId="0" fontId="1" fillId="3" borderId="1" xfId="0" applyFont="1" applyFill="1" applyBorder="1" applyAlignment="1">
      <alignment horizontal="center" vertical="center" wrapText="1"/>
    </xf>
    <xf numFmtId="0" fontId="27" fillId="0" borderId="1" xfId="0" applyFont="1" applyFill="1" applyBorder="1" applyAlignment="1">
      <alignment vertical="center" wrapText="1"/>
    </xf>
    <xf numFmtId="0" fontId="1" fillId="0" borderId="1" xfId="66" applyFont="1" applyBorder="1" applyAlignment="1">
      <alignment vertical="center" wrapText="1"/>
    </xf>
    <xf numFmtId="0" fontId="1" fillId="0" borderId="1" xfId="66" applyFont="1" applyFill="1" applyBorder="1" applyAlignment="1">
      <alignment vertical="center" wrapText="1"/>
    </xf>
    <xf numFmtId="0" fontId="46" fillId="0" borderId="1" xfId="0" applyFont="1" applyFill="1" applyBorder="1" applyAlignment="1">
      <alignment horizontal="left" vertical="center" wrapText="1"/>
    </xf>
    <xf numFmtId="0" fontId="46" fillId="3" borderId="1" xfId="0" applyFont="1" applyFill="1" applyBorder="1" applyAlignment="1">
      <alignment horizontal="left" vertical="center" wrapText="1"/>
    </xf>
    <xf numFmtId="0" fontId="1" fillId="3" borderId="1" xfId="66" applyFont="1" applyFill="1" applyBorder="1" applyAlignment="1">
      <alignment vertical="center" wrapText="1"/>
    </xf>
    <xf numFmtId="178" fontId="38" fillId="7" borderId="1" xfId="0" applyNumberFormat="1" applyFont="1" applyFill="1" applyBorder="1" applyAlignment="1">
      <alignment horizontal="right" vertical="center" wrapText="1"/>
    </xf>
    <xf numFmtId="178" fontId="42" fillId="7" borderId="1" xfId="0" applyNumberFormat="1" applyFont="1" applyFill="1" applyBorder="1" applyAlignment="1">
      <alignment vertical="center" wrapText="1"/>
    </xf>
    <xf numFmtId="178" fontId="38" fillId="0" borderId="1" xfId="0" applyNumberFormat="1" applyFont="1" applyFill="1" applyBorder="1" applyAlignment="1">
      <alignment horizontal="center" vertical="center" wrapText="1"/>
    </xf>
    <xf numFmtId="178" fontId="27" fillId="0" borderId="1" xfId="0" applyNumberFormat="1" applyFont="1" applyFill="1" applyBorder="1" applyAlignment="1">
      <alignment horizontal="right" vertical="center" wrapText="1"/>
    </xf>
    <xf numFmtId="178" fontId="27" fillId="0" borderId="1" xfId="0" applyNumberFormat="1" applyFont="1" applyFill="1" applyBorder="1" applyAlignment="1">
      <alignment vertical="center" wrapText="1"/>
    </xf>
    <xf numFmtId="180" fontId="38" fillId="0" borderId="1" xfId="0" applyNumberFormat="1" applyFont="1" applyFill="1" applyBorder="1" applyAlignment="1">
      <alignment vertical="center" wrapText="1"/>
    </xf>
    <xf numFmtId="0" fontId="43" fillId="0" borderId="1" xfId="0" applyFont="1" applyFill="1" applyBorder="1" applyAlignment="1">
      <alignment vertical="center" wrapText="1"/>
    </xf>
    <xf numFmtId="0" fontId="27" fillId="0" borderId="1" xfId="0" applyFont="1" applyFill="1" applyBorder="1" applyAlignment="1">
      <alignment horizontal="left" vertical="center" wrapText="1"/>
    </xf>
    <xf numFmtId="0" fontId="1" fillId="0" borderId="1" xfId="0" applyFont="1" applyFill="1" applyBorder="1" applyAlignment="1">
      <alignment vertical="center" wrapText="1"/>
    </xf>
    <xf numFmtId="178" fontId="44" fillId="0" borderId="1" xfId="0" applyNumberFormat="1" applyFont="1" applyFill="1" applyBorder="1" applyAlignment="1">
      <alignment vertical="center" wrapText="1"/>
    </xf>
    <xf numFmtId="178" fontId="41" fillId="0" borderId="1" xfId="0" applyNumberFormat="1" applyFont="1" applyFill="1" applyBorder="1" applyAlignment="1">
      <alignment horizontal="right" vertical="center"/>
    </xf>
    <xf numFmtId="178" fontId="1" fillId="0" borderId="1" xfId="0" applyNumberFormat="1" applyFont="1" applyFill="1" applyBorder="1" applyAlignment="1">
      <alignment horizontal="right" vertical="center" wrapText="1"/>
    </xf>
    <xf numFmtId="178" fontId="47" fillId="0" borderId="1" xfId="0" applyNumberFormat="1" applyFont="1" applyFill="1" applyBorder="1" applyAlignment="1">
      <alignment vertical="center"/>
    </xf>
    <xf numFmtId="178" fontId="41" fillId="0" borderId="1" xfId="0" applyNumberFormat="1" applyFont="1" applyFill="1" applyBorder="1" applyAlignment="1">
      <alignment vertical="center"/>
    </xf>
    <xf numFmtId="0" fontId="44" fillId="0" borderId="1" xfId="0" applyNumberFormat="1" applyFont="1" applyFill="1" applyBorder="1" applyAlignment="1">
      <alignment horizontal="center" vertical="center" wrapText="1"/>
    </xf>
    <xf numFmtId="180" fontId="42" fillId="0" borderId="1" xfId="0" applyNumberFormat="1" applyFont="1" applyFill="1" applyBorder="1" applyAlignment="1">
      <alignment vertical="center" wrapText="1"/>
    </xf>
    <xf numFmtId="180" fontId="44" fillId="0" borderId="1" xfId="0" applyNumberFormat="1" applyFont="1" applyFill="1" applyBorder="1" applyAlignment="1">
      <alignment vertical="center" wrapText="1"/>
    </xf>
    <xf numFmtId="49" fontId="43" fillId="0" borderId="1" xfId="0" applyNumberFormat="1" applyFont="1" applyFill="1" applyBorder="1" applyAlignment="1" applyProtection="1">
      <alignment horizontal="left" vertical="center" wrapText="1"/>
    </xf>
    <xf numFmtId="0" fontId="42" fillId="0" borderId="1" xfId="0" applyNumberFormat="1" applyFont="1" applyFill="1" applyBorder="1" applyAlignment="1">
      <alignment horizontal="left" vertical="center" wrapText="1"/>
    </xf>
    <xf numFmtId="0" fontId="42" fillId="0" borderId="1" xfId="0" applyFont="1" applyFill="1" applyBorder="1" applyAlignment="1">
      <alignment vertical="center" wrapText="1"/>
    </xf>
    <xf numFmtId="0" fontId="38" fillId="0" borderId="1" xfId="0" applyNumberFormat="1" applyFont="1" applyFill="1" applyBorder="1" applyAlignment="1">
      <alignment horizontal="left" vertical="center"/>
    </xf>
    <xf numFmtId="0" fontId="42" fillId="5" borderId="1" xfId="0" applyNumberFormat="1" applyFont="1" applyFill="1" applyBorder="1" applyAlignment="1">
      <alignment vertical="center" wrapText="1"/>
    </xf>
    <xf numFmtId="49" fontId="27" fillId="0" borderId="1" xfId="0" applyNumberFormat="1" applyFont="1" applyFill="1" applyBorder="1" applyAlignment="1" applyProtection="1">
      <alignment vertical="center" wrapText="1"/>
    </xf>
    <xf numFmtId="0" fontId="42" fillId="0" borderId="1" xfId="0" applyNumberFormat="1" applyFont="1" applyFill="1" applyBorder="1" applyAlignment="1">
      <alignment horizontal="center" vertical="center" wrapText="1"/>
    </xf>
    <xf numFmtId="0" fontId="42" fillId="0" borderId="1" xfId="0" applyNumberFormat="1" applyFont="1" applyFill="1" applyBorder="1" applyAlignment="1">
      <alignment vertical="center" wrapText="1"/>
    </xf>
    <xf numFmtId="0" fontId="42" fillId="0" borderId="1" xfId="0" applyNumberFormat="1" applyFont="1" applyFill="1" applyBorder="1" applyAlignment="1">
      <alignment vertical="center"/>
    </xf>
    <xf numFmtId="0" fontId="43" fillId="0" borderId="1" xfId="0" applyNumberFormat="1" applyFont="1" applyFill="1" applyBorder="1" applyAlignment="1" applyProtection="1">
      <alignment vertical="center" wrapText="1"/>
    </xf>
    <xf numFmtId="49" fontId="43" fillId="0" borderId="1" xfId="0" applyNumberFormat="1" applyFont="1" applyFill="1" applyBorder="1" applyAlignment="1" applyProtection="1">
      <alignment vertical="center" wrapText="1"/>
    </xf>
    <xf numFmtId="176" fontId="47" fillId="5" borderId="1" xfId="0" applyNumberFormat="1" applyFont="1" applyFill="1" applyBorder="1" applyAlignment="1">
      <alignment horizontal="center" vertical="center"/>
    </xf>
    <xf numFmtId="176" fontId="42" fillId="5" borderId="1" xfId="0" applyNumberFormat="1" applyFont="1" applyFill="1" applyBorder="1" applyAlignment="1">
      <alignment horizontal="center" vertical="center" wrapText="1"/>
    </xf>
    <xf numFmtId="176" fontId="42" fillId="5" borderId="1" xfId="0" applyNumberFormat="1" applyFont="1" applyFill="1" applyBorder="1" applyAlignment="1">
      <alignment vertical="center" wrapText="1"/>
    </xf>
    <xf numFmtId="178" fontId="42" fillId="5" borderId="1" xfId="0" applyNumberFormat="1" applyFont="1" applyFill="1" applyBorder="1" applyAlignment="1">
      <alignment horizontal="right" vertical="center" wrapText="1"/>
    </xf>
    <xf numFmtId="178" fontId="42" fillId="0" borderId="1" xfId="0" applyNumberFormat="1" applyFont="1" applyFill="1" applyBorder="1" applyAlignment="1">
      <alignment horizontal="right" vertical="center" wrapText="1"/>
    </xf>
    <xf numFmtId="0" fontId="3" fillId="5" borderId="1" xfId="0" applyFont="1" applyFill="1" applyBorder="1" applyAlignment="1">
      <alignment vertical="center" wrapText="1"/>
    </xf>
    <xf numFmtId="0" fontId="8" fillId="5" borderId="1" xfId="0" applyFont="1" applyFill="1" applyBorder="1" applyAlignment="1">
      <alignment vertical="center" wrapText="1"/>
    </xf>
    <xf numFmtId="9" fontId="42" fillId="5" borderId="1" xfId="12" applyFont="1" applyFill="1" applyBorder="1" applyAlignment="1">
      <alignment vertical="center" wrapText="1"/>
    </xf>
    <xf numFmtId="176" fontId="3" fillId="5" borderId="1" xfId="0" applyNumberFormat="1" applyFont="1" applyFill="1" applyBorder="1" applyAlignment="1">
      <alignment vertical="center" wrapText="1"/>
    </xf>
    <xf numFmtId="178" fontId="0" fillId="5" borderId="1" xfId="0" applyNumberFormat="1" applyFill="1" applyBorder="1" applyAlignment="1">
      <alignment vertical="center" wrapText="1"/>
    </xf>
    <xf numFmtId="0" fontId="48" fillId="0" borderId="0" xfId="0" applyFont="1" applyAlignment="1">
      <alignment vertical="center" wrapText="1"/>
    </xf>
    <xf numFmtId="0" fontId="49" fillId="0" borderId="0" xfId="0" applyFont="1" applyAlignment="1">
      <alignment vertical="center" wrapText="1"/>
    </xf>
    <xf numFmtId="0" fontId="50" fillId="0" borderId="0" xfId="0" applyFont="1" applyAlignment="1">
      <alignment vertical="center" wrapText="1"/>
    </xf>
    <xf numFmtId="0" fontId="51" fillId="5" borderId="0" xfId="0" applyFont="1" applyFill="1" applyAlignment="1">
      <alignment vertical="center" wrapText="1"/>
    </xf>
    <xf numFmtId="0" fontId="37" fillId="0" borderId="0" xfId="0" applyFont="1" applyFill="1" applyAlignment="1">
      <alignment vertical="center" wrapText="1"/>
    </xf>
    <xf numFmtId="0" fontId="52" fillId="5" borderId="0" xfId="0" applyFont="1" applyFill="1" applyAlignment="1">
      <alignment vertical="center" wrapText="1"/>
    </xf>
    <xf numFmtId="0" fontId="53" fillId="0" borderId="0" xfId="0" applyFont="1" applyFill="1" applyAlignment="1">
      <alignment horizontal="center" vertical="center"/>
    </xf>
    <xf numFmtId="0" fontId="48" fillId="0" borderId="0" xfId="0" applyFont="1" applyFill="1">
      <alignment vertical="center"/>
    </xf>
    <xf numFmtId="0" fontId="37" fillId="0" borderId="0" xfId="0" applyFont="1" applyFill="1">
      <alignment vertical="center"/>
    </xf>
    <xf numFmtId="0" fontId="37" fillId="0" borderId="0" xfId="0" applyFont="1" applyAlignment="1">
      <alignment vertical="center" wrapText="1"/>
    </xf>
    <xf numFmtId="0" fontId="54" fillId="0" borderId="0" xfId="0" applyFont="1">
      <alignment vertical="center"/>
    </xf>
    <xf numFmtId="0" fontId="53" fillId="0" borderId="0" xfId="0" applyFont="1" applyFill="1">
      <alignment vertical="center"/>
    </xf>
    <xf numFmtId="0" fontId="49" fillId="0" borderId="0" xfId="0" applyFont="1">
      <alignment vertical="center"/>
    </xf>
    <xf numFmtId="0" fontId="48" fillId="0" borderId="0" xfId="0" applyFont="1">
      <alignment vertical="center"/>
    </xf>
    <xf numFmtId="0" fontId="53" fillId="0" borderId="0" xfId="0" applyFont="1">
      <alignment vertical="center"/>
    </xf>
    <xf numFmtId="0" fontId="54" fillId="0" borderId="0" xfId="0" applyFont="1" applyFill="1">
      <alignment vertical="center"/>
    </xf>
    <xf numFmtId="0" fontId="48" fillId="0" borderId="0" xfId="0" applyFont="1" applyAlignment="1">
      <alignment horizontal="center" vertical="center" wrapText="1"/>
    </xf>
    <xf numFmtId="0" fontId="37" fillId="0" borderId="0" xfId="0" applyFont="1">
      <alignment vertical="center"/>
    </xf>
    <xf numFmtId="0" fontId="55" fillId="0" borderId="0" xfId="0" applyNumberFormat="1" applyFont="1" applyFill="1" applyAlignment="1" applyProtection="1">
      <alignment horizontal="centerContinuous" vertical="center"/>
    </xf>
    <xf numFmtId="0" fontId="51" fillId="0" borderId="0" xfId="0" applyNumberFormat="1" applyFont="1" applyFill="1" applyAlignment="1" applyProtection="1">
      <alignment horizontal="center" vertical="center" wrapText="1"/>
    </xf>
    <xf numFmtId="0" fontId="51" fillId="0" borderId="2" xfId="0" applyFont="1" applyFill="1" applyBorder="1" applyAlignment="1">
      <alignment horizontal="center" vertical="center"/>
    </xf>
    <xf numFmtId="0" fontId="51" fillId="0" borderId="2" xfId="0" applyFont="1" applyFill="1" applyBorder="1" applyAlignment="1">
      <alignment horizontal="center" vertical="center" wrapText="1"/>
    </xf>
    <xf numFmtId="0" fontId="51" fillId="0" borderId="2" xfId="0" applyNumberFormat="1" applyFont="1" applyFill="1" applyBorder="1" applyAlignment="1" applyProtection="1">
      <alignment horizontal="center" vertical="center" wrapText="1"/>
    </xf>
    <xf numFmtId="0" fontId="51" fillId="0" borderId="1" xfId="0" applyNumberFormat="1" applyFont="1" applyFill="1" applyBorder="1" applyAlignment="1" applyProtection="1">
      <alignment horizontal="center" vertical="center" wrapText="1"/>
    </xf>
    <xf numFmtId="0" fontId="51" fillId="0" borderId="9" xfId="0" applyFont="1" applyFill="1" applyBorder="1" applyAlignment="1">
      <alignment horizontal="center" vertical="center"/>
    </xf>
    <xf numFmtId="0" fontId="51" fillId="0" borderId="9" xfId="0" applyFont="1" applyFill="1" applyBorder="1" applyAlignment="1">
      <alignment horizontal="center" vertical="center" wrapText="1"/>
    </xf>
    <xf numFmtId="0" fontId="51" fillId="0" borderId="9" xfId="0" applyNumberFormat="1" applyFont="1" applyFill="1" applyBorder="1" applyAlignment="1" applyProtection="1">
      <alignment horizontal="center" vertical="center" wrapText="1"/>
    </xf>
    <xf numFmtId="0" fontId="51" fillId="0" borderId="3" xfId="0" applyFont="1" applyFill="1" applyBorder="1" applyAlignment="1">
      <alignment horizontal="center" vertical="center"/>
    </xf>
    <xf numFmtId="0" fontId="51" fillId="0" borderId="3" xfId="0" applyFont="1" applyFill="1" applyBorder="1" applyAlignment="1">
      <alignment horizontal="center" vertical="center" wrapText="1"/>
    </xf>
    <xf numFmtId="0" fontId="51" fillId="0" borderId="3" xfId="0" applyNumberFormat="1" applyFont="1" applyFill="1" applyBorder="1" applyAlignment="1" applyProtection="1">
      <alignment horizontal="center" vertical="center" wrapText="1"/>
    </xf>
    <xf numFmtId="0" fontId="50" fillId="0" borderId="1" xfId="0" applyNumberFormat="1" applyFont="1" applyFill="1" applyBorder="1" applyAlignment="1" applyProtection="1">
      <alignment horizontal="center" vertical="center" wrapText="1"/>
    </xf>
    <xf numFmtId="0" fontId="51" fillId="5" borderId="1" xfId="0" applyFont="1" applyFill="1" applyBorder="1" applyAlignment="1">
      <alignment horizontal="center" vertical="center" wrapText="1"/>
    </xf>
    <xf numFmtId="0" fontId="51" fillId="5" borderId="1" xfId="0" applyNumberFormat="1" applyFont="1" applyFill="1" applyBorder="1" applyAlignment="1" applyProtection="1">
      <alignment vertical="center" wrapText="1"/>
    </xf>
    <xf numFmtId="49" fontId="51" fillId="5" borderId="1" xfId="0" applyNumberFormat="1" applyFont="1" applyFill="1" applyBorder="1" applyAlignment="1" applyProtection="1">
      <alignment vertical="center" wrapText="1"/>
    </xf>
    <xf numFmtId="49" fontId="51" fillId="5" borderId="1" xfId="0" applyNumberFormat="1" applyFont="1" applyFill="1" applyBorder="1" applyAlignment="1" applyProtection="1">
      <alignment horizontal="center" vertical="center" wrapText="1"/>
    </xf>
    <xf numFmtId="180" fontId="51" fillId="5" borderId="1" xfId="0" applyNumberFormat="1" applyFont="1" applyFill="1" applyBorder="1" applyAlignment="1">
      <alignment vertical="center" wrapText="1"/>
    </xf>
    <xf numFmtId="49" fontId="51" fillId="5" borderId="1" xfId="0" applyNumberFormat="1" applyFont="1" applyFill="1" applyBorder="1" applyAlignment="1" applyProtection="1">
      <alignment horizontal="left" vertical="center" wrapText="1"/>
    </xf>
    <xf numFmtId="0" fontId="51" fillId="5" borderId="1" xfId="0" applyNumberFormat="1" applyFont="1" applyFill="1" applyBorder="1" applyAlignment="1" applyProtection="1">
      <alignment horizontal="center" vertical="center" wrapText="1"/>
    </xf>
    <xf numFmtId="0" fontId="51" fillId="0" borderId="1" xfId="0" applyFont="1" applyFill="1" applyBorder="1" applyAlignment="1">
      <alignment horizontal="center" vertical="center" wrapText="1"/>
    </xf>
    <xf numFmtId="0" fontId="50" fillId="0" borderId="1" xfId="0" applyFont="1" applyFill="1" applyBorder="1" applyAlignment="1">
      <alignment vertical="center" wrapText="1"/>
    </xf>
    <xf numFmtId="0" fontId="50" fillId="0" borderId="1" xfId="0" applyFont="1" applyFill="1" applyBorder="1" applyAlignment="1">
      <alignment horizontal="left" vertical="center" wrapText="1"/>
    </xf>
    <xf numFmtId="0" fontId="56" fillId="0" borderId="1" xfId="0" applyFont="1" applyFill="1" applyBorder="1" applyAlignment="1">
      <alignment horizontal="left" vertical="center" wrapText="1"/>
    </xf>
    <xf numFmtId="0" fontId="51" fillId="0" borderId="1" xfId="0" applyFont="1" applyFill="1" applyBorder="1" applyAlignment="1">
      <alignment vertical="center" wrapText="1"/>
    </xf>
    <xf numFmtId="180" fontId="50" fillId="0" borderId="1" xfId="0" applyNumberFormat="1" applyFont="1" applyFill="1" applyBorder="1" applyAlignment="1">
      <alignment vertical="center" wrapText="1"/>
    </xf>
    <xf numFmtId="0" fontId="48" fillId="0" borderId="0" xfId="0" applyFont="1" applyAlignment="1">
      <alignment horizontal="centerContinuous" vertical="center" wrapText="1"/>
    </xf>
    <xf numFmtId="0" fontId="49" fillId="3" borderId="1" xfId="0" applyFont="1" applyFill="1" applyBorder="1" applyAlignment="1">
      <alignment horizontal="center" vertical="center" wrapText="1"/>
    </xf>
    <xf numFmtId="0" fontId="27" fillId="0" borderId="1" xfId="0" applyNumberFormat="1" applyFont="1" applyFill="1" applyBorder="1" applyAlignment="1" applyProtection="1">
      <alignment horizontal="center" vertical="center" wrapText="1"/>
    </xf>
    <xf numFmtId="178" fontId="51" fillId="5" borderId="1" xfId="0" applyNumberFormat="1" applyFont="1" applyFill="1" applyBorder="1" applyAlignment="1">
      <alignment vertical="center" wrapText="1"/>
    </xf>
    <xf numFmtId="180" fontId="51" fillId="0" borderId="1" xfId="0" applyNumberFormat="1" applyFont="1" applyFill="1" applyBorder="1" applyAlignment="1">
      <alignment vertical="center" wrapText="1"/>
    </xf>
    <xf numFmtId="178" fontId="51" fillId="0" borderId="1" xfId="0" applyNumberFormat="1" applyFont="1" applyFill="1" applyBorder="1" applyAlignment="1">
      <alignment vertical="center" wrapText="1"/>
    </xf>
    <xf numFmtId="0" fontId="57" fillId="0" borderId="1" xfId="0" applyFont="1" applyFill="1" applyBorder="1" applyAlignment="1">
      <alignment vertical="center" wrapText="1"/>
    </xf>
    <xf numFmtId="0" fontId="49" fillId="0" borderId="1" xfId="0" applyFont="1" applyBorder="1" applyAlignment="1">
      <alignment horizontal="center" vertical="center" wrapText="1"/>
    </xf>
    <xf numFmtId="0" fontId="50" fillId="0" borderId="0" xfId="0" applyFont="1" applyAlignment="1">
      <alignment horizontal="centerContinuous" vertical="center" wrapText="1"/>
    </xf>
    <xf numFmtId="0" fontId="51" fillId="0" borderId="1" xfId="0" applyFont="1" applyBorder="1" applyAlignment="1">
      <alignment horizontal="center" vertical="center" wrapText="1"/>
    </xf>
    <xf numFmtId="0" fontId="54" fillId="0" borderId="2" xfId="0" applyFont="1" applyFill="1" applyBorder="1" applyAlignment="1">
      <alignment horizontal="center" vertical="center" wrapText="1"/>
    </xf>
    <xf numFmtId="0" fontId="49" fillId="0" borderId="2" xfId="0" applyFont="1" applyFill="1" applyBorder="1" applyAlignment="1">
      <alignment horizontal="center" vertical="center" wrapText="1"/>
    </xf>
    <xf numFmtId="0" fontId="54" fillId="0" borderId="9" xfId="0" applyFont="1" applyFill="1" applyBorder="1" applyAlignment="1">
      <alignment horizontal="center" vertical="center" wrapText="1"/>
    </xf>
    <xf numFmtId="0" fontId="49" fillId="0" borderId="9" xfId="0" applyFont="1" applyFill="1" applyBorder="1" applyAlignment="1">
      <alignment horizontal="center" vertical="center" wrapText="1"/>
    </xf>
    <xf numFmtId="0" fontId="52" fillId="0" borderId="3" xfId="0" applyFont="1" applyFill="1" applyBorder="1" applyAlignment="1">
      <alignment horizontal="center" vertical="center" wrapText="1"/>
    </xf>
    <xf numFmtId="43" fontId="50" fillId="0" borderId="0" xfId="9" applyFont="1" applyAlignment="1">
      <alignment vertical="center" wrapText="1"/>
    </xf>
    <xf numFmtId="0" fontId="51" fillId="5" borderId="1" xfId="0" applyFont="1" applyFill="1" applyBorder="1" applyAlignment="1">
      <alignment vertical="center" wrapText="1"/>
    </xf>
    <xf numFmtId="0" fontId="37" fillId="0" borderId="1" xfId="0" applyFont="1" applyFill="1" applyBorder="1" applyAlignment="1">
      <alignment vertical="center" wrapText="1"/>
    </xf>
    <xf numFmtId="0" fontId="50" fillId="4" borderId="1" xfId="0" applyFont="1" applyFill="1" applyBorder="1" applyAlignment="1">
      <alignment vertical="center" wrapText="1"/>
    </xf>
    <xf numFmtId="0" fontId="37" fillId="4" borderId="1" xfId="0" applyFont="1" applyFill="1" applyBorder="1" applyAlignment="1">
      <alignment vertical="center" wrapText="1"/>
    </xf>
    <xf numFmtId="0" fontId="50" fillId="5" borderId="1" xfId="0" applyFont="1" applyFill="1" applyBorder="1" applyAlignment="1">
      <alignment vertical="center" wrapText="1"/>
    </xf>
    <xf numFmtId="0" fontId="51" fillId="5" borderId="1" xfId="0" applyFont="1" applyFill="1" applyBorder="1" applyAlignment="1">
      <alignment horizontal="left" vertical="center" wrapText="1"/>
    </xf>
    <xf numFmtId="0" fontId="50" fillId="0" borderId="1" xfId="0" applyNumberFormat="1" applyFont="1" applyFill="1" applyBorder="1" applyAlignment="1">
      <alignment horizontal="left" vertical="center" wrapText="1"/>
    </xf>
    <xf numFmtId="0" fontId="50" fillId="4" borderId="1" xfId="0" applyNumberFormat="1" applyFont="1" applyFill="1" applyBorder="1" applyAlignment="1">
      <alignment horizontal="left" vertical="center" wrapText="1"/>
    </xf>
    <xf numFmtId="0" fontId="52" fillId="5" borderId="1" xfId="0" applyFont="1" applyFill="1" applyBorder="1" applyAlignment="1">
      <alignment vertical="center" wrapText="1"/>
    </xf>
    <xf numFmtId="0" fontId="51" fillId="5" borderId="1" xfId="0" applyNumberFormat="1" applyFont="1" applyFill="1" applyBorder="1" applyAlignment="1">
      <alignment horizontal="left" vertical="center" wrapText="1"/>
    </xf>
    <xf numFmtId="0" fontId="51" fillId="5" borderId="1" xfId="0" applyNumberFormat="1" applyFont="1" applyFill="1" applyBorder="1" applyAlignment="1">
      <alignment horizontal="center" vertical="center" wrapText="1"/>
    </xf>
    <xf numFmtId="0" fontId="50" fillId="0" borderId="1" xfId="0" applyNumberFormat="1" applyFont="1" applyFill="1" applyBorder="1" applyAlignment="1">
      <alignment vertical="center" wrapText="1"/>
    </xf>
    <xf numFmtId="0" fontId="56" fillId="0" borderId="1" xfId="0" applyNumberFormat="1" applyFont="1" applyFill="1" applyBorder="1" applyAlignment="1">
      <alignment horizontal="left" vertical="center" wrapText="1"/>
    </xf>
    <xf numFmtId="0" fontId="50" fillId="5" borderId="1" xfId="0" applyNumberFormat="1" applyFont="1" applyFill="1" applyBorder="1" applyAlignment="1">
      <alignment vertical="center" wrapText="1"/>
    </xf>
    <xf numFmtId="0" fontId="56" fillId="0" borderId="1" xfId="0" applyFont="1" applyFill="1" applyBorder="1" applyAlignment="1">
      <alignment vertical="center" wrapText="1"/>
    </xf>
    <xf numFmtId="0" fontId="50" fillId="0" borderId="1" xfId="0" applyFont="1" applyFill="1" applyBorder="1" applyAlignment="1">
      <alignment vertical="center"/>
    </xf>
    <xf numFmtId="0" fontId="38" fillId="0" borderId="1" xfId="0" applyFont="1" applyFill="1" applyBorder="1" applyAlignment="1">
      <alignment horizontal="left" vertical="center" wrapText="1"/>
    </xf>
    <xf numFmtId="0" fontId="50" fillId="0" borderId="1" xfId="0" applyFont="1" applyBorder="1" applyAlignment="1">
      <alignment vertical="center" wrapText="1"/>
    </xf>
    <xf numFmtId="0" fontId="53" fillId="0" borderId="1" xfId="0" applyFont="1" applyFill="1" applyBorder="1">
      <alignment vertical="center"/>
    </xf>
    <xf numFmtId="0" fontId="48" fillId="0" borderId="1" xfId="0" applyFont="1" applyFill="1" applyBorder="1">
      <alignment vertical="center"/>
    </xf>
    <xf numFmtId="0" fontId="48" fillId="0" borderId="1" xfId="0" applyFont="1" applyBorder="1">
      <alignment vertical="center"/>
    </xf>
    <xf numFmtId="0" fontId="53" fillId="0" borderId="1" xfId="0" applyFont="1" applyBorder="1">
      <alignment vertical="center"/>
    </xf>
    <xf numFmtId="0" fontId="54" fillId="0" borderId="1" xfId="0" applyFont="1" applyFill="1" applyBorder="1">
      <alignment vertical="center"/>
    </xf>
    <xf numFmtId="0" fontId="48" fillId="0" borderId="1" xfId="0" applyFont="1" applyBorder="1" applyAlignment="1">
      <alignment horizontal="center" vertical="center" wrapText="1"/>
    </xf>
    <xf numFmtId="178" fontId="50" fillId="0" borderId="1" xfId="0" applyNumberFormat="1" applyFont="1" applyFill="1" applyBorder="1" applyAlignment="1">
      <alignment vertical="center" wrapText="1"/>
    </xf>
    <xf numFmtId="0" fontId="48" fillId="0" borderId="1" xfId="0" applyFont="1" applyBorder="1" applyAlignment="1">
      <alignment vertical="center" wrapText="1"/>
    </xf>
    <xf numFmtId="0" fontId="53" fillId="0" borderId="1" xfId="0" applyFont="1" applyFill="1" applyBorder="1" applyAlignment="1">
      <alignment vertical="center"/>
    </xf>
    <xf numFmtId="0" fontId="8" fillId="5" borderId="0" xfId="0" applyFont="1" applyFill="1">
      <alignment vertical="center"/>
    </xf>
    <xf numFmtId="0" fontId="0" fillId="0" borderId="0" xfId="0" applyFill="1" applyAlignment="1">
      <alignment vertical="center" wrapText="1"/>
    </xf>
    <xf numFmtId="0" fontId="0" fillId="0" borderId="0" xfId="0" applyFill="1" applyAlignment="1">
      <alignment horizontal="center" vertical="center"/>
    </xf>
    <xf numFmtId="0" fontId="41" fillId="0" borderId="0" xfId="0" applyFont="1" applyFill="1" applyAlignment="1">
      <alignment vertical="center" wrapText="1"/>
    </xf>
    <xf numFmtId="0" fontId="58" fillId="0" borderId="0" xfId="0" applyNumberFormat="1" applyFont="1" applyFill="1" applyBorder="1" applyAlignment="1" applyProtection="1">
      <alignment horizontal="centerContinuous" vertical="center" wrapText="1"/>
    </xf>
    <xf numFmtId="0" fontId="58" fillId="0" borderId="0" xfId="0" applyNumberFormat="1" applyFont="1" applyFill="1" applyBorder="1" applyAlignment="1" applyProtection="1">
      <alignment horizontal="centerContinuous" vertical="center"/>
    </xf>
    <xf numFmtId="0" fontId="43" fillId="0" borderId="0" xfId="0" applyFont="1" applyFill="1" applyAlignment="1">
      <alignment horizontal="center" vertical="center" wrapText="1"/>
    </xf>
    <xf numFmtId="0" fontId="45" fillId="0" borderId="0" xfId="0" applyFont="1" applyFill="1" applyBorder="1" applyAlignment="1">
      <alignment vertical="center"/>
    </xf>
    <xf numFmtId="0" fontId="27" fillId="0" borderId="2" xfId="0" applyNumberFormat="1" applyFont="1" applyFill="1" applyBorder="1" applyAlignment="1" applyProtection="1">
      <alignment horizontal="center" vertical="center" wrapText="1"/>
    </xf>
    <xf numFmtId="0" fontId="16" fillId="0" borderId="4" xfId="0" applyNumberFormat="1" applyFont="1" applyFill="1" applyBorder="1" applyAlignment="1" applyProtection="1">
      <alignment horizontal="center" vertical="center"/>
    </xf>
    <xf numFmtId="0" fontId="17" fillId="0" borderId="6" xfId="0" applyNumberFormat="1" applyFont="1" applyFill="1" applyBorder="1" applyAlignment="1" applyProtection="1">
      <alignment horizontal="center" vertical="center"/>
    </xf>
    <xf numFmtId="0" fontId="27" fillId="0" borderId="3" xfId="0" applyNumberFormat="1" applyFont="1" applyFill="1" applyBorder="1" applyAlignment="1" applyProtection="1">
      <alignment horizontal="center" vertical="center" wrapText="1"/>
    </xf>
    <xf numFmtId="0" fontId="43" fillId="0" borderId="1" xfId="0" applyNumberFormat="1" applyFont="1" applyFill="1" applyBorder="1" applyAlignment="1" applyProtection="1">
      <alignment horizontal="center" vertical="center"/>
    </xf>
    <xf numFmtId="0" fontId="27" fillId="0" borderId="1" xfId="0" applyFont="1" applyFill="1" applyBorder="1" applyAlignment="1">
      <alignment horizontal="center" vertical="center" wrapText="1"/>
    </xf>
    <xf numFmtId="0" fontId="59" fillId="0" borderId="1" xfId="0" applyFont="1" applyFill="1" applyBorder="1" applyAlignment="1">
      <alignment horizontal="center" vertical="center" wrapText="1"/>
    </xf>
    <xf numFmtId="0" fontId="60" fillId="5" borderId="7" xfId="0" applyFont="1" applyFill="1" applyBorder="1" applyAlignment="1">
      <alignment horizontal="left" vertical="center" wrapText="1"/>
    </xf>
    <xf numFmtId="0" fontId="1" fillId="5" borderId="7" xfId="0" applyFont="1" applyFill="1" applyBorder="1" applyAlignment="1">
      <alignment horizontal="left" vertical="center" wrapText="1"/>
    </xf>
    <xf numFmtId="0" fontId="60" fillId="5" borderId="1" xfId="0" applyFont="1" applyFill="1" applyBorder="1" applyAlignment="1">
      <alignment horizontal="left" vertical="center" wrapText="1"/>
    </xf>
    <xf numFmtId="0" fontId="60" fillId="5" borderId="1" xfId="0" applyFont="1" applyFill="1" applyBorder="1" applyAlignment="1">
      <alignment horizontal="center" vertical="center" wrapText="1"/>
    </xf>
    <xf numFmtId="178" fontId="43" fillId="5" borderId="1" xfId="0" applyNumberFormat="1" applyFont="1" applyFill="1" applyBorder="1" applyAlignment="1" applyProtection="1">
      <alignment horizontal="right" vertical="center" wrapText="1"/>
    </xf>
    <xf numFmtId="0" fontId="1" fillId="0" borderId="7" xfId="0" applyFont="1" applyFill="1" applyBorder="1" applyAlignment="1">
      <alignment horizontal="left" vertical="center" wrapText="1"/>
    </xf>
    <xf numFmtId="178" fontId="43" fillId="0" borderId="1" xfId="0" applyNumberFormat="1" applyFont="1" applyFill="1" applyBorder="1" applyAlignment="1" applyProtection="1">
      <alignment horizontal="right" vertical="center" wrapText="1"/>
    </xf>
    <xf numFmtId="178" fontId="27" fillId="0" borderId="1" xfId="0" applyNumberFormat="1" applyFont="1" applyFill="1" applyBorder="1" applyAlignment="1" applyProtection="1">
      <alignment horizontal="right" vertical="center" wrapText="1"/>
    </xf>
    <xf numFmtId="0" fontId="17" fillId="0" borderId="5" xfId="0" applyNumberFormat="1" applyFont="1" applyFill="1" applyBorder="1" applyAlignment="1" applyProtection="1">
      <alignment horizontal="center" vertical="center"/>
    </xf>
    <xf numFmtId="0" fontId="16" fillId="3" borderId="4" xfId="0" applyNumberFormat="1" applyFont="1" applyFill="1" applyBorder="1" applyAlignment="1" applyProtection="1">
      <alignment horizontal="center" vertical="center"/>
    </xf>
    <xf numFmtId="0" fontId="17" fillId="3" borderId="6" xfId="0" applyNumberFormat="1" applyFont="1" applyFill="1" applyBorder="1" applyAlignment="1" applyProtection="1">
      <alignment horizontal="center" vertical="center"/>
    </xf>
    <xf numFmtId="0" fontId="27" fillId="0" borderId="1" xfId="0" applyFont="1" applyFill="1" applyBorder="1" applyAlignment="1">
      <alignment horizontal="center" vertical="center"/>
    </xf>
    <xf numFmtId="0" fontId="17" fillId="3" borderId="5" xfId="0" applyNumberFormat="1" applyFont="1" applyFill="1" applyBorder="1" applyAlignment="1" applyProtection="1">
      <alignment horizontal="center" vertical="center"/>
    </xf>
    <xf numFmtId="180" fontId="43" fillId="5" borderId="1" xfId="0" applyNumberFormat="1" applyFont="1" applyFill="1" applyBorder="1" applyAlignment="1" applyProtection="1">
      <alignment horizontal="right" vertical="center" wrapText="1"/>
    </xf>
    <xf numFmtId="43" fontId="27" fillId="0" borderId="1" xfId="9" applyFont="1" applyFill="1" applyBorder="1" applyAlignment="1" applyProtection="1">
      <alignment horizontal="right" vertical="center" wrapText="1"/>
    </xf>
    <xf numFmtId="0" fontId="43" fillId="0" borderId="0" xfId="0" applyNumberFormat="1" applyFont="1" applyFill="1" applyBorder="1" applyAlignment="1" applyProtection="1">
      <alignment horizontal="centerContinuous" vertical="center" wrapText="1"/>
    </xf>
    <xf numFmtId="0" fontId="27" fillId="0" borderId="0" xfId="0" applyFont="1" applyFill="1" applyBorder="1" applyAlignment="1">
      <alignment horizontal="right" wrapText="1"/>
    </xf>
    <xf numFmtId="178" fontId="8" fillId="5" borderId="0" xfId="0" applyNumberFormat="1" applyFont="1" applyFill="1">
      <alignment vertical="center"/>
    </xf>
    <xf numFmtId="0" fontId="38" fillId="0" borderId="7" xfId="0" applyFont="1" applyFill="1" applyBorder="1" applyAlignment="1">
      <alignment vertical="center" wrapText="1"/>
    </xf>
    <xf numFmtId="0" fontId="1" fillId="0" borderId="10" xfId="0" applyFont="1" applyFill="1" applyBorder="1" applyAlignment="1">
      <alignment horizontal="left" vertical="center" wrapText="1"/>
    </xf>
    <xf numFmtId="0" fontId="1" fillId="0" borderId="4" xfId="0" applyFont="1" applyFill="1" applyBorder="1" applyAlignment="1">
      <alignment horizontal="left" vertical="center" wrapText="1"/>
    </xf>
    <xf numFmtId="178" fontId="59" fillId="0" borderId="1" xfId="0" applyNumberFormat="1" applyFont="1" applyFill="1" applyBorder="1" applyAlignment="1" applyProtection="1">
      <alignment horizontal="right" vertical="center" wrapText="1"/>
    </xf>
    <xf numFmtId="0" fontId="1" fillId="0" borderId="4" xfId="0" applyFont="1" applyFill="1" applyBorder="1" applyAlignment="1">
      <alignment vertical="center" wrapText="1"/>
    </xf>
    <xf numFmtId="0" fontId="1" fillId="0" borderId="10" xfId="0" applyFont="1" applyFill="1" applyBorder="1" applyAlignment="1">
      <alignment vertical="center" wrapText="1"/>
    </xf>
    <xf numFmtId="0" fontId="3" fillId="5" borderId="0" xfId="0" applyFont="1" applyFill="1">
      <alignment vertical="center"/>
    </xf>
    <xf numFmtId="0" fontId="38" fillId="0" borderId="0" xfId="0" applyFont="1" applyFill="1" applyAlignment="1">
      <alignment vertical="center" wrapText="1"/>
    </xf>
    <xf numFmtId="0" fontId="58" fillId="0" borderId="0" xfId="0" applyNumberFormat="1" applyFont="1" applyFill="1" applyAlignment="1" applyProtection="1">
      <alignment horizontal="centerContinuous" vertical="center" wrapText="1"/>
    </xf>
    <xf numFmtId="0" fontId="27" fillId="0" borderId="0" xfId="0" applyFont="1" applyFill="1" applyBorder="1" applyAlignment="1">
      <alignment horizontal="center" vertical="center" wrapText="1"/>
    </xf>
    <xf numFmtId="0" fontId="43" fillId="0" borderId="0" xfId="0" applyFont="1" applyFill="1" applyBorder="1" applyAlignment="1">
      <alignment horizontal="center" vertical="center"/>
    </xf>
    <xf numFmtId="0" fontId="27" fillId="0" borderId="0" xfId="0" applyFont="1" applyFill="1" applyBorder="1" applyAlignment="1">
      <alignment horizontal="center" vertical="center"/>
    </xf>
    <xf numFmtId="0" fontId="27" fillId="0" borderId="1" xfId="0" applyNumberFormat="1" applyFont="1" applyFill="1" applyBorder="1" applyAlignment="1" applyProtection="1">
      <alignment horizontal="center" vertical="center"/>
    </xf>
    <xf numFmtId="0" fontId="27" fillId="0" borderId="9" xfId="0" applyNumberFormat="1" applyFont="1" applyFill="1" applyBorder="1" applyAlignment="1" applyProtection="1">
      <alignment horizontal="center" vertical="center" wrapText="1"/>
    </xf>
    <xf numFmtId="0" fontId="43" fillId="0" borderId="1" xfId="0" applyNumberFormat="1" applyFont="1" applyFill="1" applyBorder="1" applyAlignment="1" applyProtection="1">
      <alignment horizontal="center" vertical="center" wrapText="1"/>
    </xf>
    <xf numFmtId="0" fontId="43" fillId="0" borderId="4" xfId="0" applyNumberFormat="1" applyFont="1" applyFill="1" applyBorder="1" applyAlignment="1" applyProtection="1">
      <alignment horizontal="center" vertical="center" wrapText="1"/>
    </xf>
    <xf numFmtId="0" fontId="43" fillId="0" borderId="6" xfId="0" applyNumberFormat="1" applyFont="1" applyFill="1" applyBorder="1" applyAlignment="1" applyProtection="1">
      <alignment horizontal="center" vertical="center" wrapText="1"/>
    </xf>
    <xf numFmtId="0" fontId="43" fillId="5" borderId="1" xfId="0" applyNumberFormat="1" applyFont="1" applyFill="1" applyBorder="1" applyAlignment="1" applyProtection="1">
      <alignment horizontal="center" vertical="center" wrapText="1"/>
    </xf>
    <xf numFmtId="0" fontId="43" fillId="5" borderId="5" xfId="0" applyNumberFormat="1" applyFont="1" applyFill="1" applyBorder="1" applyAlignment="1" applyProtection="1">
      <alignment horizontal="center" vertical="center" wrapText="1"/>
    </xf>
    <xf numFmtId="49" fontId="45" fillId="5" borderId="5" xfId="0" applyNumberFormat="1" applyFont="1" applyFill="1" applyBorder="1" applyAlignment="1" applyProtection="1">
      <alignment horizontal="center" vertical="center"/>
    </xf>
    <xf numFmtId="180" fontId="47" fillId="5" borderId="1" xfId="0" applyNumberFormat="1" applyFont="1" applyFill="1" applyBorder="1">
      <alignment vertical="center"/>
    </xf>
    <xf numFmtId="0" fontId="43" fillId="5" borderId="5" xfId="0" applyNumberFormat="1" applyFont="1" applyFill="1" applyBorder="1" applyAlignment="1" applyProtection="1">
      <alignment horizontal="center" vertical="center"/>
    </xf>
    <xf numFmtId="180" fontId="47" fillId="0" borderId="1" xfId="0" applyNumberFormat="1" applyFont="1" applyFill="1" applyBorder="1">
      <alignment vertical="center"/>
    </xf>
    <xf numFmtId="180" fontId="41" fillId="0" borderId="1" xfId="0" applyNumberFormat="1" applyFont="1" applyFill="1" applyBorder="1">
      <alignment vertical="center"/>
    </xf>
    <xf numFmtId="180" fontId="42" fillId="0" borderId="1" xfId="0" applyNumberFormat="1" applyFont="1" applyFill="1" applyBorder="1">
      <alignment vertical="center"/>
    </xf>
    <xf numFmtId="180" fontId="38" fillId="0" borderId="1" xfId="0" applyNumberFormat="1" applyFont="1" applyFill="1" applyBorder="1">
      <alignment vertical="center"/>
    </xf>
    <xf numFmtId="180" fontId="38" fillId="0" borderId="1" xfId="0" applyNumberFormat="1" applyFont="1" applyFill="1" applyBorder="1" applyAlignment="1">
      <alignment vertical="center"/>
    </xf>
    <xf numFmtId="0" fontId="27" fillId="0" borderId="0" xfId="0" applyNumberFormat="1" applyFont="1" applyFill="1" applyBorder="1" applyAlignment="1">
      <alignment horizontal="center" vertical="center"/>
    </xf>
    <xf numFmtId="0" fontId="43" fillId="0" borderId="5" xfId="0" applyNumberFormat="1" applyFont="1" applyFill="1" applyBorder="1" applyAlignment="1" applyProtection="1">
      <alignment horizontal="center" vertical="center" wrapText="1"/>
    </xf>
    <xf numFmtId="178" fontId="41" fillId="0" borderId="1" xfId="0" applyNumberFormat="1" applyFont="1" applyFill="1" applyBorder="1" applyAlignment="1">
      <alignment vertical="center" wrapText="1"/>
    </xf>
    <xf numFmtId="0" fontId="27" fillId="3" borderId="1" xfId="0" applyFont="1" applyFill="1" applyBorder="1" applyAlignment="1">
      <alignment horizontal="center" vertical="center" wrapText="1"/>
    </xf>
    <xf numFmtId="0" fontId="43" fillId="0" borderId="1" xfId="0" applyFont="1" applyFill="1" applyBorder="1" applyAlignment="1">
      <alignment horizontal="center" vertical="center" wrapText="1"/>
    </xf>
    <xf numFmtId="0" fontId="43" fillId="0" borderId="1" xfId="0" applyFont="1" applyFill="1" applyBorder="1" applyAlignment="1">
      <alignment horizontal="center" vertical="center"/>
    </xf>
    <xf numFmtId="180" fontId="42" fillId="5" borderId="1" xfId="0" applyNumberFormat="1" applyFont="1" applyFill="1" applyBorder="1">
      <alignment vertical="center"/>
    </xf>
    <xf numFmtId="0" fontId="43" fillId="0" borderId="0" xfId="0" applyNumberFormat="1" applyFont="1" applyFill="1" applyAlignment="1" applyProtection="1">
      <alignment horizontal="centerContinuous" vertical="center" wrapText="1"/>
    </xf>
    <xf numFmtId="0" fontId="61" fillId="0" borderId="1" xfId="0" applyFont="1" applyFill="1" applyBorder="1" applyAlignment="1">
      <alignment horizontal="left" vertical="center" wrapText="1"/>
    </xf>
    <xf numFmtId="180" fontId="44" fillId="0" borderId="1" xfId="0" applyNumberFormat="1" applyFont="1" applyFill="1" applyBorder="1">
      <alignment vertical="center"/>
    </xf>
    <xf numFmtId="180" fontId="35" fillId="0" borderId="7" xfId="0" applyNumberFormat="1" applyFont="1" applyFill="1" applyBorder="1" applyAlignment="1">
      <alignment vertical="center"/>
    </xf>
    <xf numFmtId="0" fontId="18" fillId="5" borderId="0" xfId="0" applyFont="1" applyFill="1">
      <alignment vertical="center"/>
    </xf>
    <xf numFmtId="0" fontId="0" fillId="5" borderId="0" xfId="0" applyFill="1">
      <alignment vertical="center"/>
    </xf>
    <xf numFmtId="180" fontId="33" fillId="0" borderId="1" xfId="0" applyNumberFormat="1" applyFont="1" applyFill="1" applyBorder="1" applyAlignment="1">
      <alignment vertical="center"/>
    </xf>
    <xf numFmtId="180" fontId="41" fillId="0" borderId="1" xfId="0" applyNumberFormat="1" applyFont="1" applyFill="1" applyBorder="1" applyAlignment="1">
      <alignment vertical="center"/>
    </xf>
    <xf numFmtId="0" fontId="62" fillId="0" borderId="0" xfId="0" applyFont="1" applyFill="1" applyAlignment="1">
      <alignment vertical="center"/>
    </xf>
    <xf numFmtId="182" fontId="62" fillId="0" borderId="0" xfId="0" applyNumberFormat="1" applyFont="1" applyFill="1" applyAlignment="1">
      <alignment vertical="center"/>
    </xf>
    <xf numFmtId="178" fontId="12" fillId="0" borderId="0" xfId="0" applyNumberFormat="1" applyFont="1" applyFill="1" applyAlignment="1">
      <alignment vertical="center"/>
    </xf>
    <xf numFmtId="180" fontId="27" fillId="0" borderId="1" xfId="0" applyNumberFormat="1" applyFont="1" applyFill="1" applyBorder="1" applyAlignment="1">
      <alignment vertical="center"/>
    </xf>
    <xf numFmtId="180" fontId="33" fillId="0" borderId="1" xfId="0" applyNumberFormat="1" applyFont="1" applyFill="1" applyBorder="1">
      <alignment vertical="center"/>
    </xf>
    <xf numFmtId="0" fontId="63" fillId="0" borderId="1" xfId="0" applyFont="1" applyFill="1" applyBorder="1" applyAlignment="1">
      <alignment wrapText="1"/>
    </xf>
    <xf numFmtId="0" fontId="0" fillId="0" borderId="0" xfId="0" applyFont="1" applyAlignment="1">
      <alignment horizontal="center" vertical="center"/>
    </xf>
    <xf numFmtId="0" fontId="0" fillId="0" borderId="0" xfId="0" applyFont="1">
      <alignment vertical="center"/>
    </xf>
    <xf numFmtId="0" fontId="64" fillId="0" borderId="0" xfId="0" applyNumberFormat="1" applyFont="1" applyFill="1" applyAlignment="1" applyProtection="1">
      <alignment horizontal="centerContinuous" vertical="center" wrapText="1"/>
    </xf>
    <xf numFmtId="0" fontId="38" fillId="0" borderId="0" xfId="0" applyFont="1" applyFill="1" applyBorder="1" applyAlignment="1">
      <alignment horizontal="center" vertical="center" wrapText="1"/>
    </xf>
    <xf numFmtId="0" fontId="42" fillId="0" borderId="0" xfId="0" applyFont="1" applyFill="1" applyAlignment="1">
      <alignment horizontal="center" vertical="center" wrapText="1"/>
    </xf>
    <xf numFmtId="0" fontId="42" fillId="0" borderId="0" xfId="0" applyFont="1" applyFill="1" applyBorder="1" applyAlignment="1">
      <alignment horizontal="center" vertical="center"/>
    </xf>
    <xf numFmtId="0" fontId="38" fillId="0" borderId="0" xfId="0" applyFont="1" applyFill="1" applyBorder="1" applyAlignment="1">
      <alignment horizontal="center" vertical="center"/>
    </xf>
    <xf numFmtId="0" fontId="18" fillId="0" borderId="1" xfId="0" applyNumberFormat="1" applyFont="1" applyFill="1" applyBorder="1" applyAlignment="1" applyProtection="1">
      <alignment horizontal="center" vertical="center" wrapText="1"/>
    </xf>
    <xf numFmtId="0" fontId="18" fillId="0" borderId="2" xfId="0" applyNumberFormat="1" applyFont="1" applyFill="1" applyBorder="1" applyAlignment="1" applyProtection="1">
      <alignment horizontal="center" vertical="center" wrapText="1"/>
    </xf>
    <xf numFmtId="0" fontId="3" fillId="0" borderId="4" xfId="0" applyNumberFormat="1" applyFont="1" applyFill="1" applyBorder="1" applyAlignment="1" applyProtection="1">
      <alignment horizontal="center" vertical="center"/>
    </xf>
    <xf numFmtId="0" fontId="3" fillId="0" borderId="6" xfId="0" applyNumberFormat="1" applyFont="1" applyFill="1" applyBorder="1" applyAlignment="1" applyProtection="1">
      <alignment horizontal="center" vertical="center"/>
    </xf>
    <xf numFmtId="0" fontId="18" fillId="0" borderId="9" xfId="0" applyNumberFormat="1" applyFont="1" applyFill="1" applyBorder="1" applyAlignment="1" applyProtection="1">
      <alignment horizontal="center" vertical="center" wrapText="1"/>
    </xf>
    <xf numFmtId="0" fontId="3" fillId="0" borderId="1" xfId="0" applyNumberFormat="1" applyFont="1" applyFill="1" applyBorder="1" applyAlignment="1" applyProtection="1">
      <alignment horizontal="center" vertical="center" wrapText="1"/>
    </xf>
    <xf numFmtId="0" fontId="3" fillId="0" borderId="4" xfId="0" applyNumberFormat="1" applyFont="1" applyFill="1" applyBorder="1" applyAlignment="1" applyProtection="1">
      <alignment horizontal="center" vertical="center" wrapText="1"/>
    </xf>
    <xf numFmtId="0" fontId="3" fillId="0" borderId="6" xfId="0" applyNumberFormat="1" applyFont="1" applyFill="1" applyBorder="1" applyAlignment="1" applyProtection="1">
      <alignment horizontal="center" vertical="center" wrapText="1"/>
    </xf>
    <xf numFmtId="0" fontId="38" fillId="0" borderId="2" xfId="0" applyNumberFormat="1" applyFont="1" applyFill="1" applyBorder="1" applyAlignment="1" applyProtection="1">
      <alignment horizontal="center" vertical="center" wrapText="1"/>
    </xf>
    <xf numFmtId="0" fontId="38" fillId="0" borderId="9" xfId="0" applyNumberFormat="1" applyFont="1" applyFill="1" applyBorder="1" applyAlignment="1" applyProtection="1">
      <alignment horizontal="center" vertical="center" wrapText="1"/>
    </xf>
    <xf numFmtId="0" fontId="42" fillId="0" borderId="1" xfId="0" applyNumberFormat="1" applyFont="1" applyFill="1" applyBorder="1" applyAlignment="1" applyProtection="1">
      <alignment horizontal="center" vertical="center" wrapText="1"/>
    </xf>
    <xf numFmtId="0" fontId="38" fillId="0" borderId="1" xfId="0" applyFont="1" applyFill="1" applyBorder="1" applyAlignment="1">
      <alignment horizontal="center" vertical="center" wrapText="1"/>
    </xf>
    <xf numFmtId="0" fontId="42" fillId="5" borderId="1" xfId="0" applyNumberFormat="1" applyFont="1" applyFill="1" applyBorder="1" applyAlignment="1" applyProtection="1">
      <alignment horizontal="center" vertical="center" wrapText="1"/>
    </xf>
    <xf numFmtId="0" fontId="42" fillId="5" borderId="5" xfId="0" applyNumberFormat="1" applyFont="1" applyFill="1" applyBorder="1" applyAlignment="1" applyProtection="1">
      <alignment horizontal="center" vertical="center" wrapText="1"/>
    </xf>
    <xf numFmtId="49" fontId="65" fillId="5" borderId="5" xfId="0" applyNumberFormat="1" applyFont="1" applyFill="1" applyBorder="1" applyAlignment="1" applyProtection="1">
      <alignment horizontal="center" vertical="center" wrapText="1"/>
    </xf>
    <xf numFmtId="49" fontId="65" fillId="5" borderId="5" xfId="0" applyNumberFormat="1" applyFont="1" applyFill="1" applyBorder="1" applyAlignment="1" applyProtection="1">
      <alignment horizontal="center" vertical="center"/>
    </xf>
    <xf numFmtId="178" fontId="47" fillId="5" borderId="1" xfId="0" applyNumberFormat="1" applyFont="1" applyFill="1" applyBorder="1">
      <alignment vertical="center"/>
    </xf>
    <xf numFmtId="49" fontId="42" fillId="5" borderId="1" xfId="0" applyNumberFormat="1" applyFont="1" applyFill="1" applyBorder="1" applyAlignment="1" applyProtection="1">
      <alignment horizontal="left" vertical="center" wrapText="1"/>
    </xf>
    <xf numFmtId="0" fontId="42" fillId="5" borderId="5" xfId="0" applyNumberFormat="1" applyFont="1" applyFill="1" applyBorder="1" applyAlignment="1" applyProtection="1">
      <alignment horizontal="center" vertical="center"/>
    </xf>
    <xf numFmtId="178" fontId="47" fillId="0" borderId="1" xfId="0" applyNumberFormat="1" applyFont="1" applyFill="1" applyBorder="1">
      <alignment vertical="center"/>
    </xf>
    <xf numFmtId="178" fontId="41" fillId="0" borderId="1" xfId="0" applyNumberFormat="1" applyFont="1" applyFill="1" applyBorder="1">
      <alignment vertical="center"/>
    </xf>
    <xf numFmtId="178" fontId="42" fillId="0" borderId="1" xfId="0" applyNumberFormat="1" applyFont="1" applyFill="1" applyBorder="1">
      <alignment vertical="center"/>
    </xf>
    <xf numFmtId="178" fontId="38" fillId="0" borderId="1" xfId="0" applyNumberFormat="1" applyFont="1" applyFill="1" applyBorder="1">
      <alignment vertical="center"/>
    </xf>
    <xf numFmtId="178" fontId="38" fillId="0" borderId="1" xfId="0" applyNumberFormat="1" applyFont="1" applyFill="1" applyBorder="1" applyAlignment="1">
      <alignment vertical="center"/>
    </xf>
    <xf numFmtId="178" fontId="18" fillId="0" borderId="0" xfId="0" applyNumberFormat="1" applyFont="1" applyFill="1" applyAlignment="1">
      <alignment vertical="center"/>
    </xf>
    <xf numFmtId="0" fontId="3" fillId="0" borderId="5" xfId="0" applyNumberFormat="1" applyFont="1" applyFill="1" applyBorder="1" applyAlignment="1" applyProtection="1">
      <alignment horizontal="center" vertical="center" wrapText="1"/>
    </xf>
    <xf numFmtId="0" fontId="3" fillId="0" borderId="1" xfId="0" applyNumberFormat="1" applyFont="1" applyFill="1" applyBorder="1" applyAlignment="1" applyProtection="1">
      <alignment horizontal="center" vertical="center"/>
    </xf>
    <xf numFmtId="0" fontId="18" fillId="0" borderId="1" xfId="0" applyNumberFormat="1" applyFont="1" applyFill="1" applyBorder="1" applyAlignment="1" applyProtection="1">
      <alignment horizontal="center" vertical="center"/>
    </xf>
    <xf numFmtId="0" fontId="38" fillId="0" borderId="1" xfId="0" applyFont="1" applyFill="1" applyBorder="1" applyAlignment="1">
      <alignment horizontal="center" vertical="center"/>
    </xf>
    <xf numFmtId="0" fontId="38" fillId="0" borderId="1" xfId="0" applyNumberFormat="1" applyFont="1" applyFill="1" applyBorder="1" applyAlignment="1" applyProtection="1">
      <alignment horizontal="center" vertical="center" wrapText="1"/>
    </xf>
    <xf numFmtId="0" fontId="3" fillId="0" borderId="5" xfId="0" applyNumberFormat="1" applyFont="1" applyFill="1" applyBorder="1" applyAlignment="1" applyProtection="1">
      <alignment horizontal="center" vertical="center"/>
    </xf>
    <xf numFmtId="0" fontId="3" fillId="3" borderId="4" xfId="0" applyNumberFormat="1" applyFont="1" applyFill="1" applyBorder="1" applyAlignment="1" applyProtection="1">
      <alignment horizontal="center" vertical="center"/>
    </xf>
    <xf numFmtId="0" fontId="3" fillId="3" borderId="6" xfId="0" applyNumberFormat="1" applyFont="1" applyFill="1" applyBorder="1" applyAlignment="1" applyProtection="1">
      <alignment horizontal="center" vertical="center"/>
    </xf>
    <xf numFmtId="0" fontId="3" fillId="3" borderId="5" xfId="0" applyNumberFormat="1" applyFont="1" applyFill="1" applyBorder="1" applyAlignment="1" applyProtection="1">
      <alignment horizontal="center" vertical="center"/>
    </xf>
    <xf numFmtId="176" fontId="38" fillId="0" borderId="0" xfId="0" applyNumberFormat="1" applyFont="1" applyFill="1" applyBorder="1" applyAlignment="1">
      <alignment horizontal="center" vertical="center"/>
    </xf>
    <xf numFmtId="0" fontId="3" fillId="0" borderId="11" xfId="0" applyNumberFormat="1" applyFont="1" applyFill="1" applyBorder="1" applyAlignment="1" applyProtection="1">
      <alignment horizontal="center" vertical="center" wrapText="1"/>
    </xf>
    <xf numFmtId="0" fontId="18" fillId="0" borderId="4" xfId="0" applyNumberFormat="1" applyFont="1" applyFill="1" applyBorder="1" applyAlignment="1" applyProtection="1">
      <alignment horizontal="center" vertical="center"/>
    </xf>
    <xf numFmtId="0" fontId="38" fillId="0" borderId="4" xfId="0" applyFont="1" applyFill="1" applyBorder="1" applyAlignment="1">
      <alignment horizontal="center" vertical="center" wrapText="1"/>
    </xf>
    <xf numFmtId="0" fontId="42" fillId="0" borderId="12" xfId="0" applyNumberFormat="1" applyFont="1" applyFill="1" applyBorder="1" applyAlignment="1" applyProtection="1">
      <alignment horizontal="center" vertical="center" wrapText="1"/>
    </xf>
    <xf numFmtId="178" fontId="47" fillId="5" borderId="4" xfId="0" applyNumberFormat="1" applyFont="1" applyFill="1" applyBorder="1">
      <alignment vertical="center"/>
    </xf>
    <xf numFmtId="178" fontId="47" fillId="5" borderId="12" xfId="0" applyNumberFormat="1" applyFont="1" applyFill="1" applyBorder="1">
      <alignment vertical="center"/>
    </xf>
    <xf numFmtId="178" fontId="41" fillId="0" borderId="4" xfId="0" applyNumberFormat="1" applyFont="1" applyFill="1" applyBorder="1">
      <alignment vertical="center"/>
    </xf>
    <xf numFmtId="178" fontId="47" fillId="0" borderId="12" xfId="0" applyNumberFormat="1" applyFont="1" applyFill="1" applyBorder="1">
      <alignment vertical="center"/>
    </xf>
    <xf numFmtId="178" fontId="42" fillId="0" borderId="12" xfId="0" applyNumberFormat="1" applyFont="1" applyFill="1" applyBorder="1">
      <alignment vertical="center"/>
    </xf>
    <xf numFmtId="0" fontId="3" fillId="3" borderId="4" xfId="0" applyNumberFormat="1" applyFont="1" applyFill="1" applyBorder="1" applyAlignment="1" applyProtection="1">
      <alignment horizontal="center" vertical="center" wrapText="1"/>
    </xf>
    <xf numFmtId="0" fontId="3" fillId="3" borderId="6" xfId="0" applyNumberFormat="1" applyFont="1" applyFill="1" applyBorder="1" applyAlignment="1" applyProtection="1">
      <alignment horizontal="center" vertical="center" wrapText="1"/>
    </xf>
    <xf numFmtId="178" fontId="42" fillId="5" borderId="1" xfId="0" applyNumberFormat="1" applyFont="1" applyFill="1" applyBorder="1">
      <alignment vertical="center"/>
    </xf>
    <xf numFmtId="0" fontId="3" fillId="3" borderId="5" xfId="0" applyNumberFormat="1" applyFont="1" applyFill="1" applyBorder="1" applyAlignment="1" applyProtection="1">
      <alignment horizontal="center" vertical="center" wrapText="1"/>
    </xf>
    <xf numFmtId="0" fontId="42" fillId="0" borderId="0" xfId="0" applyNumberFormat="1" applyFont="1" applyFill="1" applyAlignment="1" applyProtection="1">
      <alignment horizontal="centerContinuous" vertical="center" wrapText="1"/>
    </xf>
    <xf numFmtId="0" fontId="44" fillId="0" borderId="1" xfId="0" applyFont="1" applyFill="1" applyBorder="1" applyAlignment="1">
      <alignment horizontal="left" vertical="center" wrapText="1"/>
    </xf>
    <xf numFmtId="0" fontId="38" fillId="0" borderId="1" xfId="0" applyFont="1" applyFill="1" applyBorder="1" applyAlignment="1">
      <alignment wrapText="1"/>
    </xf>
    <xf numFmtId="0" fontId="42" fillId="5" borderId="1" xfId="0" applyFont="1" applyFill="1" applyBorder="1" applyAlignment="1">
      <alignment horizontal="left" vertical="center" wrapText="1"/>
    </xf>
    <xf numFmtId="0" fontId="42" fillId="5" borderId="1" xfId="0" applyFont="1" applyFill="1" applyBorder="1" applyAlignment="1">
      <alignment horizontal="center" vertical="center" wrapText="1"/>
    </xf>
    <xf numFmtId="178" fontId="41" fillId="0" borderId="7" xfId="0" applyNumberFormat="1" applyFont="1" applyFill="1" applyBorder="1" applyAlignment="1">
      <alignment vertical="center"/>
    </xf>
    <xf numFmtId="178" fontId="44" fillId="0" borderId="1" xfId="0" applyNumberFormat="1" applyFont="1" applyFill="1" applyBorder="1">
      <alignment vertical="center"/>
    </xf>
    <xf numFmtId="178" fontId="42" fillId="5" borderId="4" xfId="0" applyNumberFormat="1" applyFont="1" applyFill="1" applyBorder="1">
      <alignment vertical="center"/>
    </xf>
    <xf numFmtId="178" fontId="42" fillId="5" borderId="12" xfId="0" applyNumberFormat="1" applyFont="1" applyFill="1" applyBorder="1">
      <alignment vertical="center"/>
    </xf>
    <xf numFmtId="0" fontId="0" fillId="5" borderId="0" xfId="0" applyFont="1" applyFill="1">
      <alignment vertical="center"/>
    </xf>
    <xf numFmtId="0" fontId="38" fillId="0" borderId="7" xfId="0" applyFont="1" applyFill="1" applyBorder="1" applyAlignment="1">
      <alignment horizontal="left" vertical="center" wrapText="1"/>
    </xf>
    <xf numFmtId="178" fontId="62" fillId="0" borderId="1" xfId="0" applyNumberFormat="1" applyFont="1" applyFill="1" applyBorder="1" applyAlignment="1">
      <alignment vertical="center"/>
    </xf>
    <xf numFmtId="178" fontId="2" fillId="0" borderId="0" xfId="0" applyNumberFormat="1" applyFont="1" applyFill="1" applyAlignment="1">
      <alignment vertical="center"/>
    </xf>
    <xf numFmtId="178" fontId="62" fillId="0" borderId="0" xfId="0" applyNumberFormat="1" applyFont="1" applyFill="1" applyAlignment="1">
      <alignment vertical="center"/>
    </xf>
    <xf numFmtId="178" fontId="62" fillId="0" borderId="1" xfId="0" applyNumberFormat="1" applyFont="1" applyFill="1" applyBorder="1">
      <alignment vertical="center"/>
    </xf>
    <xf numFmtId="0" fontId="3" fillId="0" borderId="2" xfId="0" applyNumberFormat="1" applyFont="1" applyFill="1" applyBorder="1" applyAlignment="1" applyProtection="1">
      <alignment horizontal="center" vertical="center" wrapText="1"/>
    </xf>
    <xf numFmtId="0" fontId="3" fillId="0" borderId="9" xfId="0" applyNumberFormat="1" applyFont="1" applyFill="1" applyBorder="1" applyAlignment="1" applyProtection="1">
      <alignment horizontal="center" vertical="center" wrapText="1"/>
    </xf>
    <xf numFmtId="0" fontId="42" fillId="0" borderId="2" xfId="0" applyNumberFormat="1" applyFont="1" applyFill="1" applyBorder="1" applyAlignment="1" applyProtection="1">
      <alignment horizontal="center" vertical="center" wrapText="1"/>
    </xf>
    <xf numFmtId="0" fontId="42" fillId="0" borderId="9" xfId="0" applyNumberFormat="1" applyFont="1" applyFill="1" applyBorder="1" applyAlignment="1" applyProtection="1">
      <alignment horizontal="center" vertical="center" wrapText="1"/>
    </xf>
    <xf numFmtId="0" fontId="38" fillId="0" borderId="0" xfId="0" applyNumberFormat="1" applyFont="1" applyFill="1" applyBorder="1" applyAlignment="1">
      <alignment horizontal="center" vertical="center"/>
    </xf>
    <xf numFmtId="178" fontId="41" fillId="0" borderId="1" xfId="0" applyNumberFormat="1" applyFont="1" applyFill="1" applyBorder="1" applyAlignment="1">
      <alignment horizontal="center" vertical="center" wrapText="1"/>
    </xf>
    <xf numFmtId="0" fontId="18" fillId="0" borderId="4" xfId="0" applyNumberFormat="1" applyFont="1" applyFill="1" applyBorder="1" applyAlignment="1" applyProtection="1">
      <alignment horizontal="center" vertical="center" wrapText="1"/>
    </xf>
    <xf numFmtId="0" fontId="3" fillId="0" borderId="12" xfId="0" applyNumberFormat="1" applyFont="1" applyFill="1" applyBorder="1" applyAlignment="1" applyProtection="1">
      <alignment horizontal="center" vertical="center" wrapText="1"/>
    </xf>
    <xf numFmtId="0" fontId="66" fillId="0" borderId="0" xfId="0" applyFont="1" applyFill="1" applyBorder="1" applyAlignment="1">
      <alignment vertical="center"/>
    </xf>
    <xf numFmtId="0" fontId="66" fillId="0" borderId="0" xfId="0" applyFont="1" applyFill="1" applyAlignment="1">
      <alignment vertical="center"/>
    </xf>
    <xf numFmtId="0" fontId="17" fillId="0" borderId="2" xfId="0" applyNumberFormat="1" applyFont="1" applyFill="1" applyBorder="1" applyAlignment="1" applyProtection="1">
      <alignment horizontal="center" vertical="center" wrapText="1"/>
    </xf>
    <xf numFmtId="0" fontId="16" fillId="3" borderId="13" xfId="0" applyNumberFormat="1" applyFont="1" applyFill="1" applyBorder="1" applyAlignment="1" applyProtection="1">
      <alignment horizontal="center" vertical="center" wrapText="1"/>
    </xf>
    <xf numFmtId="0" fontId="8" fillId="0" borderId="4" xfId="0" applyFont="1" applyFill="1" applyBorder="1" applyAlignment="1">
      <alignment horizontal="center" vertical="center"/>
    </xf>
    <xf numFmtId="0" fontId="8" fillId="0" borderId="6" xfId="0" applyFont="1" applyFill="1" applyBorder="1" applyAlignment="1">
      <alignment horizontal="center" vertical="center"/>
    </xf>
    <xf numFmtId="0" fontId="17" fillId="0" borderId="9" xfId="0" applyNumberFormat="1" applyFont="1" applyFill="1" applyBorder="1" applyAlignment="1" applyProtection="1">
      <alignment horizontal="center" vertical="center" wrapText="1"/>
    </xf>
    <xf numFmtId="0" fontId="16" fillId="0" borderId="9" xfId="0" applyNumberFormat="1" applyFont="1" applyFill="1" applyBorder="1" applyAlignment="1" applyProtection="1">
      <alignment horizontal="center" vertical="center" wrapText="1"/>
    </xf>
    <xf numFmtId="0" fontId="16" fillId="3" borderId="14" xfId="0" applyNumberFormat="1" applyFont="1" applyFill="1" applyBorder="1" applyAlignment="1" applyProtection="1">
      <alignment horizontal="center" vertical="center" wrapText="1"/>
    </xf>
    <xf numFmtId="0" fontId="17" fillId="8" borderId="4" xfId="0" applyNumberFormat="1" applyFont="1" applyFill="1" applyBorder="1" applyAlignment="1" applyProtection="1">
      <alignment horizontal="center" vertical="center" wrapText="1"/>
    </xf>
    <xf numFmtId="0" fontId="17" fillId="8" borderId="6" xfId="0" applyNumberFormat="1" applyFont="1" applyFill="1" applyBorder="1" applyAlignment="1" applyProtection="1">
      <alignment horizontal="center" vertical="center" wrapText="1"/>
    </xf>
    <xf numFmtId="0" fontId="17" fillId="0" borderId="3" xfId="0" applyNumberFormat="1" applyFont="1" applyFill="1" applyBorder="1" applyAlignment="1" applyProtection="1">
      <alignment horizontal="center" vertical="center" wrapText="1"/>
    </xf>
    <xf numFmtId="0" fontId="16" fillId="3" borderId="15" xfId="0" applyNumberFormat="1" applyFont="1" applyFill="1" applyBorder="1" applyAlignment="1" applyProtection="1">
      <alignment horizontal="center" vertical="center" wrapText="1"/>
    </xf>
    <xf numFmtId="0" fontId="17" fillId="8" borderId="1" xfId="0" applyNumberFormat="1" applyFont="1" applyFill="1" applyBorder="1" applyAlignment="1" applyProtection="1">
      <alignment horizontal="center" vertical="center" wrapText="1"/>
    </xf>
    <xf numFmtId="0" fontId="17" fillId="0" borderId="5" xfId="0" applyNumberFormat="1" applyFont="1" applyFill="1" applyBorder="1" applyAlignment="1" applyProtection="1">
      <alignment horizontal="center" vertical="center" wrapText="1"/>
    </xf>
    <xf numFmtId="49" fontId="17" fillId="0" borderId="5" xfId="0" applyNumberFormat="1" applyFont="1" applyFill="1" applyBorder="1" applyAlignment="1" applyProtection="1">
      <alignment horizontal="center" vertical="center"/>
    </xf>
    <xf numFmtId="49" fontId="16" fillId="0" borderId="5" xfId="0" applyNumberFormat="1" applyFont="1" applyFill="1" applyBorder="1" applyAlignment="1" applyProtection="1">
      <alignment horizontal="center" vertical="center"/>
    </xf>
    <xf numFmtId="176" fontId="16" fillId="3" borderId="5" xfId="0" applyNumberFormat="1" applyFont="1" applyFill="1" applyBorder="1" applyAlignment="1" applyProtection="1">
      <alignment horizontal="center" vertical="center"/>
    </xf>
    <xf numFmtId="178" fontId="8" fillId="0" borderId="1" xfId="0" applyNumberFormat="1" applyFont="1" applyBorder="1">
      <alignment vertical="center"/>
    </xf>
    <xf numFmtId="49" fontId="16" fillId="0" borderId="1" xfId="0" applyNumberFormat="1" applyFont="1" applyFill="1" applyBorder="1" applyAlignment="1" applyProtection="1">
      <alignment horizontal="center" vertical="center" wrapText="1"/>
    </xf>
    <xf numFmtId="178" fontId="0" fillId="0" borderId="1" xfId="0" applyNumberFormat="1" applyBorder="1">
      <alignment vertical="center"/>
    </xf>
    <xf numFmtId="0" fontId="67" fillId="0" borderId="1" xfId="0" applyFont="1" applyFill="1" applyBorder="1" applyAlignment="1">
      <alignment horizontal="center" vertical="center" wrapText="1"/>
    </xf>
    <xf numFmtId="0" fontId="8" fillId="0" borderId="5" xfId="0" applyFont="1" applyFill="1" applyBorder="1" applyAlignment="1">
      <alignment horizontal="center" vertical="center"/>
    </xf>
    <xf numFmtId="0" fontId="17" fillId="8" borderId="5" xfId="0" applyNumberFormat="1" applyFont="1" applyFill="1" applyBorder="1" applyAlignment="1" applyProtection="1">
      <alignment horizontal="center" vertical="center" wrapText="1"/>
    </xf>
    <xf numFmtId="0" fontId="17" fillId="5" borderId="4" xfId="0" applyNumberFormat="1" applyFont="1" applyFill="1" applyBorder="1" applyAlignment="1" applyProtection="1">
      <alignment horizontal="center" vertical="center" wrapText="1"/>
    </xf>
    <xf numFmtId="0" fontId="17" fillId="5" borderId="6" xfId="0" applyNumberFormat="1" applyFont="1" applyFill="1" applyBorder="1" applyAlignment="1" applyProtection="1">
      <alignment horizontal="center" vertical="center" wrapText="1"/>
    </xf>
    <xf numFmtId="0" fontId="17" fillId="5" borderId="5" xfId="0" applyNumberFormat="1" applyFont="1" applyFill="1" applyBorder="1" applyAlignment="1" applyProtection="1">
      <alignment horizontal="center" vertical="center" wrapText="1"/>
    </xf>
    <xf numFmtId="0" fontId="17" fillId="5" borderId="1" xfId="0" applyNumberFormat="1" applyFont="1" applyFill="1" applyBorder="1" applyAlignment="1" applyProtection="1">
      <alignment horizontal="center" vertical="center" wrapText="1"/>
    </xf>
    <xf numFmtId="0" fontId="0" fillId="0" borderId="1" xfId="0" applyBorder="1">
      <alignment vertical="center"/>
    </xf>
    <xf numFmtId="178" fontId="8" fillId="0" borderId="1" xfId="0" applyNumberFormat="1" applyFont="1" applyBorder="1" applyAlignment="1">
      <alignment vertical="center"/>
    </xf>
    <xf numFmtId="0" fontId="3" fillId="0" borderId="4" xfId="0" applyFont="1" applyFill="1" applyBorder="1" applyAlignment="1">
      <alignment horizontal="center" vertical="center"/>
    </xf>
    <xf numFmtId="0" fontId="3" fillId="0" borderId="6" xfId="0" applyFont="1" applyFill="1" applyBorder="1" applyAlignment="1">
      <alignment horizontal="center" vertical="center"/>
    </xf>
    <xf numFmtId="186" fontId="16" fillId="0" borderId="1" xfId="0" applyNumberFormat="1" applyFont="1" applyFill="1" applyBorder="1" applyAlignment="1" applyProtection="1">
      <alignment horizontal="center" vertical="center" wrapText="1"/>
    </xf>
    <xf numFmtId="0" fontId="17" fillId="0" borderId="1" xfId="0" applyNumberFormat="1" applyFont="1" applyFill="1" applyBorder="1" applyAlignment="1" applyProtection="1">
      <alignment horizontal="center" vertical="center"/>
    </xf>
    <xf numFmtId="177" fontId="16" fillId="0" borderId="1" xfId="0" applyNumberFormat="1" applyFont="1" applyFill="1" applyBorder="1" applyAlignment="1" applyProtection="1">
      <alignment horizontal="right" vertical="center"/>
    </xf>
    <xf numFmtId="177" fontId="17" fillId="0" borderId="1" xfId="0" applyNumberFormat="1" applyFont="1" applyFill="1" applyBorder="1" applyAlignment="1">
      <alignment horizontal="right" vertical="center"/>
    </xf>
    <xf numFmtId="0" fontId="17" fillId="0" borderId="4" xfId="0" applyFont="1" applyFill="1" applyBorder="1" applyAlignment="1">
      <alignment horizontal="center" vertical="center"/>
    </xf>
    <xf numFmtId="0" fontId="23" fillId="0" borderId="1" xfId="0" applyFont="1" applyFill="1" applyBorder="1" applyAlignment="1">
      <alignment vertical="center"/>
    </xf>
    <xf numFmtId="0" fontId="16" fillId="0" borderId="1" xfId="0" applyFont="1" applyFill="1" applyBorder="1" applyAlignment="1">
      <alignment horizontal="center" vertical="center"/>
    </xf>
    <xf numFmtId="177" fontId="16" fillId="0" borderId="1" xfId="0" applyNumberFormat="1" applyFont="1" applyFill="1" applyBorder="1" applyAlignment="1">
      <alignment horizontal="right" vertical="center"/>
    </xf>
    <xf numFmtId="0" fontId="17" fillId="0" borderId="1" xfId="0" applyFont="1" applyFill="1" applyBorder="1" applyAlignment="1">
      <alignment horizontal="left" vertical="center"/>
    </xf>
    <xf numFmtId="176" fontId="18" fillId="0" borderId="0" xfId="0" applyNumberFormat="1" applyFont="1" applyFill="1">
      <alignment vertical="center"/>
    </xf>
    <xf numFmtId="9" fontId="18" fillId="0" borderId="0" xfId="12" applyNumberFormat="1" applyFont="1" applyFill="1">
      <alignment vertical="center"/>
    </xf>
    <xf numFmtId="0" fontId="3" fillId="0" borderId="5" xfId="0" applyFont="1" applyFill="1" applyBorder="1" applyAlignment="1">
      <alignment horizontal="center" vertical="center"/>
    </xf>
    <xf numFmtId="186" fontId="18" fillId="0" borderId="0" xfId="9" applyNumberFormat="1" applyFont="1" applyFill="1" applyAlignment="1">
      <alignment horizontal="center" vertical="center"/>
    </xf>
    <xf numFmtId="176" fontId="18" fillId="0" borderId="0" xfId="0" applyNumberFormat="1" applyFont="1" applyFill="1" applyAlignment="1">
      <alignment horizontal="center" vertical="center"/>
    </xf>
    <xf numFmtId="187" fontId="0" fillId="0" borderId="0" xfId="0" applyNumberFormat="1">
      <alignment vertical="center"/>
    </xf>
    <xf numFmtId="178" fontId="0" fillId="0" borderId="0" xfId="0" applyNumberFormat="1">
      <alignment vertical="center"/>
    </xf>
    <xf numFmtId="0" fontId="4" fillId="0" borderId="0" xfId="64" applyFont="1">
      <alignment vertical="center"/>
    </xf>
    <xf numFmtId="187" fontId="4" fillId="0" borderId="0" xfId="64" applyNumberFormat="1" applyFont="1">
      <alignment vertical="center"/>
    </xf>
    <xf numFmtId="178" fontId="4" fillId="0" borderId="0" xfId="64" applyNumberFormat="1" applyFont="1">
      <alignment vertical="center"/>
    </xf>
    <xf numFmtId="0" fontId="20" fillId="0" borderId="0" xfId="64" applyFont="1" applyAlignment="1">
      <alignment horizontal="center" vertical="center"/>
    </xf>
    <xf numFmtId="0" fontId="17" fillId="0" borderId="0" xfId="64" applyFont="1" applyAlignment="1">
      <alignment vertical="center"/>
    </xf>
    <xf numFmtId="187" fontId="17" fillId="0" borderId="0" xfId="64" applyNumberFormat="1" applyFont="1" applyAlignment="1">
      <alignment vertical="center"/>
    </xf>
    <xf numFmtId="178" fontId="17" fillId="0" borderId="0" xfId="64" applyNumberFormat="1" applyFont="1" applyAlignment="1">
      <alignment horizontal="right" vertical="center"/>
    </xf>
    <xf numFmtId="183" fontId="16" fillId="0" borderId="1" xfId="64" applyNumberFormat="1" applyFont="1" applyBorder="1" applyAlignment="1" applyProtection="1">
      <alignment horizontal="center" vertical="center" wrapText="1"/>
      <protection locked="0"/>
    </xf>
    <xf numFmtId="0" fontId="16" fillId="0" borderId="1" xfId="64" applyFont="1" applyBorder="1" applyAlignment="1">
      <alignment horizontal="center" vertical="center" wrapText="1"/>
    </xf>
    <xf numFmtId="187" fontId="16" fillId="0" borderId="1" xfId="64" applyNumberFormat="1" applyFont="1" applyBorder="1" applyAlignment="1">
      <alignment horizontal="center" vertical="center" wrapText="1"/>
    </xf>
    <xf numFmtId="178" fontId="8" fillId="0" borderId="2" xfId="0" applyNumberFormat="1" applyFont="1" applyBorder="1" applyAlignment="1">
      <alignment horizontal="center" vertical="center" wrapText="1"/>
    </xf>
    <xf numFmtId="178" fontId="8" fillId="0" borderId="3" xfId="0" applyNumberFormat="1" applyFont="1" applyBorder="1" applyAlignment="1">
      <alignment vertical="center" wrapText="1"/>
    </xf>
    <xf numFmtId="176" fontId="16" fillId="9" borderId="16" xfId="65" applyNumberFormat="1" applyFont="1" applyFill="1" applyBorder="1" applyAlignment="1" applyProtection="1">
      <alignment horizontal="left" vertical="center" wrapText="1"/>
      <protection locked="0"/>
    </xf>
    <xf numFmtId="176" fontId="16" fillId="0" borderId="3" xfId="64" applyNumberFormat="1" applyFont="1" applyBorder="1" applyAlignment="1">
      <alignment horizontal="right" vertical="center" wrapText="1"/>
    </xf>
    <xf numFmtId="183" fontId="8" fillId="0" borderId="1" xfId="0" applyNumberFormat="1" applyFont="1" applyBorder="1" applyAlignment="1">
      <alignment horizontal="right" vertical="center"/>
    </xf>
    <xf numFmtId="176" fontId="16" fillId="0" borderId="1" xfId="64" applyNumberFormat="1" applyFont="1" applyBorder="1" applyAlignment="1">
      <alignment horizontal="right" vertical="center" wrapText="1"/>
    </xf>
    <xf numFmtId="0" fontId="16" fillId="0" borderId="1" xfId="65" applyNumberFormat="1" applyFont="1" applyFill="1" applyBorder="1" applyAlignment="1" applyProtection="1">
      <alignment horizontal="left" vertical="center"/>
    </xf>
    <xf numFmtId="0" fontId="17" fillId="0" borderId="1" xfId="65" applyNumberFormat="1" applyFont="1" applyFill="1" applyBorder="1" applyAlignment="1" applyProtection="1">
      <alignment horizontal="left" vertical="center"/>
    </xf>
    <xf numFmtId="176" fontId="17" fillId="0" borderId="1" xfId="70" applyNumberFormat="1" applyFont="1" applyBorder="1" applyAlignment="1" applyProtection="1">
      <alignment horizontal="right" vertical="center"/>
      <protection locked="0"/>
    </xf>
    <xf numFmtId="183" fontId="0" fillId="0" borderId="1" xfId="0" applyNumberFormat="1" applyBorder="1" applyAlignment="1">
      <alignment horizontal="right" vertical="center"/>
    </xf>
    <xf numFmtId="176" fontId="0" fillId="0" borderId="1" xfId="9" applyNumberFormat="1" applyFont="1" applyBorder="1" applyAlignment="1">
      <alignment horizontal="right" vertical="center"/>
    </xf>
    <xf numFmtId="176" fontId="17" fillId="0" borderId="1" xfId="64" applyNumberFormat="1" applyFont="1" applyFill="1" applyBorder="1" applyAlignment="1">
      <alignment horizontal="right" vertical="center"/>
    </xf>
    <xf numFmtId="176" fontId="0" fillId="0" borderId="1" xfId="0" applyNumberFormat="1" applyBorder="1" applyAlignment="1">
      <alignment horizontal="right" vertical="center"/>
    </xf>
    <xf numFmtId="176" fontId="16" fillId="9" borderId="1" xfId="65" applyNumberFormat="1" applyFont="1" applyFill="1" applyBorder="1" applyAlignment="1" applyProtection="1">
      <alignment vertical="center" wrapText="1"/>
      <protection locked="0"/>
    </xf>
    <xf numFmtId="49" fontId="17" fillId="9" borderId="1" xfId="65" applyNumberFormat="1" applyFont="1" applyFill="1" applyBorder="1" applyAlignment="1" applyProtection="1">
      <alignment vertical="center" wrapText="1" shrinkToFit="1"/>
      <protection locked="0"/>
    </xf>
    <xf numFmtId="1" fontId="17" fillId="9" borderId="1" xfId="65" applyNumberFormat="1" applyFont="1" applyFill="1" applyBorder="1" applyAlignment="1" applyProtection="1">
      <alignment vertical="center" wrapText="1"/>
      <protection locked="0"/>
    </xf>
    <xf numFmtId="0" fontId="17" fillId="0" borderId="1" xfId="64" applyFont="1" applyBorder="1">
      <alignment vertical="center"/>
    </xf>
    <xf numFmtId="0" fontId="16" fillId="0" borderId="1" xfId="65" applyNumberFormat="1" applyFont="1" applyFill="1" applyBorder="1" applyAlignment="1" applyProtection="1">
      <alignment horizontal="center" vertical="center"/>
    </xf>
    <xf numFmtId="176" fontId="17" fillId="0" borderId="1" xfId="63" applyNumberFormat="1" applyFont="1" applyFill="1" applyBorder="1" applyAlignment="1">
      <alignment horizontal="right" vertical="center"/>
    </xf>
    <xf numFmtId="0" fontId="4" fillId="0" borderId="0" xfId="56" applyFont="1" applyFill="1" applyAlignment="1">
      <alignment vertical="center"/>
    </xf>
    <xf numFmtId="0" fontId="68" fillId="0" borderId="0" xfId="56" applyFont="1" applyFill="1" applyAlignment="1">
      <alignment horizontal="center" vertical="center"/>
    </xf>
    <xf numFmtId="0" fontId="9" fillId="0" borderId="0" xfId="0" applyFont="1" applyFill="1" applyAlignment="1">
      <alignment horizontal="center" vertical="center"/>
    </xf>
    <xf numFmtId="0" fontId="33" fillId="0" borderId="0" xfId="57" applyFont="1" applyFill="1" applyAlignment="1">
      <alignment vertical="center" wrapText="1"/>
    </xf>
    <xf numFmtId="0" fontId="33" fillId="0" borderId="0" xfId="57" applyFont="1" applyFill="1" applyAlignment="1">
      <alignment horizontal="center" vertical="center" wrapText="1"/>
    </xf>
    <xf numFmtId="0" fontId="12" fillId="0" borderId="0" xfId="57" applyFont="1" applyFill="1" applyAlignment="1">
      <alignment horizontal="right" vertical="center"/>
    </xf>
    <xf numFmtId="0" fontId="34" fillId="0" borderId="1" xfId="57" applyFont="1" applyFill="1" applyBorder="1" applyAlignment="1" applyProtection="1">
      <alignment horizontal="center" vertical="center" wrapText="1"/>
      <protection locked="0"/>
    </xf>
    <xf numFmtId="177" fontId="34" fillId="0" borderId="1" xfId="57" applyNumberFormat="1" applyFont="1" applyFill="1" applyBorder="1" applyAlignment="1" applyProtection="1">
      <alignment horizontal="center" vertical="center" wrapText="1"/>
      <protection locked="0"/>
    </xf>
    <xf numFmtId="177" fontId="16" fillId="0" borderId="1" xfId="57" applyNumberFormat="1" applyFont="1" applyFill="1" applyBorder="1" applyAlignment="1" applyProtection="1">
      <alignment horizontal="center" vertical="center" wrapText="1"/>
      <protection locked="0"/>
    </xf>
    <xf numFmtId="0" fontId="34" fillId="0" borderId="1" xfId="57" applyFont="1" applyFill="1" applyBorder="1" applyAlignment="1">
      <alignment vertical="center" wrapText="1"/>
    </xf>
    <xf numFmtId="177" fontId="16" fillId="0" borderId="1" xfId="57" applyNumberFormat="1" applyFont="1" applyFill="1" applyBorder="1" applyAlignment="1">
      <alignment horizontal="right" vertical="center" wrapText="1"/>
    </xf>
    <xf numFmtId="177" fontId="16" fillId="0" borderId="1" xfId="57" applyNumberFormat="1" applyFont="1" applyFill="1" applyBorder="1" applyAlignment="1">
      <alignment horizontal="left" vertical="center" wrapText="1"/>
    </xf>
    <xf numFmtId="177" fontId="16" fillId="0" borderId="1" xfId="57" applyNumberFormat="1" applyFont="1" applyFill="1" applyBorder="1" applyAlignment="1" applyProtection="1">
      <alignment horizontal="left" vertical="center" wrapText="1"/>
      <protection locked="0"/>
    </xf>
    <xf numFmtId="0" fontId="12" fillId="0" borderId="1" xfId="57" applyFont="1" applyFill="1" applyBorder="1" applyAlignment="1">
      <alignment vertical="center" wrapText="1"/>
    </xf>
    <xf numFmtId="177" fontId="17" fillId="0" borderId="1" xfId="57" applyNumberFormat="1" applyFont="1" applyFill="1" applyBorder="1" applyAlignment="1">
      <alignment horizontal="right" vertical="center" wrapText="1"/>
    </xf>
    <xf numFmtId="179" fontId="17" fillId="0" borderId="1" xfId="57" applyNumberFormat="1" applyFont="1" applyFill="1" applyBorder="1" applyAlignment="1">
      <alignment horizontal="left" vertical="center" wrapText="1"/>
    </xf>
    <xf numFmtId="0" fontId="12" fillId="0" borderId="1" xfId="57" applyFont="1" applyFill="1" applyBorder="1" applyAlignment="1">
      <alignment horizontal="left" vertical="center" wrapText="1"/>
    </xf>
    <xf numFmtId="177" fontId="17" fillId="0" borderId="1" xfId="5" applyNumberFormat="1" applyFont="1" applyFill="1" applyBorder="1" applyAlignment="1">
      <alignment horizontal="left" vertical="center" wrapText="1"/>
    </xf>
    <xf numFmtId="0" fontId="34" fillId="0" borderId="1" xfId="57" applyFont="1" applyFill="1" applyBorder="1" applyAlignment="1">
      <alignment horizontal="left" vertical="center" wrapText="1"/>
    </xf>
    <xf numFmtId="0" fontId="17" fillId="0" borderId="1" xfId="57" applyFont="1" applyFill="1" applyBorder="1" applyAlignment="1">
      <alignment horizontal="left" vertical="center" wrapText="1"/>
    </xf>
    <xf numFmtId="0" fontId="34" fillId="0" borderId="1" xfId="57" applyFont="1" applyFill="1" applyBorder="1" applyAlignment="1">
      <alignment horizontal="center" vertical="center" wrapText="1"/>
    </xf>
    <xf numFmtId="182" fontId="0" fillId="0" borderId="0" xfId="0" applyNumberFormat="1" applyFill="1" applyAlignment="1">
      <alignment horizontal="center" vertical="center"/>
    </xf>
    <xf numFmtId="176" fontId="0" fillId="0" borderId="0" xfId="0" applyNumberFormat="1" applyFill="1" applyBorder="1" applyAlignment="1">
      <alignment vertical="center"/>
    </xf>
    <xf numFmtId="0" fontId="39" fillId="0" borderId="0" xfId="0" applyFont="1" applyFill="1" applyBorder="1" applyAlignment="1">
      <alignment vertical="center"/>
    </xf>
    <xf numFmtId="0" fontId="53" fillId="0" borderId="0" xfId="0" applyFont="1" applyFill="1" applyBorder="1" applyAlignment="1">
      <alignment vertical="center" wrapText="1"/>
    </xf>
    <xf numFmtId="0" fontId="8" fillId="0" borderId="0" xfId="0" applyFont="1" applyFill="1" applyBorder="1" applyAlignment="1">
      <alignment vertical="center"/>
    </xf>
    <xf numFmtId="176" fontId="8" fillId="0" borderId="0" xfId="0" applyNumberFormat="1" applyFont="1" applyFill="1" applyBorder="1" applyAlignment="1">
      <alignment vertical="center"/>
    </xf>
    <xf numFmtId="0" fontId="23" fillId="0" borderId="0" xfId="56" applyAlignment="1">
      <alignment vertical="center"/>
    </xf>
    <xf numFmtId="0" fontId="23" fillId="0" borderId="0" xfId="56"/>
    <xf numFmtId="0" fontId="23" fillId="0" borderId="0" xfId="56" applyAlignment="1">
      <alignment horizontal="center"/>
    </xf>
    <xf numFmtId="0" fontId="23" fillId="0" borderId="0" xfId="56" applyAlignment="1">
      <alignment vertical="center" wrapText="1"/>
    </xf>
    <xf numFmtId="0" fontId="23" fillId="0" borderId="0" xfId="56" applyFill="1" applyAlignment="1">
      <alignment horizontal="center"/>
    </xf>
    <xf numFmtId="0" fontId="20" fillId="0" borderId="0" xfId="68" applyFont="1" applyFill="1" applyAlignment="1">
      <alignment horizontal="center" vertical="center"/>
    </xf>
    <xf numFmtId="0" fontId="7" fillId="0" borderId="0" xfId="68" applyFont="1" applyFill="1" applyAlignment="1">
      <alignment vertical="center"/>
    </xf>
    <xf numFmtId="0" fontId="23" fillId="0" borderId="0" xfId="56" applyFill="1" applyAlignment="1">
      <alignment horizontal="center" vertical="center"/>
    </xf>
    <xf numFmtId="0" fontId="17" fillId="0" borderId="0" xfId="56" applyFont="1" applyFill="1" applyAlignment="1">
      <alignment horizontal="right" vertical="center"/>
    </xf>
    <xf numFmtId="0" fontId="6" fillId="0" borderId="17" xfId="68" applyFont="1" applyFill="1" applyBorder="1" applyAlignment="1">
      <alignment horizontal="center" vertical="center" wrapText="1"/>
    </xf>
    <xf numFmtId="0" fontId="6" fillId="0" borderId="1" xfId="68" applyFont="1" applyFill="1" applyBorder="1" applyAlignment="1">
      <alignment horizontal="center" vertical="center" wrapText="1"/>
    </xf>
    <xf numFmtId="0" fontId="6" fillId="0" borderId="1" xfId="56" applyFont="1" applyBorder="1" applyAlignment="1">
      <alignment horizontal="center" vertical="center" wrapText="1"/>
    </xf>
    <xf numFmtId="0" fontId="6" fillId="0" borderId="17" xfId="68" applyFont="1" applyFill="1" applyBorder="1" applyAlignment="1">
      <alignment horizontal="left" vertical="center" wrapText="1"/>
    </xf>
    <xf numFmtId="177" fontId="6" fillId="0" borderId="1" xfId="9" applyNumberFormat="1" applyFont="1" applyFill="1" applyBorder="1" applyAlignment="1" applyProtection="1">
      <alignment horizontal="right" vertical="center" wrapText="1"/>
    </xf>
    <xf numFmtId="0" fontId="17" fillId="0" borderId="1" xfId="56" applyFont="1" applyBorder="1" applyAlignment="1">
      <alignment vertical="center" wrapText="1"/>
    </xf>
    <xf numFmtId="3" fontId="6" fillId="0" borderId="17" xfId="68" applyNumberFormat="1" applyFont="1" applyFill="1" applyBorder="1" applyAlignment="1" applyProtection="1">
      <alignment horizontal="left" vertical="center" wrapText="1"/>
      <protection locked="0"/>
    </xf>
    <xf numFmtId="0" fontId="17" fillId="0" borderId="17" xfId="68" applyFont="1" applyFill="1" applyBorder="1" applyAlignment="1">
      <alignment vertical="center" wrapText="1"/>
    </xf>
    <xf numFmtId="177" fontId="7" fillId="0" borderId="1" xfId="9" applyNumberFormat="1" applyFont="1" applyFill="1" applyBorder="1" applyAlignment="1" applyProtection="1">
      <alignment horizontal="right" vertical="center" wrapText="1"/>
    </xf>
    <xf numFmtId="43" fontId="17" fillId="0" borderId="1" xfId="9" applyNumberFormat="1" applyFont="1" applyFill="1" applyBorder="1" applyAlignment="1" applyProtection="1">
      <alignment horizontal="center" vertical="center" wrapText="1"/>
    </xf>
    <xf numFmtId="43" fontId="17" fillId="0" borderId="1" xfId="9" applyNumberFormat="1" applyFont="1" applyFill="1" applyBorder="1" applyAlignment="1" applyProtection="1">
      <alignment vertical="center" wrapText="1"/>
    </xf>
    <xf numFmtId="3" fontId="6" fillId="0" borderId="1" xfId="68" applyNumberFormat="1" applyFont="1" applyFill="1" applyBorder="1" applyAlignment="1" applyProtection="1">
      <alignment horizontal="left" vertical="center" wrapText="1"/>
      <protection locked="0"/>
    </xf>
    <xf numFmtId="0" fontId="23" fillId="0" borderId="0" xfId="56" applyFill="1"/>
    <xf numFmtId="176" fontId="23" fillId="0" borderId="0" xfId="56" applyNumberFormat="1" applyFill="1" applyAlignment="1">
      <alignment horizontal="center"/>
    </xf>
    <xf numFmtId="0" fontId="23" fillId="0" borderId="0" xfId="56" applyFill="1" applyAlignment="1">
      <alignment horizontal="center" wrapText="1"/>
    </xf>
    <xf numFmtId="186" fontId="23" fillId="0" borderId="0" xfId="9" applyNumberFormat="1" applyFont="1" applyFill="1" applyBorder="1" applyAlignment="1" applyProtection="1">
      <alignment horizontal="center" wrapText="1"/>
    </xf>
  </cellXfs>
  <cellStyles count="82">
    <cellStyle name="常规" xfId="0" builtinId="0"/>
    <cellStyle name="货币[0]" xfId="1" builtinId="7"/>
    <cellStyle name="20% - 强调文字颜色 3" xfId="2" builtinId="38"/>
    <cellStyle name="输入" xfId="3" builtinId="20"/>
    <cellStyle name="货币" xfId="4" builtinId="4"/>
    <cellStyle name="常规 10 3" xfId="5"/>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常规 10 5" xfId="31"/>
    <cellStyle name="汇总" xfId="32" builtinId="25"/>
    <cellStyle name="好" xfId="33" builtinId="26"/>
    <cellStyle name="适中" xfId="34" builtinId="28"/>
    <cellStyle name="20% - 强调文字颜色 5" xfId="35" builtinId="46"/>
    <cellStyle name="强调文字颜色 1" xfId="36" builtinId="29"/>
    <cellStyle name="常规 2 2 2" xfId="37"/>
    <cellStyle name="20% - 强调文字颜色 1" xfId="38" builtinId="30"/>
    <cellStyle name="40% - 强调文字颜色 1" xfId="39" builtinId="31"/>
    <cellStyle name="常规 14 6" xfId="40"/>
    <cellStyle name="20% - 强调文字颜色 2" xfId="41" builtinId="34"/>
    <cellStyle name="40% - 强调文字颜色 2" xfId="42" builtinId="35"/>
    <cellStyle name="强调文字颜色 3" xfId="43" builtinId="37"/>
    <cellStyle name="强调文字颜色 4" xfId="44" builtinId="41"/>
    <cellStyle name="20% - 强调文字颜色 4" xfId="45" builtinId="42"/>
    <cellStyle name="40% - 强调文字颜色 4" xfId="46" builtinId="43"/>
    <cellStyle name="常规 55" xfId="47"/>
    <cellStyle name="常规 22 2" xfId="48"/>
    <cellStyle name="强调文字颜色 5" xfId="49" builtinId="45"/>
    <cellStyle name="40% - 强调文字颜色 5" xfId="50" builtinId="47"/>
    <cellStyle name="60% - 强调文字颜色 5" xfId="51" builtinId="48"/>
    <cellStyle name="强调文字颜色 6" xfId="52" builtinId="49"/>
    <cellStyle name="常规 10" xfId="53"/>
    <cellStyle name="40% - 强调文字颜色 6" xfId="54" builtinId="51"/>
    <cellStyle name="60% - 强调文字颜色 6" xfId="55" builtinId="52"/>
    <cellStyle name="常规 19" xfId="56"/>
    <cellStyle name="常规 2" xfId="57"/>
    <cellStyle name="常规 22" xfId="58"/>
    <cellStyle name="常规 23" xfId="59"/>
    <cellStyle name="常规 23 2" xfId="60"/>
    <cellStyle name="常规 23 4" xfId="61"/>
    <cellStyle name="常规 28" xfId="62"/>
    <cellStyle name="常规 3" xfId="63"/>
    <cellStyle name="常规 3 2 2 6" xfId="64"/>
    <cellStyle name="常规 3 4" xfId="65"/>
    <cellStyle name="常规 4" xfId="66"/>
    <cellStyle name="常规 9" xfId="67"/>
    <cellStyle name="常规_2006年收入及财力预算调整表" xfId="68"/>
    <cellStyle name="常规_Sheet1" xfId="69"/>
    <cellStyle name="千位分隔 10" xfId="70"/>
    <cellStyle name="常规_预计与预算2" xfId="71"/>
    <cellStyle name="常规 2 2 2 2_2015财政决算公开" xfId="72"/>
    <cellStyle name="常规_2014一般预算项目支出" xfId="73"/>
    <cellStyle name="常规_2015细化预算 2" xfId="74"/>
    <cellStyle name="常规_2015细化预算" xfId="75"/>
    <cellStyle name="常规_(汇总表)2017年社会保险基金调整预算表(1)" xfId="76"/>
    <cellStyle name="常规_2007年收入_财政收支月报2015" xfId="77"/>
    <cellStyle name="常规_2013办案、行政安排11.14" xfId="78"/>
    <cellStyle name="常规_2014办案、行政收费审批" xfId="79"/>
    <cellStyle name="常规 5" xfId="80"/>
    <cellStyle name="常规 30" xfId="81"/>
  </cellStyles>
  <dxfs count="1">
    <dxf>
      <font>
        <color rgb="FF9C0006"/>
      </font>
      <fill>
        <patternFill patternType="solid">
          <bgColor rgb="FFFFC7CE"/>
        </patternFill>
      </fill>
    </dxf>
  </dxfs>
  <tableStyles count="0" defaultTableStyle="TableStyleMedium2" defaultPivotStyle="PivotStyleLight16"/>
  <colors>
    <mruColors>
      <color rgb="00FFC000"/>
      <color rgb="00CCC0DA"/>
      <color rgb="00D8E4BC"/>
      <color rgb="00FFFFFF"/>
      <color rgb="0092D050"/>
      <color rgb="00B7DEE8"/>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6" Type="http://schemas.openxmlformats.org/officeDocument/2006/relationships/sharedStrings" Target="sharedStrings.xml"/><Relationship Id="rId45" Type="http://schemas.openxmlformats.org/officeDocument/2006/relationships/styles" Target="styles.xml"/><Relationship Id="rId44" Type="http://schemas.openxmlformats.org/officeDocument/2006/relationships/theme" Target="theme/theme1.xml"/><Relationship Id="rId43" Type="http://schemas.openxmlformats.org/officeDocument/2006/relationships/externalLink" Target="externalLinks/externalLink19.xml"/><Relationship Id="rId42" Type="http://schemas.openxmlformats.org/officeDocument/2006/relationships/externalLink" Target="externalLinks/externalLink18.xml"/><Relationship Id="rId41" Type="http://schemas.openxmlformats.org/officeDocument/2006/relationships/externalLink" Target="externalLinks/externalLink17.xml"/><Relationship Id="rId40" Type="http://schemas.openxmlformats.org/officeDocument/2006/relationships/externalLink" Target="externalLinks/externalLink16.xml"/><Relationship Id="rId4" Type="http://schemas.openxmlformats.org/officeDocument/2006/relationships/worksheet" Target="worksheets/sheet4.xml"/><Relationship Id="rId39" Type="http://schemas.openxmlformats.org/officeDocument/2006/relationships/externalLink" Target="externalLinks/externalLink15.xml"/><Relationship Id="rId38" Type="http://schemas.openxmlformats.org/officeDocument/2006/relationships/externalLink" Target="externalLinks/externalLink14.xml"/><Relationship Id="rId37" Type="http://schemas.openxmlformats.org/officeDocument/2006/relationships/externalLink" Target="externalLinks/externalLink13.xml"/><Relationship Id="rId36" Type="http://schemas.openxmlformats.org/officeDocument/2006/relationships/externalLink" Target="externalLinks/externalLink12.xml"/><Relationship Id="rId35" Type="http://schemas.openxmlformats.org/officeDocument/2006/relationships/externalLink" Target="externalLinks/externalLink11.xml"/><Relationship Id="rId34" Type="http://schemas.openxmlformats.org/officeDocument/2006/relationships/externalLink" Target="externalLinks/externalLink10.xml"/><Relationship Id="rId33" Type="http://schemas.openxmlformats.org/officeDocument/2006/relationships/externalLink" Target="externalLinks/externalLink9.xml"/><Relationship Id="rId32" Type="http://schemas.openxmlformats.org/officeDocument/2006/relationships/externalLink" Target="externalLinks/externalLink8.xml"/><Relationship Id="rId31" Type="http://schemas.openxmlformats.org/officeDocument/2006/relationships/externalLink" Target="externalLinks/externalLink7.xml"/><Relationship Id="rId30" Type="http://schemas.openxmlformats.org/officeDocument/2006/relationships/externalLink" Target="externalLinks/externalLink6.xml"/><Relationship Id="rId3" Type="http://schemas.openxmlformats.org/officeDocument/2006/relationships/worksheet" Target="worksheets/sheet3.xml"/><Relationship Id="rId29" Type="http://schemas.openxmlformats.org/officeDocument/2006/relationships/externalLink" Target="externalLinks/externalLink5.xml"/><Relationship Id="rId28" Type="http://schemas.openxmlformats.org/officeDocument/2006/relationships/externalLink" Target="externalLinks/externalLink4.xml"/><Relationship Id="rId27" Type="http://schemas.openxmlformats.org/officeDocument/2006/relationships/externalLink" Target="externalLinks/externalLink3.xml"/><Relationship Id="rId26" Type="http://schemas.openxmlformats.org/officeDocument/2006/relationships/externalLink" Target="externalLinks/externalLink2.xml"/><Relationship Id="rId25" Type="http://schemas.openxmlformats.org/officeDocument/2006/relationships/externalLink" Target="externalLinks/externalLink1.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hp\Desktop\Desktop\My%20Documents\2002&#24180;&#36130;&#25919;&#39044;&#31639;\2002&#24180;&#36130;&#25919;&#39044;&#31639;&#24635;&#3492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Users\hp\Desktop\&#25105;&#30340;&#25991;&#26723;\2015&#24180;&#39044;&#31639;\&#35843;&#25972;&#39044;&#31639;\&#25105;&#30340;&#25991;&#26723;\&#32467;&#36716;&#19979;&#24180;\2014\LD.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http:\10.49.65.9\DOCUME~1\bzqkf0\LOCALS~1\Temp\onworking\AP_COMMON_BCM_ALL_SCHEMATIC_0706192.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http:\10.49.65.9\DOCUME~1\bzqkf0\LOCALS~1\Temp\Powerdissipation_GM_BCM_Asia-WMP14Nov07.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Users\hp\Desktop\Desktop\&#24037;&#20316;&#25991;&#26723;\&#24037;&#20316;&#25991;&#20214;&#25991;&#26723;\&#21508;&#24180;&#24230;&#39044;&#31639;&#24773;&#20917;\2022&#24180;&#39044;&#31639;\&#24180;&#21021;&#39044;&#31639;&#25253;&#34920;\2020&#24180;&#39044;&#31639;&#25191;&#34892;&#24773;&#20917;&#21450;2021&#24180;&#39044;&#31639;&#33609;&#26696;\&#20154;&#22823;&#20250;&#19978;&#20250;&#34920;&#26684;.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Users\hp\Desktop\&#24037;&#20316;&#25991;&#26723;\&#24037;&#20316;&#25991;&#20214;&#25991;&#26723;\&#21508;&#24180;&#24230;&#39044;&#31639;&#24773;&#20917;\2022&#24180;&#39044;&#31639;\&#24180;&#21021;&#39044;&#31639;&#25253;&#34920;\2020&#24180;&#39044;&#31639;&#25191;&#34892;&#24773;&#20917;&#21450;2021&#24180;&#39044;&#31639;&#33609;&#26696;\&#20154;&#22823;&#20250;&#19978;&#20250;&#34920;&#26684;.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Users\hp\Desktop\Documents\My%20RTX%20Files\&#36182;&#21073;&#20852;\2022&#24180;&#24180;&#21021;&#39044;&#31639;&#65288;&#25919;&#24220;&#24615;&#22522;&#37329;&#39044;&#31639;&#65289;12.07.xlsx#REF"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Users\hp\Desktop\Program%20Files\LIM\Users\109175\Received%20Files\ATECH&#32534;&#36753;20090309"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Users\hp\Desktop\Desktop\My%20Documents\2011&#24180;&#39044;&#31639;\2011&#35843;&#25972;&#39044;&#31639;\2002&#24180;&#36130;&#25919;&#39044;&#31639;\2002&#24180;&#36130;&#25919;&#39044;&#31639;&#24635;&#34920;.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10.52.228.237\&#25968;&#25454;&#20132;&#25442;\&#39044;&#31639;&#32929;\ATECH&#32534;&#36753;20090309"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Users\hp\Desktop\My%20Documents\2011&#24180;&#39044;&#31639;\2011&#35843;&#25972;&#39044;&#31639;\2002&#24180;&#36130;&#25919;&#39044;&#31639;\2002&#24180;&#36130;&#25919;&#39044;&#31639;&#24635;&#3492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hp\Desktop\My%20Documents\2002&#24180;&#36130;&#25919;&#39044;&#31639;\2002&#24180;&#36130;&#25919;&#39044;&#31639;&#24635;&#3492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I:\My%20Documents\2002&#24180;&#36130;&#25919;&#39044;&#31639;\2002&#24180;&#36130;&#25919;&#39044;&#31639;&#24635;&#3492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My%20Documents\2002&#24180;&#36130;&#25919;&#39044;&#31639;\2002&#24180;&#36130;&#25919;&#39044;&#31639;&#24635;&#3492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hp\Desktop\Desktop\&#25105;&#30340;&#25991;&#26723;\My%20Documents\&#26376;&#25253;&#34920;201107\2002&#24180;&#36130;&#25919;&#39044;&#31639;\2002&#24180;&#36130;&#25919;&#39044;&#31639;&#24635;&#3492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hp\Desktop\&#25105;&#30340;&#25991;&#26723;\My%20Documents\&#26376;&#25253;&#34920;201107\2002&#24180;&#36130;&#25919;&#39044;&#31639;\2002&#24180;&#36130;&#25919;&#39044;&#31639;&#24635;&#34920;.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NTS01\jhc\unzipped\Eastern%20Airline%20FE\Spares\FILES\SMCTS2\SMCTSSP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A:\2002&#24180;&#39044;&#31639;&#35843;&#2597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Users\hp\Desktop\Desktop\&#25105;&#30340;&#25991;&#26723;\2015&#24180;&#39044;&#31639;\&#35843;&#25972;&#39044;&#31639;\&#25105;&#30340;&#25991;&#26723;\&#32467;&#36716;&#19979;&#24180;\2014\LD.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按类别"/>
      <sheetName val="2002年经常性支出对比表"/>
      <sheetName val="Sheet1"/>
    </sheetNames>
    <sheetDataSet>
      <sheetData sheetId="0" refreshError="1"/>
      <sheetData sheetId="1" refreshError="1"/>
      <sheetData sheetId="2" refreshError="1"/>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LD"/>
      <sheetName val="eqpmad2"/>
      <sheetName val="Prg"/>
      <sheetName val="Profile"/>
      <sheetName val="按类别"/>
      <sheetName val="县长批条"/>
    </sheetNames>
    <definedNames>
      <definedName name="BM8_SelectZBM.BM8_ZBMChangeKMM"/>
      <definedName name="BM8_SelectZBM.BM8_ZBMminusOption"/>
      <definedName name="BM8_SelectZBM.BM8_ZBMSumOption"/>
    </definedNames>
    <sheetDataSet>
      <sheetData sheetId="0"/>
      <sheetData sheetId="1"/>
      <sheetData sheetId="2"/>
      <sheetData sheetId="3"/>
      <sheetData sheetId="4"/>
      <sheetData sheetId="5"/>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BOM"/>
      <sheetName val="Multi"/>
      <sheetName val="BB"/>
      <sheetName val="Profile"/>
      <sheetName val="1"/>
      <sheetName val="2"/>
      <sheetName val="3"/>
      <sheetName val="4"/>
      <sheetName val="5"/>
      <sheetName val="Pur"/>
      <sheetName val="Prg"/>
      <sheetName val="2019年商品和服务支出"/>
      <sheetName val="AP_COMMON_BCM_ALL_SCHEMATIC_070"/>
      <sheetName val="按类别"/>
      <sheetName val="Devices"/>
      <sheetName val="eqpmad2"/>
      <sheetName val="县长批条"/>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12.xml><?xml version="1.0" encoding="utf-8"?>
<externalLink xmlns="http://schemas.openxmlformats.org/spreadsheetml/2006/main">
  <externalBook xmlns:r="http://schemas.openxmlformats.org/officeDocument/2006/relationships" r:id="rId1">
    <sheetNames>
      <sheetName val="Template"/>
      <sheetName val="Devices"/>
      <sheetName val="REV_Dictionary"/>
      <sheetName val="Prg"/>
      <sheetName val="Profile"/>
      <sheetName val="政府投资项目"/>
      <sheetName val="企业运作项目"/>
      <sheetName val="乡镇村筹资项目"/>
      <sheetName val="Powerdissipation_GM_BCM_Asia-WM"/>
      <sheetName val="按类别"/>
      <sheetName val="一般公共预算收入 "/>
      <sheetName val="县长批条"/>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3.xml><?xml version="1.0" encoding="utf-8"?>
<externalLink xmlns="http://schemas.openxmlformats.org/spreadsheetml/2006/main">
  <externalBook xmlns:r="http://schemas.openxmlformats.org/officeDocument/2006/relationships" r:id="rId1">
    <sheetNames>
      <sheetName val="1.2020年收入 "/>
      <sheetName val="2.2020一般公共预算财力"/>
      <sheetName val="3.2020总支出 "/>
      <sheetName val="4.2020基金财力"/>
      <sheetName val="5.2020基金支出"/>
      <sheetName val="6.2020国有资本"/>
      <sheetName val="7.2020社会保障基金"/>
      <sheetName val="8.2021收入 "/>
      <sheetName val="9.2021一般公共预算财力"/>
      <sheetName val="10.2021.总支出"/>
      <sheetName val="11.2021基金收入"/>
      <sheetName val="12.2021基金支出"/>
      <sheetName val="13.2021国有资本经营预算"/>
      <sheetName val="14.2021社会保障基金"/>
      <sheetName val="15.商品和服务支出"/>
      <sheetName val="县本级支出一"/>
      <sheetName val="本级财力"/>
      <sheetName val="县本级支出二"/>
      <sheetName val="经常性支出表"/>
    </sheetNames>
    <definedNames>
      <definedName name="Module.Prix_SMC" sheetId="9"/>
      <definedName name="Number_of_Payments" sheetId="14"/>
      <definedName name="Prix_SMC" sheetId="9"/>
      <definedName name="Values_Entered" sheetId="14"/>
      <definedName name="寄宿制学校" sheetId="9"/>
      <definedName name="简单快乐福建" sheetId="9"/>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4.xml><?xml version="1.0" encoding="utf-8"?>
<externalLink xmlns="http://schemas.openxmlformats.org/spreadsheetml/2006/main">
  <externalBook xmlns:r="http://schemas.openxmlformats.org/officeDocument/2006/relationships" r:id="rId1">
    <sheetNames>
      <sheetName val="1.2020年收入 "/>
      <sheetName val="2.2020一般公共预算财力"/>
      <sheetName val="3.2020总支出 "/>
      <sheetName val="4.2020基金财力"/>
      <sheetName val="5.2020基金支出"/>
      <sheetName val="6.2020国有资本"/>
      <sheetName val="7.2020社会保障基金"/>
      <sheetName val="8.2021收入 "/>
      <sheetName val="9.2021一般公共预算财力"/>
      <sheetName val="10.2021.总支出"/>
      <sheetName val="11.2021基金收入"/>
      <sheetName val="12.2021基金支出"/>
      <sheetName val="13.2021国有资本经营预算"/>
      <sheetName val="14.2021社会保障基金"/>
      <sheetName val="15.商品和服务支出"/>
      <sheetName val="县本级支出一"/>
      <sheetName val="本级财力"/>
      <sheetName val="县本级支出二"/>
      <sheetName val="经常性支出表"/>
      <sheetName val="Devices"/>
      <sheetName val="Prg"/>
      <sheetName val="Profile"/>
    </sheetNames>
    <definedNames>
      <definedName name="Module.Prix_SMC" sheetId="9"/>
      <definedName name="Number_of_Payments" sheetId="14"/>
      <definedName name="Prix_SMC" sheetId="9"/>
      <definedName name="Values_Entered" sheetId="14"/>
      <definedName name="寄宿制学校" sheetId="9"/>
      <definedName name="简单快乐福建" sheetId="9"/>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15.xml><?xml version="1.0" encoding="utf-8"?>
<externalLink xmlns="http://schemas.openxmlformats.org/spreadsheetml/2006/main">
  <externalBook xmlns:r="http://schemas.openxmlformats.org/officeDocument/2006/relationships" r:id="rId1">
    <sheetNames>
      <sheetName val="#REF"/>
      <sheetName val="2022年年初预算（政府性基金预算）12.07"/>
      <sheetName val="15.商品和服务支出"/>
      <sheetName val="10.2021.总支出"/>
      <sheetName val="ATECH编辑20090309"/>
      <sheetName val="按类别"/>
    </sheetNames>
    <definedNames>
      <definedName name="Number_of_Payments"/>
      <definedName name="Values_Entered"/>
    </defined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6.xml><?xml version="1.0" encoding="utf-8"?>
<externalLink xmlns="http://schemas.openxmlformats.org/spreadsheetml/2006/main">
  <externalBook xmlns:r="http://schemas.openxmlformats.org/officeDocument/2006/relationships" r:id="rId1">
    <sheetNames>
      <sheetName val="ATECH编辑20090309"/>
      <sheetName val="S19、A0 and JC22 BCM PIN V1.0"/>
    </sheetNames>
    <sheetDataSet>
      <sheetData sheetId="0" refreshError="1"/>
      <sheetData sheetId="1" refreshError="1"/>
    </sheetDataSet>
  </externalBook>
</externalLink>
</file>

<file path=xl/externalLinks/externalLink17.xml><?xml version="1.0" encoding="utf-8"?>
<externalLink xmlns="http://schemas.openxmlformats.org/spreadsheetml/2006/main">
  <externalBook xmlns:r="http://schemas.openxmlformats.org/officeDocument/2006/relationships" r:id="rId1">
    <sheetNames>
      <sheetName val="按类别"/>
      <sheetName val="2002年经常性支出对比表"/>
      <sheetName val="Sheet1"/>
      <sheetName val="ATECH编辑20090309"/>
    </sheetNames>
    <sheetDataSet>
      <sheetData sheetId="0" refreshError="1"/>
      <sheetData sheetId="1" refreshError="1"/>
      <sheetData sheetId="2" refreshError="1"/>
      <sheetData sheetId="3" refreshError="1"/>
    </sheetDataSet>
  </externalBook>
</externalLink>
</file>

<file path=xl/externalLinks/externalLink18.xml><?xml version="1.0" encoding="utf-8"?>
<externalLink xmlns="http://schemas.openxmlformats.org/spreadsheetml/2006/main">
  <externalBook xmlns:r="http://schemas.openxmlformats.org/officeDocument/2006/relationships" r:id="rId1">
    <sheetNames>
      <sheetName val="ATECH编辑20090309"/>
      <sheetName val="S19、A0 and JC22 BCM PIN V1.0"/>
      <sheetName val="Devices"/>
      <sheetName val="县长批条"/>
      <sheetName val="15.商品和服务支出"/>
      <sheetName val="10.2021.总支出"/>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9.xml><?xml version="1.0" encoding="utf-8"?>
<externalLink xmlns="http://schemas.openxmlformats.org/spreadsheetml/2006/main">
  <externalBook xmlns:r="http://schemas.openxmlformats.org/officeDocument/2006/relationships" r:id="rId1">
    <sheetNames>
      <sheetName val="按类别"/>
      <sheetName val="2002年经常性支出对比表"/>
      <sheetName val="Sheet1"/>
      <sheetName val="ATECH编辑20090309"/>
      <sheetName val="Prg"/>
      <sheetName val="Profile"/>
      <sheetName val="Devices"/>
      <sheetName val="S19、A0 and JC22 BCM PIN V1.0"/>
      <sheetName val="15.商品和服务支出"/>
      <sheetName val="10.2021.总支出"/>
      <sheetName val="一般公共预算收入 "/>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按类别"/>
      <sheetName val="2002年经常性支出对比表"/>
      <sheetName val="Sheet1"/>
    </sheetNames>
    <sheetDataSet>
      <sheetData sheetId="0"/>
      <sheetData sheetId="1"/>
      <sheetData sheetId="2"/>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按类别"/>
      <sheetName val="2002年经常性支出对比表"/>
      <sheetName val="Sheet1"/>
    </sheetNames>
    <sheetDataSet>
      <sheetData sheetId="0" refreshError="1"/>
      <sheetData sheetId="1" refreshError="1"/>
      <sheetData sheetId="2"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按类别"/>
      <sheetName val="2002年经常性支出对比表"/>
      <sheetName val="Sheet1"/>
    </sheetNames>
    <sheetDataSet>
      <sheetData sheetId="0" refreshError="1"/>
      <sheetData sheetId="1" refreshError="1"/>
      <sheetData sheetId="2"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按类别"/>
      <sheetName val="2002年经常性支出对比表"/>
      <sheetName val="Sheet1"/>
      <sheetName val="县长批条"/>
      <sheetName val="eqpmad2"/>
    </sheetNames>
    <sheetDataSet>
      <sheetData sheetId="0" refreshError="1"/>
      <sheetData sheetId="1" refreshError="1"/>
      <sheetData sheetId="2" refreshError="1"/>
      <sheetData sheetId="3" refreshError="1"/>
      <sheetData sheetId="4"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按类别"/>
      <sheetName val="2002年经常性支出对比表"/>
      <sheetName val="Sheet1"/>
      <sheetName val="县长批条"/>
      <sheetName val="eqpmad2"/>
    </sheetNames>
    <sheetDataSet>
      <sheetData sheetId="0"/>
      <sheetData sheetId="1"/>
      <sheetData sheetId="2"/>
      <sheetData sheetId="3"/>
      <sheetData sheetId="4"/>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eqpmad2"/>
      <sheetName val="按类别"/>
      <sheetName val="县长批条"/>
      <sheetName val="ATECH编辑20090309"/>
    </sheetNames>
    <sheetDataSet>
      <sheetData sheetId="0" refreshError="1"/>
      <sheetData sheetId="1" refreshError="1"/>
      <sheetData sheetId="2" refreshError="1"/>
      <sheetData sheetId="3" refreshError="1"/>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2001年结转县长批条"/>
      <sheetName val="县长批条"/>
      <sheetName val="转移支付"/>
      <sheetName val="eqpmad2"/>
      <sheetName val="按类别"/>
      <sheetName val="Prg"/>
      <sheetName val="Profile"/>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LD"/>
      <sheetName val="eqpmad2"/>
      <sheetName val="Prg"/>
      <sheetName val="Profile"/>
    </sheetNames>
    <definedNames>
      <definedName name="BM8_SelectZBM.BM8_ZBMChangeKMM"/>
      <definedName name="BM8_SelectZBM.BM8_ZBMminusOption"/>
      <definedName name="BM8_SelectZBM.BM8_ZBMSumOption"/>
    </defined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1.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comments" Target="../comments2.xml"/></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1"/>
  <sheetViews>
    <sheetView tabSelected="1" view="pageBreakPreview" zoomScaleNormal="100" zoomScaleSheetLayoutView="100" workbookViewId="0">
      <selection activeCell="E5" sqref="E5"/>
    </sheetView>
  </sheetViews>
  <sheetFormatPr defaultColWidth="8.63333333333333" defaultRowHeight="11.25" outlineLevelCol="4"/>
  <cols>
    <col min="1" max="1" width="31" style="772" customWidth="1"/>
    <col min="2" max="4" width="15.5" style="773" customWidth="1"/>
    <col min="5" max="5" width="20" style="774" customWidth="1"/>
    <col min="6" max="6" width="8.63333333333333" style="772" customWidth="1"/>
    <col min="7" max="8" width="8.875" style="772"/>
    <col min="9" max="10" width="8.63333333333333" style="772"/>
    <col min="11" max="11" width="8.875" style="772"/>
    <col min="12" max="16384" width="8.63333333333333" style="772"/>
  </cols>
  <sheetData>
    <row r="1" ht="18" customHeight="1" spans="1:4">
      <c r="A1" s="744" t="s">
        <v>0</v>
      </c>
      <c r="B1" s="775"/>
      <c r="C1" s="775"/>
      <c r="D1" s="775"/>
    </row>
    <row r="2" ht="35" customHeight="1" spans="1:5">
      <c r="A2" s="776" t="s">
        <v>1</v>
      </c>
      <c r="B2" s="776"/>
      <c r="C2" s="776"/>
      <c r="D2" s="776"/>
      <c r="E2" s="776"/>
    </row>
    <row r="3" s="771" customFormat="1" ht="20" customHeight="1" spans="1:5">
      <c r="A3" s="777"/>
      <c r="B3" s="778"/>
      <c r="C3" s="778"/>
      <c r="D3" s="778"/>
      <c r="E3" s="779" t="s">
        <v>2</v>
      </c>
    </row>
    <row r="4" s="771" customFormat="1" ht="42" customHeight="1" spans="1:5">
      <c r="A4" s="780" t="s">
        <v>3</v>
      </c>
      <c r="B4" s="781" t="s">
        <v>4</v>
      </c>
      <c r="C4" s="781" t="s">
        <v>5</v>
      </c>
      <c r="D4" s="781" t="s">
        <v>6</v>
      </c>
      <c r="E4" s="782" t="s">
        <v>7</v>
      </c>
    </row>
    <row r="5" ht="42" customHeight="1" spans="1:5">
      <c r="A5" s="783" t="s">
        <v>8</v>
      </c>
      <c r="B5" s="784">
        <f>'2 县本级统筹财力'!B28</f>
        <v>265414.5</v>
      </c>
      <c r="C5" s="784">
        <f>'2 县本级统筹财力'!C28</f>
        <v>-7162.77299999999</v>
      </c>
      <c r="D5" s="784">
        <f>'2 县本级统筹财力'!D28</f>
        <v>258251.727</v>
      </c>
      <c r="E5" s="785" t="s">
        <v>9</v>
      </c>
    </row>
    <row r="6" ht="42" customHeight="1" spans="1:5">
      <c r="A6" s="786" t="s">
        <v>10</v>
      </c>
      <c r="B6" s="784">
        <f>SUM(B7:B10)</f>
        <v>265414.5827</v>
      </c>
      <c r="C6" s="784">
        <f>SUM(C7:C10)</f>
        <v>-7162.92757896005</v>
      </c>
      <c r="D6" s="784">
        <f>SUM(D7:D10)</f>
        <v>258251.65512104</v>
      </c>
      <c r="E6" s="785"/>
    </row>
    <row r="7" ht="42" customHeight="1" spans="1:5">
      <c r="A7" s="787" t="s">
        <v>11</v>
      </c>
      <c r="B7" s="788">
        <f>'4 科目汇总表'!C32</f>
        <v>216227.5827</v>
      </c>
      <c r="C7" s="788">
        <f>D7-B7</f>
        <v>4754.19542103994</v>
      </c>
      <c r="D7" s="788">
        <f>'4 科目汇总表'!Q32</f>
        <v>220981.77812104</v>
      </c>
      <c r="E7" s="789"/>
    </row>
    <row r="8" ht="42" customHeight="1" spans="1:5">
      <c r="A8" s="787" t="s">
        <v>12</v>
      </c>
      <c r="B8" s="788">
        <f>'4 科目汇总表'!C33</f>
        <v>40387</v>
      </c>
      <c r="C8" s="788">
        <f>D8-B8</f>
        <v>-38455.95</v>
      </c>
      <c r="D8" s="788">
        <f>'4 科目汇总表'!Q33</f>
        <v>1931.05</v>
      </c>
      <c r="E8" s="785"/>
    </row>
    <row r="9" ht="42" customHeight="1" spans="1:5">
      <c r="A9" s="787" t="s">
        <v>13</v>
      </c>
      <c r="B9" s="788">
        <f>'4 科目汇总表'!C34</f>
        <v>8800</v>
      </c>
      <c r="C9" s="788">
        <f>D9-B9</f>
        <v>-200</v>
      </c>
      <c r="D9" s="788">
        <f>'4 科目汇总表'!Q34</f>
        <v>8600</v>
      </c>
      <c r="E9" s="790"/>
    </row>
    <row r="10" ht="42" customHeight="1" spans="1:5">
      <c r="A10" s="787" t="s">
        <v>14</v>
      </c>
      <c r="B10" s="788">
        <f>'4 科目汇总表'!C35</f>
        <v>0</v>
      </c>
      <c r="C10" s="788">
        <f>D10-B10</f>
        <v>26738.827</v>
      </c>
      <c r="D10" s="788">
        <f>'4 科目汇总表'!Q35</f>
        <v>26738.827</v>
      </c>
      <c r="E10" s="790"/>
    </row>
    <row r="11" ht="42" customHeight="1" spans="1:5">
      <c r="A11" s="791" t="s">
        <v>15</v>
      </c>
      <c r="B11" s="784">
        <f>B5-B6</f>
        <v>-0.0827000000281259</v>
      </c>
      <c r="C11" s="784">
        <f>C5-C6</f>
        <v>0.1545789600641</v>
      </c>
      <c r="D11" s="784">
        <f>D5-D6</f>
        <v>0.0718789600941818</v>
      </c>
      <c r="E11" s="789"/>
    </row>
    <row r="12" spans="1:4">
      <c r="A12" s="792"/>
      <c r="B12" s="775"/>
      <c r="C12" s="775"/>
      <c r="D12" s="793"/>
    </row>
    <row r="13" spans="1:4">
      <c r="A13" s="792"/>
      <c r="B13" s="775"/>
      <c r="C13" s="775"/>
      <c r="D13" s="793"/>
    </row>
    <row r="14" spans="1:4">
      <c r="A14" s="792"/>
      <c r="B14" s="794"/>
      <c r="C14" s="794"/>
      <c r="D14" s="795"/>
    </row>
    <row r="15" spans="1:4">
      <c r="A15" s="792"/>
      <c r="B15" s="794"/>
      <c r="C15" s="794"/>
      <c r="D15" s="794"/>
    </row>
    <row r="16" spans="1:4">
      <c r="A16" s="792"/>
      <c r="B16" s="775"/>
      <c r="C16" s="775"/>
      <c r="D16" s="775"/>
    </row>
    <row r="17" spans="1:4">
      <c r="A17" s="792"/>
      <c r="B17" s="775"/>
      <c r="C17" s="775"/>
      <c r="D17" s="775"/>
    </row>
    <row r="18" spans="1:4">
      <c r="A18" s="792"/>
      <c r="B18" s="775"/>
      <c r="C18" s="775"/>
      <c r="D18" s="775"/>
    </row>
    <row r="19" spans="1:4">
      <c r="A19" s="792"/>
      <c r="B19" s="775"/>
      <c r="C19" s="775"/>
      <c r="D19" s="775"/>
    </row>
    <row r="20" spans="1:4">
      <c r="A20" s="792"/>
      <c r="B20" s="775"/>
      <c r="C20" s="775"/>
      <c r="D20" s="775"/>
    </row>
    <row r="21" spans="1:4">
      <c r="A21" s="792"/>
      <c r="B21" s="775"/>
      <c r="C21" s="775"/>
      <c r="D21" s="775"/>
    </row>
  </sheetData>
  <mergeCells count="1">
    <mergeCell ref="A2:E2"/>
  </mergeCells>
  <printOptions horizontalCentered="1"/>
  <pageMargins left="0.751388888888889" right="0.751388888888889" top="1" bottom="1" header="0.507638888888889" footer="0.507638888888889"/>
  <pageSetup paperSize="9" firstPageNumber="10" orientation="landscape" useFirstPageNumber="1"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BG215"/>
  <sheetViews>
    <sheetView workbookViewId="0">
      <pane xSplit="4" ySplit="5" topLeftCell="E6" activePane="bottomRight" state="frozen"/>
      <selection/>
      <selection pane="topRight"/>
      <selection pane="bottomLeft"/>
      <selection pane="bottomRight" activeCell="V12" sqref="V12"/>
    </sheetView>
  </sheetViews>
  <sheetFormatPr defaultColWidth="9" defaultRowHeight="13.5"/>
  <cols>
    <col min="1" max="1" width="10.375" style="509" customWidth="1"/>
    <col min="2" max="2" width="8.75" style="509" customWidth="1"/>
    <col min="3" max="3" width="22.75" style="509" customWidth="1"/>
    <col min="4" max="4" width="16.75" style="509" customWidth="1"/>
    <col min="5" max="5" width="10" style="134" customWidth="1"/>
    <col min="6" max="6" width="10.8333333333333" style="130" hidden="1" customWidth="1"/>
    <col min="7" max="7" width="8.375" style="130" hidden="1" customWidth="1"/>
    <col min="8" max="8" width="7.75" style="130" hidden="1" customWidth="1"/>
    <col min="9" max="9" width="8.375" style="130" hidden="1" customWidth="1"/>
    <col min="10" max="10" width="7.625" style="130" hidden="1" customWidth="1"/>
    <col min="11" max="11" width="8.375" style="130" hidden="1" customWidth="1"/>
    <col min="12" max="12" width="8" style="130" hidden="1" customWidth="1"/>
    <col min="13" max="13" width="8.75" style="130" hidden="1" customWidth="1"/>
    <col min="14" max="14" width="8.2" style="130" hidden="1" customWidth="1"/>
    <col min="15" max="16" width="8.725" style="510" hidden="1" customWidth="1"/>
    <col min="17" max="17" width="8.625" style="130" hidden="1" customWidth="1"/>
    <col min="18" max="18" width="7.5" style="130" hidden="1" customWidth="1"/>
    <col min="19" max="19" width="9.375" style="130" hidden="1" customWidth="1"/>
    <col min="20" max="20" width="10" style="130" hidden="1" customWidth="1"/>
    <col min="21" max="21" width="8.5" style="130" hidden="1" customWidth="1"/>
    <col min="22" max="22" width="8.5" style="130" customWidth="1"/>
    <col min="23" max="23" width="10" style="130" customWidth="1"/>
    <col min="24" max="24" width="7.125" style="130" customWidth="1"/>
    <col min="25" max="25" width="8.375" style="130" customWidth="1"/>
    <col min="26" max="27" width="7.125" style="130" customWidth="1"/>
    <col min="28" max="28" width="8.375" style="130" customWidth="1"/>
    <col min="29" max="29" width="7.125" style="130" customWidth="1"/>
    <col min="30" max="33" width="8.5" style="130" customWidth="1"/>
    <col min="34" max="34" width="9.375" style="130" customWidth="1"/>
    <col min="35" max="36" width="7.125" style="130" customWidth="1"/>
    <col min="37" max="38" width="8.5" style="130" customWidth="1"/>
    <col min="39" max="40" width="10.375" style="130" customWidth="1"/>
    <col min="41" max="46" width="8.5" style="130" customWidth="1"/>
    <col min="47" max="47" width="10.375" style="130" customWidth="1"/>
    <col min="48" max="55" width="8.5" style="130" customWidth="1"/>
    <col min="56" max="56" width="36" style="511" customWidth="1"/>
    <col min="57" max="57" width="36.375" style="511" hidden="1" customWidth="1"/>
    <col min="58" max="58" width="12" style="130" customWidth="1"/>
    <col min="59" max="59" width="11.625" style="130"/>
    <col min="60" max="16384" width="9" style="130"/>
  </cols>
  <sheetData>
    <row r="1" ht="27" spans="1:57">
      <c r="A1" s="512" t="s">
        <v>733</v>
      </c>
      <c r="B1" s="512"/>
      <c r="C1" s="512"/>
      <c r="D1" s="512"/>
      <c r="E1" s="513"/>
      <c r="F1" s="513"/>
      <c r="G1" s="513"/>
      <c r="H1" s="513"/>
      <c r="I1" s="513"/>
      <c r="J1" s="513"/>
      <c r="K1" s="513"/>
      <c r="L1" s="513"/>
      <c r="M1" s="513"/>
      <c r="N1" s="513"/>
      <c r="O1" s="513"/>
      <c r="P1" s="513"/>
      <c r="Q1" s="513"/>
      <c r="R1" s="513"/>
      <c r="S1" s="513"/>
      <c r="T1" s="513"/>
      <c r="U1" s="513"/>
      <c r="V1" s="513"/>
      <c r="W1" s="513"/>
      <c r="X1" s="513"/>
      <c r="Y1" s="513"/>
      <c r="Z1" s="513"/>
      <c r="AA1" s="513"/>
      <c r="AB1" s="513"/>
      <c r="AC1" s="513"/>
      <c r="AD1" s="513"/>
      <c r="AE1" s="513"/>
      <c r="AF1" s="513"/>
      <c r="AG1" s="513"/>
      <c r="AH1" s="513"/>
      <c r="AI1" s="513"/>
      <c r="AJ1" s="513"/>
      <c r="AK1" s="513"/>
      <c r="AL1" s="513"/>
      <c r="AM1" s="513"/>
      <c r="AN1" s="513"/>
      <c r="AO1" s="513"/>
      <c r="AP1" s="513"/>
      <c r="AQ1" s="513"/>
      <c r="AR1" s="513"/>
      <c r="AS1" s="513"/>
      <c r="AT1" s="513"/>
      <c r="AU1" s="513"/>
      <c r="AV1" s="513"/>
      <c r="AW1" s="513"/>
      <c r="AX1" s="513"/>
      <c r="AY1" s="513"/>
      <c r="AZ1" s="513"/>
      <c r="BA1" s="513"/>
      <c r="BB1" s="513"/>
      <c r="BC1" s="513"/>
      <c r="BD1" s="538"/>
      <c r="BE1" s="538"/>
    </row>
    <row r="2" ht="18" customHeight="1" spans="1:57">
      <c r="A2" s="144"/>
      <c r="B2" s="514"/>
      <c r="C2" s="514"/>
      <c r="D2" s="514"/>
      <c r="E2" s="515"/>
      <c r="F2" s="325"/>
      <c r="G2" s="325"/>
      <c r="H2" s="325"/>
      <c r="I2" s="325"/>
      <c r="J2" s="325"/>
      <c r="K2" s="325"/>
      <c r="L2" s="325"/>
      <c r="M2" s="325"/>
      <c r="N2" s="325"/>
      <c r="O2" s="325"/>
      <c r="P2" s="325"/>
      <c r="Q2" s="325"/>
      <c r="R2" s="325"/>
      <c r="S2" s="325"/>
      <c r="T2" s="325"/>
      <c r="U2" s="325"/>
      <c r="V2" s="325"/>
      <c r="W2" s="325"/>
      <c r="X2" s="325"/>
      <c r="Y2" s="325"/>
      <c r="Z2" s="325"/>
      <c r="AA2" s="325"/>
      <c r="AB2" s="325"/>
      <c r="AC2" s="325"/>
      <c r="AD2" s="325"/>
      <c r="AE2" s="325"/>
      <c r="AF2" s="325"/>
      <c r="AG2" s="325"/>
      <c r="AH2" s="325"/>
      <c r="AI2" s="325"/>
      <c r="AJ2" s="325"/>
      <c r="AK2" s="325"/>
      <c r="AL2" s="325"/>
      <c r="AM2" s="325"/>
      <c r="AN2" s="325"/>
      <c r="AO2" s="325"/>
      <c r="AP2" s="325"/>
      <c r="AQ2" s="325"/>
      <c r="AR2" s="325"/>
      <c r="AS2" s="325"/>
      <c r="AT2" s="325"/>
      <c r="AU2" s="325"/>
      <c r="AV2" s="325"/>
      <c r="AW2" s="325"/>
      <c r="AX2" s="325"/>
      <c r="AY2" s="325"/>
      <c r="AZ2" s="325"/>
      <c r="BA2" s="325"/>
      <c r="BB2" s="325"/>
      <c r="BC2" s="325"/>
      <c r="BD2" s="539" t="s">
        <v>2</v>
      </c>
      <c r="BE2" s="539"/>
    </row>
    <row r="3" ht="21" customHeight="1" spans="1:57">
      <c r="A3" s="467" t="s">
        <v>178</v>
      </c>
      <c r="B3" s="516" t="s">
        <v>179</v>
      </c>
      <c r="C3" s="467" t="s">
        <v>157</v>
      </c>
      <c r="D3" s="467" t="s">
        <v>156</v>
      </c>
      <c r="E3" s="517" t="s">
        <v>114</v>
      </c>
      <c r="F3" s="518"/>
      <c r="G3" s="518"/>
      <c r="H3" s="518"/>
      <c r="I3" s="518"/>
      <c r="J3" s="518"/>
      <c r="K3" s="518"/>
      <c r="L3" s="518"/>
      <c r="M3" s="518"/>
      <c r="N3" s="518"/>
      <c r="O3" s="518"/>
      <c r="P3" s="518"/>
      <c r="Q3" s="518"/>
      <c r="R3" s="518"/>
      <c r="S3" s="518"/>
      <c r="T3" s="518"/>
      <c r="U3" s="531"/>
      <c r="V3" s="532" t="s">
        <v>158</v>
      </c>
      <c r="W3" s="533"/>
      <c r="X3" s="533"/>
      <c r="Y3" s="533"/>
      <c r="Z3" s="533"/>
      <c r="AA3" s="533"/>
      <c r="AB3" s="533"/>
      <c r="AC3" s="533"/>
      <c r="AD3" s="533"/>
      <c r="AE3" s="533"/>
      <c r="AF3" s="533"/>
      <c r="AG3" s="533"/>
      <c r="AH3" s="533"/>
      <c r="AI3" s="533"/>
      <c r="AJ3" s="533"/>
      <c r="AK3" s="533"/>
      <c r="AL3" s="535"/>
      <c r="AM3" s="517" t="s">
        <v>159</v>
      </c>
      <c r="AN3" s="518"/>
      <c r="AO3" s="518"/>
      <c r="AP3" s="518"/>
      <c r="AQ3" s="518"/>
      <c r="AR3" s="518"/>
      <c r="AS3" s="518"/>
      <c r="AT3" s="518"/>
      <c r="AU3" s="518"/>
      <c r="AV3" s="518"/>
      <c r="AW3" s="518"/>
      <c r="AX3" s="518"/>
      <c r="AY3" s="518"/>
      <c r="AZ3" s="518"/>
      <c r="BA3" s="518"/>
      <c r="BB3" s="518"/>
      <c r="BC3" s="531"/>
      <c r="BD3" s="467" t="s">
        <v>26</v>
      </c>
      <c r="BE3" s="467" t="s">
        <v>734</v>
      </c>
    </row>
    <row r="4" s="131" customFormat="1" ht="47" customHeight="1" spans="1:57">
      <c r="A4" s="467"/>
      <c r="B4" s="519"/>
      <c r="C4" s="467"/>
      <c r="D4" s="467"/>
      <c r="E4" s="520" t="s">
        <v>22</v>
      </c>
      <c r="F4" s="521" t="s">
        <v>735</v>
      </c>
      <c r="G4" s="522" t="s">
        <v>736</v>
      </c>
      <c r="H4" s="522" t="s">
        <v>737</v>
      </c>
      <c r="I4" s="521" t="s">
        <v>738</v>
      </c>
      <c r="J4" s="522" t="s">
        <v>739</v>
      </c>
      <c r="K4" s="522" t="s">
        <v>740</v>
      </c>
      <c r="L4" s="522" t="s">
        <v>741</v>
      </c>
      <c r="M4" s="521" t="s">
        <v>742</v>
      </c>
      <c r="N4" s="522" t="s">
        <v>743</v>
      </c>
      <c r="O4" s="521" t="s">
        <v>744</v>
      </c>
      <c r="P4" s="521" t="s">
        <v>745</v>
      </c>
      <c r="Q4" s="534" t="s">
        <v>746</v>
      </c>
      <c r="R4" s="521" t="s">
        <v>747</v>
      </c>
      <c r="S4" s="521" t="s">
        <v>748</v>
      </c>
      <c r="T4" s="521" t="s">
        <v>749</v>
      </c>
      <c r="U4" s="521" t="s">
        <v>750</v>
      </c>
      <c r="V4" s="520" t="s">
        <v>22</v>
      </c>
      <c r="W4" s="521" t="s">
        <v>735</v>
      </c>
      <c r="X4" s="521" t="s">
        <v>736</v>
      </c>
      <c r="Y4" s="521" t="s">
        <v>737</v>
      </c>
      <c r="Z4" s="521" t="s">
        <v>738</v>
      </c>
      <c r="AA4" s="521" t="s">
        <v>739</v>
      </c>
      <c r="AB4" s="521" t="s">
        <v>740</v>
      </c>
      <c r="AC4" s="521" t="s">
        <v>741</v>
      </c>
      <c r="AD4" s="521" t="s">
        <v>742</v>
      </c>
      <c r="AE4" s="521" t="s">
        <v>743</v>
      </c>
      <c r="AF4" s="521" t="s">
        <v>744</v>
      </c>
      <c r="AG4" s="521" t="s">
        <v>745</v>
      </c>
      <c r="AH4" s="534" t="s">
        <v>746</v>
      </c>
      <c r="AI4" s="521" t="s">
        <v>747</v>
      </c>
      <c r="AJ4" s="521" t="s">
        <v>748</v>
      </c>
      <c r="AK4" s="521" t="s">
        <v>749</v>
      </c>
      <c r="AL4" s="521" t="s">
        <v>750</v>
      </c>
      <c r="AM4" s="520" t="s">
        <v>22</v>
      </c>
      <c r="AN4" s="521" t="s">
        <v>735</v>
      </c>
      <c r="AO4" s="521" t="s">
        <v>736</v>
      </c>
      <c r="AP4" s="521" t="s">
        <v>737</v>
      </c>
      <c r="AQ4" s="521" t="s">
        <v>738</v>
      </c>
      <c r="AR4" s="521" t="s">
        <v>739</v>
      </c>
      <c r="AS4" s="521" t="s">
        <v>740</v>
      </c>
      <c r="AT4" s="521" t="s">
        <v>741</v>
      </c>
      <c r="AU4" s="521" t="s">
        <v>742</v>
      </c>
      <c r="AV4" s="521" t="s">
        <v>743</v>
      </c>
      <c r="AW4" s="521" t="s">
        <v>744</v>
      </c>
      <c r="AX4" s="521" t="s">
        <v>745</v>
      </c>
      <c r="AY4" s="534" t="s">
        <v>746</v>
      </c>
      <c r="AZ4" s="521" t="s">
        <v>747</v>
      </c>
      <c r="BA4" s="521" t="s">
        <v>748</v>
      </c>
      <c r="BB4" s="521" t="s">
        <v>749</v>
      </c>
      <c r="BC4" s="521" t="s">
        <v>750</v>
      </c>
      <c r="BD4" s="467"/>
      <c r="BE4" s="467"/>
    </row>
    <row r="5" s="508" customFormat="1" ht="20.15" customHeight="1" spans="1:59">
      <c r="A5" s="523"/>
      <c r="B5" s="524"/>
      <c r="C5" s="525" t="s">
        <v>22</v>
      </c>
      <c r="D5" s="526"/>
      <c r="E5" s="527">
        <f t="shared" ref="E5:U5" si="0">E6+E62+E69+E120+E123+E131+E142+E164+E173+E200+E204+E206+E212</f>
        <v>24489.1652</v>
      </c>
      <c r="F5" s="527">
        <f t="shared" si="0"/>
        <v>11625</v>
      </c>
      <c r="G5" s="527">
        <f t="shared" si="0"/>
        <v>299.27</v>
      </c>
      <c r="H5" s="527">
        <f t="shared" si="0"/>
        <v>367.48</v>
      </c>
      <c r="I5" s="527">
        <f t="shared" si="0"/>
        <v>63.9</v>
      </c>
      <c r="J5" s="527">
        <f t="shared" si="0"/>
        <v>77.33</v>
      </c>
      <c r="K5" s="527">
        <f t="shared" si="0"/>
        <v>1150.2</v>
      </c>
      <c r="L5" s="527">
        <f t="shared" si="0"/>
        <v>400</v>
      </c>
      <c r="M5" s="527">
        <f t="shared" si="0"/>
        <v>2153.38</v>
      </c>
      <c r="N5" s="527">
        <f t="shared" si="0"/>
        <v>38</v>
      </c>
      <c r="O5" s="527">
        <f t="shared" si="0"/>
        <v>530.4872</v>
      </c>
      <c r="P5" s="527">
        <f t="shared" si="0"/>
        <v>831.086</v>
      </c>
      <c r="Q5" s="527">
        <f t="shared" si="0"/>
        <v>2042.32</v>
      </c>
      <c r="R5" s="527">
        <f t="shared" si="0"/>
        <v>366.23</v>
      </c>
      <c r="S5" s="527">
        <f t="shared" si="0"/>
        <v>1465.712</v>
      </c>
      <c r="T5" s="527">
        <f t="shared" si="0"/>
        <v>2888.71</v>
      </c>
      <c r="U5" s="527">
        <f t="shared" si="0"/>
        <v>190.06</v>
      </c>
      <c r="V5" s="527">
        <f t="shared" ref="V5:BC5" si="1">V6+V62+V69+V120+V123+V131+V142+V164+V173+V200+V204+V206+V212</f>
        <v>992.4646</v>
      </c>
      <c r="W5" s="527">
        <f t="shared" si="1"/>
        <v>0</v>
      </c>
      <c r="X5" s="527">
        <f t="shared" si="1"/>
        <v>5.51</v>
      </c>
      <c r="Y5" s="527">
        <f t="shared" si="1"/>
        <v>419.49</v>
      </c>
      <c r="Z5" s="527">
        <f t="shared" si="1"/>
        <v>0</v>
      </c>
      <c r="AA5" s="527">
        <f t="shared" si="1"/>
        <v>0</v>
      </c>
      <c r="AB5" s="527">
        <f t="shared" si="1"/>
        <v>325.25</v>
      </c>
      <c r="AC5" s="527">
        <f t="shared" si="1"/>
        <v>0</v>
      </c>
      <c r="AD5" s="527">
        <f t="shared" si="1"/>
        <v>0</v>
      </c>
      <c r="AE5" s="527">
        <f t="shared" si="1"/>
        <v>0</v>
      </c>
      <c r="AF5" s="527">
        <f t="shared" si="1"/>
        <v>12.973</v>
      </c>
      <c r="AG5" s="527">
        <f t="shared" si="1"/>
        <v>-12.259</v>
      </c>
      <c r="AH5" s="527">
        <f t="shared" si="1"/>
        <v>13.728</v>
      </c>
      <c r="AI5" s="527">
        <f t="shared" si="1"/>
        <v>0</v>
      </c>
      <c r="AJ5" s="527">
        <f t="shared" si="1"/>
        <v>-2.98</v>
      </c>
      <c r="AK5" s="527">
        <f t="shared" si="1"/>
        <v>-26.64</v>
      </c>
      <c r="AL5" s="527">
        <f t="shared" si="1"/>
        <v>258.1926</v>
      </c>
      <c r="AM5" s="527">
        <f t="shared" si="1"/>
        <v>25481.6298</v>
      </c>
      <c r="AN5" s="536">
        <f t="shared" si="1"/>
        <v>11625</v>
      </c>
      <c r="AO5" s="536">
        <f t="shared" si="1"/>
        <v>304.78</v>
      </c>
      <c r="AP5" s="536">
        <f t="shared" si="1"/>
        <v>786.97</v>
      </c>
      <c r="AQ5" s="536">
        <f t="shared" si="1"/>
        <v>63.9</v>
      </c>
      <c r="AR5" s="536">
        <f t="shared" si="1"/>
        <v>77.33</v>
      </c>
      <c r="AS5" s="536">
        <f t="shared" si="1"/>
        <v>1475.45</v>
      </c>
      <c r="AT5" s="536">
        <f t="shared" si="1"/>
        <v>400</v>
      </c>
      <c r="AU5" s="536">
        <f t="shared" si="1"/>
        <v>2153.38</v>
      </c>
      <c r="AV5" s="536">
        <f t="shared" si="1"/>
        <v>38</v>
      </c>
      <c r="AW5" s="536">
        <f t="shared" si="1"/>
        <v>543.4602</v>
      </c>
      <c r="AX5" s="536">
        <f t="shared" si="1"/>
        <v>818.827</v>
      </c>
      <c r="AY5" s="536">
        <f t="shared" si="1"/>
        <v>2056.048</v>
      </c>
      <c r="AZ5" s="536">
        <f t="shared" si="1"/>
        <v>366.23</v>
      </c>
      <c r="BA5" s="536">
        <f t="shared" si="1"/>
        <v>1462.732</v>
      </c>
      <c r="BB5" s="536">
        <f t="shared" si="1"/>
        <v>2862.07</v>
      </c>
      <c r="BC5" s="536">
        <f t="shared" si="1"/>
        <v>448.2526</v>
      </c>
      <c r="BD5" s="332"/>
      <c r="BE5" s="332"/>
      <c r="BF5" s="540"/>
      <c r="BG5" s="540"/>
    </row>
    <row r="6" s="508" customFormat="1" ht="20.15" customHeight="1" spans="1:57">
      <c r="A6" s="523"/>
      <c r="B6" s="524"/>
      <c r="C6" s="525" t="s">
        <v>126</v>
      </c>
      <c r="D6" s="526">
        <v>201</v>
      </c>
      <c r="E6" s="527">
        <f t="shared" ref="E6:U6" si="2">SUM(E7:E61)</f>
        <v>763.2848</v>
      </c>
      <c r="F6" s="527">
        <f t="shared" si="2"/>
        <v>0</v>
      </c>
      <c r="G6" s="527">
        <f t="shared" si="2"/>
        <v>0</v>
      </c>
      <c r="H6" s="527">
        <f t="shared" si="2"/>
        <v>0</v>
      </c>
      <c r="I6" s="527">
        <f t="shared" si="2"/>
        <v>0</v>
      </c>
      <c r="J6" s="527">
        <f t="shared" si="2"/>
        <v>0</v>
      </c>
      <c r="K6" s="527">
        <f t="shared" si="2"/>
        <v>337.6</v>
      </c>
      <c r="L6" s="527">
        <f t="shared" si="2"/>
        <v>0</v>
      </c>
      <c r="M6" s="527">
        <f t="shared" si="2"/>
        <v>0</v>
      </c>
      <c r="N6" s="527">
        <f t="shared" si="2"/>
        <v>0</v>
      </c>
      <c r="O6" s="527">
        <f t="shared" si="2"/>
        <v>304.8868</v>
      </c>
      <c r="P6" s="527">
        <f t="shared" si="2"/>
        <v>3.988</v>
      </c>
      <c r="Q6" s="527">
        <f t="shared" si="2"/>
        <v>76.21</v>
      </c>
      <c r="R6" s="527">
        <f t="shared" si="2"/>
        <v>0</v>
      </c>
      <c r="S6" s="527">
        <f t="shared" si="2"/>
        <v>6.23</v>
      </c>
      <c r="T6" s="527">
        <f t="shared" si="2"/>
        <v>0</v>
      </c>
      <c r="U6" s="527">
        <f t="shared" si="2"/>
        <v>34.37</v>
      </c>
      <c r="V6" s="527">
        <f t="shared" ref="V6:BC6" si="3">SUM(V7:V61)</f>
        <v>129.8716</v>
      </c>
      <c r="W6" s="527">
        <f t="shared" si="3"/>
        <v>0</v>
      </c>
      <c r="X6" s="527">
        <f t="shared" si="3"/>
        <v>0</v>
      </c>
      <c r="Y6" s="527">
        <f t="shared" si="3"/>
        <v>0</v>
      </c>
      <c r="Z6" s="527">
        <f t="shared" si="3"/>
        <v>0</v>
      </c>
      <c r="AA6" s="527">
        <f t="shared" si="3"/>
        <v>0</v>
      </c>
      <c r="AB6" s="527">
        <f t="shared" si="3"/>
        <v>63.26</v>
      </c>
      <c r="AC6" s="527">
        <f t="shared" si="3"/>
        <v>0</v>
      </c>
      <c r="AD6" s="527">
        <f t="shared" si="3"/>
        <v>0</v>
      </c>
      <c r="AE6" s="527">
        <f t="shared" si="3"/>
        <v>0</v>
      </c>
      <c r="AF6" s="527">
        <f t="shared" si="3"/>
        <v>-22.073</v>
      </c>
      <c r="AG6" s="527">
        <f t="shared" si="3"/>
        <v>4.53</v>
      </c>
      <c r="AH6" s="527">
        <f t="shared" si="3"/>
        <v>53.348</v>
      </c>
      <c r="AI6" s="527">
        <f t="shared" si="3"/>
        <v>0</v>
      </c>
      <c r="AJ6" s="527">
        <f t="shared" si="3"/>
        <v>0</v>
      </c>
      <c r="AK6" s="527">
        <f t="shared" si="3"/>
        <v>0</v>
      </c>
      <c r="AL6" s="527">
        <f t="shared" si="3"/>
        <v>31.3066</v>
      </c>
      <c r="AM6" s="527">
        <f t="shared" si="3"/>
        <v>893.1564</v>
      </c>
      <c r="AN6" s="536">
        <f t="shared" si="3"/>
        <v>0</v>
      </c>
      <c r="AO6" s="536">
        <f t="shared" si="3"/>
        <v>0</v>
      </c>
      <c r="AP6" s="536">
        <f t="shared" si="3"/>
        <v>0</v>
      </c>
      <c r="AQ6" s="536">
        <f t="shared" si="3"/>
        <v>0</v>
      </c>
      <c r="AR6" s="536">
        <f t="shared" si="3"/>
        <v>0</v>
      </c>
      <c r="AS6" s="536">
        <f t="shared" si="3"/>
        <v>400.86</v>
      </c>
      <c r="AT6" s="536">
        <f t="shared" si="3"/>
        <v>0</v>
      </c>
      <c r="AU6" s="536">
        <f t="shared" si="3"/>
        <v>0</v>
      </c>
      <c r="AV6" s="536">
        <f t="shared" si="3"/>
        <v>0</v>
      </c>
      <c r="AW6" s="536">
        <f t="shared" si="3"/>
        <v>282.8138</v>
      </c>
      <c r="AX6" s="536">
        <f t="shared" si="3"/>
        <v>8.518</v>
      </c>
      <c r="AY6" s="536">
        <f t="shared" si="3"/>
        <v>129.558</v>
      </c>
      <c r="AZ6" s="536">
        <f t="shared" si="3"/>
        <v>0</v>
      </c>
      <c r="BA6" s="536">
        <f t="shared" si="3"/>
        <v>6.23</v>
      </c>
      <c r="BB6" s="536">
        <f t="shared" si="3"/>
        <v>0</v>
      </c>
      <c r="BC6" s="536">
        <f t="shared" si="3"/>
        <v>65.6766</v>
      </c>
      <c r="BD6" s="332"/>
      <c r="BE6" s="332"/>
    </row>
    <row r="7" ht="24" spans="1:57">
      <c r="A7" s="528" t="s">
        <v>202</v>
      </c>
      <c r="B7" s="528" t="s">
        <v>203</v>
      </c>
      <c r="C7" s="528" t="s">
        <v>204</v>
      </c>
      <c r="D7" s="528" t="s">
        <v>205</v>
      </c>
      <c r="E7" s="529">
        <f t="shared" ref="E7:E38" si="4">SUM(F7:U7)</f>
        <v>22.99</v>
      </c>
      <c r="F7" s="530"/>
      <c r="G7" s="530"/>
      <c r="H7" s="530"/>
      <c r="I7" s="530"/>
      <c r="J7" s="530"/>
      <c r="K7" s="530">
        <v>20</v>
      </c>
      <c r="L7" s="530"/>
      <c r="M7" s="530"/>
      <c r="N7" s="530"/>
      <c r="O7" s="530">
        <v>2.99</v>
      </c>
      <c r="P7" s="530"/>
      <c r="Q7" s="530"/>
      <c r="R7" s="530"/>
      <c r="S7" s="530"/>
      <c r="T7" s="530"/>
      <c r="U7" s="530"/>
      <c r="V7" s="529">
        <f t="shared" ref="V7:V25" si="5">SUM(W7:AL7)</f>
        <v>4.29</v>
      </c>
      <c r="W7" s="530"/>
      <c r="X7" s="530"/>
      <c r="Y7" s="530"/>
      <c r="Z7" s="530"/>
      <c r="AA7" s="530"/>
      <c r="AB7" s="530">
        <v>4.29</v>
      </c>
      <c r="AC7" s="530"/>
      <c r="AD7" s="530"/>
      <c r="AE7" s="530"/>
      <c r="AF7" s="530"/>
      <c r="AG7" s="530"/>
      <c r="AH7" s="530"/>
      <c r="AI7" s="530"/>
      <c r="AJ7" s="530"/>
      <c r="AK7" s="530"/>
      <c r="AL7" s="530"/>
      <c r="AM7" s="529">
        <f t="shared" ref="AM7:AM43" si="6">SUM(AN7:BC7)</f>
        <v>27.28</v>
      </c>
      <c r="AN7" s="537">
        <f>F7+W7</f>
        <v>0</v>
      </c>
      <c r="AO7" s="537">
        <f t="shared" ref="AO7:BC7" si="7">G7+X7</f>
        <v>0</v>
      </c>
      <c r="AP7" s="537">
        <f t="shared" si="7"/>
        <v>0</v>
      </c>
      <c r="AQ7" s="537">
        <f t="shared" si="7"/>
        <v>0</v>
      </c>
      <c r="AR7" s="537">
        <f t="shared" si="7"/>
        <v>0</v>
      </c>
      <c r="AS7" s="537">
        <f t="shared" si="7"/>
        <v>24.29</v>
      </c>
      <c r="AT7" s="537">
        <f t="shared" si="7"/>
        <v>0</v>
      </c>
      <c r="AU7" s="537">
        <f t="shared" si="7"/>
        <v>0</v>
      </c>
      <c r="AV7" s="537">
        <f t="shared" si="7"/>
        <v>0</v>
      </c>
      <c r="AW7" s="537">
        <f t="shared" si="7"/>
        <v>2.99</v>
      </c>
      <c r="AX7" s="537">
        <f t="shared" si="7"/>
        <v>0</v>
      </c>
      <c r="AY7" s="537">
        <f t="shared" si="7"/>
        <v>0</v>
      </c>
      <c r="AZ7" s="537">
        <f t="shared" si="7"/>
        <v>0</v>
      </c>
      <c r="BA7" s="537">
        <f t="shared" si="7"/>
        <v>0</v>
      </c>
      <c r="BB7" s="537">
        <f t="shared" si="7"/>
        <v>0</v>
      </c>
      <c r="BC7" s="537">
        <f t="shared" si="7"/>
        <v>0</v>
      </c>
      <c r="BD7" s="374"/>
      <c r="BE7" s="374"/>
    </row>
    <row r="8" ht="24" spans="1:57">
      <c r="A8" s="528" t="s">
        <v>202</v>
      </c>
      <c r="B8" s="528" t="s">
        <v>203</v>
      </c>
      <c r="C8" s="528" t="s">
        <v>209</v>
      </c>
      <c r="D8" s="528" t="s">
        <v>210</v>
      </c>
      <c r="E8" s="529">
        <f t="shared" si="4"/>
        <v>13.79</v>
      </c>
      <c r="F8" s="530"/>
      <c r="G8" s="530"/>
      <c r="H8" s="530"/>
      <c r="I8" s="530"/>
      <c r="J8" s="530"/>
      <c r="K8" s="530">
        <v>10.8</v>
      </c>
      <c r="L8" s="530"/>
      <c r="M8" s="530"/>
      <c r="N8" s="530"/>
      <c r="O8" s="530">
        <v>2.99</v>
      </c>
      <c r="P8" s="530"/>
      <c r="Q8" s="530"/>
      <c r="R8" s="530"/>
      <c r="S8" s="530"/>
      <c r="T8" s="530"/>
      <c r="U8" s="530"/>
      <c r="V8" s="529">
        <f t="shared" si="5"/>
        <v>3.17</v>
      </c>
      <c r="W8" s="530"/>
      <c r="X8" s="530"/>
      <c r="Y8" s="530"/>
      <c r="Z8" s="530"/>
      <c r="AA8" s="530"/>
      <c r="AB8" s="530">
        <v>3.17</v>
      </c>
      <c r="AC8" s="530"/>
      <c r="AD8" s="530"/>
      <c r="AE8" s="530"/>
      <c r="AF8" s="530"/>
      <c r="AG8" s="530"/>
      <c r="AH8" s="530"/>
      <c r="AI8" s="530"/>
      <c r="AJ8" s="530"/>
      <c r="AK8" s="530"/>
      <c r="AL8" s="530"/>
      <c r="AM8" s="529">
        <f t="shared" si="6"/>
        <v>16.96</v>
      </c>
      <c r="AN8" s="537">
        <f t="shared" ref="AN8:BC8" si="8">F8+W8</f>
        <v>0</v>
      </c>
      <c r="AO8" s="537">
        <f t="shared" si="8"/>
        <v>0</v>
      </c>
      <c r="AP8" s="537">
        <f t="shared" si="8"/>
        <v>0</v>
      </c>
      <c r="AQ8" s="537">
        <f t="shared" si="8"/>
        <v>0</v>
      </c>
      <c r="AR8" s="537">
        <f t="shared" si="8"/>
        <v>0</v>
      </c>
      <c r="AS8" s="537">
        <f t="shared" si="8"/>
        <v>13.97</v>
      </c>
      <c r="AT8" s="537">
        <f t="shared" si="8"/>
        <v>0</v>
      </c>
      <c r="AU8" s="537">
        <f t="shared" si="8"/>
        <v>0</v>
      </c>
      <c r="AV8" s="537">
        <f t="shared" si="8"/>
        <v>0</v>
      </c>
      <c r="AW8" s="537">
        <f t="shared" si="8"/>
        <v>2.99</v>
      </c>
      <c r="AX8" s="537">
        <f t="shared" si="8"/>
        <v>0</v>
      </c>
      <c r="AY8" s="537">
        <f t="shared" si="8"/>
        <v>0</v>
      </c>
      <c r="AZ8" s="537">
        <f t="shared" si="8"/>
        <v>0</v>
      </c>
      <c r="BA8" s="537">
        <f t="shared" si="8"/>
        <v>0</v>
      </c>
      <c r="BB8" s="537">
        <f t="shared" si="8"/>
        <v>0</v>
      </c>
      <c r="BC8" s="537">
        <f t="shared" si="8"/>
        <v>0</v>
      </c>
      <c r="BD8" s="374"/>
      <c r="BE8" s="374"/>
    </row>
    <row r="9" ht="24" spans="1:57">
      <c r="A9" s="528" t="s">
        <v>202</v>
      </c>
      <c r="B9" s="528" t="s">
        <v>203</v>
      </c>
      <c r="C9" s="528" t="s">
        <v>332</v>
      </c>
      <c r="D9" s="528" t="s">
        <v>333</v>
      </c>
      <c r="E9" s="529">
        <f t="shared" si="4"/>
        <v>8.99</v>
      </c>
      <c r="F9" s="530"/>
      <c r="G9" s="530"/>
      <c r="H9" s="530"/>
      <c r="I9" s="530"/>
      <c r="J9" s="530"/>
      <c r="K9" s="530">
        <v>6</v>
      </c>
      <c r="L9" s="530"/>
      <c r="M9" s="530"/>
      <c r="N9" s="530"/>
      <c r="O9" s="530">
        <v>2.99</v>
      </c>
      <c r="P9" s="530"/>
      <c r="Q9" s="530"/>
      <c r="R9" s="530"/>
      <c r="S9" s="530"/>
      <c r="T9" s="530"/>
      <c r="U9" s="530"/>
      <c r="V9" s="529">
        <f t="shared" si="5"/>
        <v>2.1</v>
      </c>
      <c r="W9" s="530"/>
      <c r="X9" s="530"/>
      <c r="Y9" s="530"/>
      <c r="Z9" s="530"/>
      <c r="AA9" s="530"/>
      <c r="AB9" s="530">
        <v>-0.0599999999999996</v>
      </c>
      <c r="AC9" s="530"/>
      <c r="AD9" s="530"/>
      <c r="AE9" s="530"/>
      <c r="AF9" s="530"/>
      <c r="AG9" s="530"/>
      <c r="AH9" s="530"/>
      <c r="AI9" s="530"/>
      <c r="AJ9" s="530"/>
      <c r="AK9" s="530"/>
      <c r="AL9" s="530">
        <v>2.16</v>
      </c>
      <c r="AM9" s="529">
        <f t="shared" si="6"/>
        <v>11.09</v>
      </c>
      <c r="AN9" s="537">
        <f t="shared" ref="AN9:BC9" si="9">F9+W9</f>
        <v>0</v>
      </c>
      <c r="AO9" s="537">
        <f t="shared" si="9"/>
        <v>0</v>
      </c>
      <c r="AP9" s="537">
        <f t="shared" si="9"/>
        <v>0</v>
      </c>
      <c r="AQ9" s="537">
        <f t="shared" si="9"/>
        <v>0</v>
      </c>
      <c r="AR9" s="537">
        <f t="shared" si="9"/>
        <v>0</v>
      </c>
      <c r="AS9" s="537">
        <f t="shared" si="9"/>
        <v>5.94</v>
      </c>
      <c r="AT9" s="537">
        <f t="shared" si="9"/>
        <v>0</v>
      </c>
      <c r="AU9" s="537">
        <f t="shared" si="9"/>
        <v>0</v>
      </c>
      <c r="AV9" s="537">
        <f t="shared" si="9"/>
        <v>0</v>
      </c>
      <c r="AW9" s="537">
        <f t="shared" si="9"/>
        <v>2.99</v>
      </c>
      <c r="AX9" s="537">
        <f t="shared" si="9"/>
        <v>0</v>
      </c>
      <c r="AY9" s="537">
        <f t="shared" si="9"/>
        <v>0</v>
      </c>
      <c r="AZ9" s="537">
        <f t="shared" si="9"/>
        <v>0</v>
      </c>
      <c r="BA9" s="537">
        <f t="shared" si="9"/>
        <v>0</v>
      </c>
      <c r="BB9" s="537">
        <f t="shared" si="9"/>
        <v>0</v>
      </c>
      <c r="BC9" s="537">
        <f t="shared" si="9"/>
        <v>2.16</v>
      </c>
      <c r="BD9" s="374" t="s">
        <v>751</v>
      </c>
      <c r="BE9" s="374"/>
    </row>
    <row r="10" ht="24" spans="1:57">
      <c r="A10" s="528" t="s">
        <v>202</v>
      </c>
      <c r="B10" s="528" t="s">
        <v>203</v>
      </c>
      <c r="C10" s="528" t="s">
        <v>349</v>
      </c>
      <c r="D10" s="528" t="s">
        <v>350</v>
      </c>
      <c r="E10" s="529">
        <f t="shared" si="4"/>
        <v>5.52</v>
      </c>
      <c r="F10" s="530"/>
      <c r="G10" s="530"/>
      <c r="H10" s="530"/>
      <c r="I10" s="530"/>
      <c r="J10" s="530"/>
      <c r="K10" s="530">
        <v>1.2</v>
      </c>
      <c r="L10" s="530"/>
      <c r="M10" s="530"/>
      <c r="N10" s="530"/>
      <c r="O10" s="530">
        <v>4.32</v>
      </c>
      <c r="P10" s="530"/>
      <c r="Q10" s="530"/>
      <c r="R10" s="530"/>
      <c r="S10" s="530"/>
      <c r="T10" s="530"/>
      <c r="U10" s="530"/>
      <c r="V10" s="529">
        <f t="shared" si="5"/>
        <v>0.3</v>
      </c>
      <c r="W10" s="530"/>
      <c r="X10" s="530"/>
      <c r="Y10" s="530"/>
      <c r="Z10" s="530"/>
      <c r="AA10" s="530"/>
      <c r="AB10" s="530">
        <v>0.3</v>
      </c>
      <c r="AC10" s="530"/>
      <c r="AD10" s="530"/>
      <c r="AE10" s="530"/>
      <c r="AF10" s="530"/>
      <c r="AG10" s="530"/>
      <c r="AH10" s="530"/>
      <c r="AI10" s="530"/>
      <c r="AJ10" s="530"/>
      <c r="AK10" s="530"/>
      <c r="AL10" s="530"/>
      <c r="AM10" s="529">
        <f t="shared" si="6"/>
        <v>5.82</v>
      </c>
      <c r="AN10" s="537">
        <f t="shared" ref="AN10:BC10" si="10">F10+W10</f>
        <v>0</v>
      </c>
      <c r="AO10" s="537">
        <f t="shared" si="10"/>
        <v>0</v>
      </c>
      <c r="AP10" s="537">
        <f t="shared" si="10"/>
        <v>0</v>
      </c>
      <c r="AQ10" s="537">
        <f t="shared" si="10"/>
        <v>0</v>
      </c>
      <c r="AR10" s="537">
        <f t="shared" si="10"/>
        <v>0</v>
      </c>
      <c r="AS10" s="537">
        <f t="shared" si="10"/>
        <v>1.5</v>
      </c>
      <c r="AT10" s="537">
        <f t="shared" si="10"/>
        <v>0</v>
      </c>
      <c r="AU10" s="537">
        <f t="shared" si="10"/>
        <v>0</v>
      </c>
      <c r="AV10" s="537">
        <f t="shared" si="10"/>
        <v>0</v>
      </c>
      <c r="AW10" s="537">
        <f t="shared" si="10"/>
        <v>4.32</v>
      </c>
      <c r="AX10" s="537">
        <f t="shared" si="10"/>
        <v>0</v>
      </c>
      <c r="AY10" s="537">
        <f t="shared" si="10"/>
        <v>0</v>
      </c>
      <c r="AZ10" s="537">
        <f t="shared" si="10"/>
        <v>0</v>
      </c>
      <c r="BA10" s="537">
        <f t="shared" si="10"/>
        <v>0</v>
      </c>
      <c r="BB10" s="537">
        <f t="shared" si="10"/>
        <v>0</v>
      </c>
      <c r="BC10" s="537">
        <f t="shared" si="10"/>
        <v>0</v>
      </c>
      <c r="BD10" s="374"/>
      <c r="BE10" s="374"/>
    </row>
    <row r="11" ht="24" spans="1:57">
      <c r="A11" s="528" t="s">
        <v>202</v>
      </c>
      <c r="B11" s="528" t="s">
        <v>203</v>
      </c>
      <c r="C11" s="528" t="s">
        <v>364</v>
      </c>
      <c r="D11" s="528" t="s">
        <v>365</v>
      </c>
      <c r="E11" s="529">
        <f t="shared" si="4"/>
        <v>6.39</v>
      </c>
      <c r="F11" s="530"/>
      <c r="G11" s="530"/>
      <c r="H11" s="530"/>
      <c r="I11" s="530"/>
      <c r="J11" s="530"/>
      <c r="K11" s="530">
        <v>4.4</v>
      </c>
      <c r="L11" s="530"/>
      <c r="M11" s="530"/>
      <c r="N11" s="530"/>
      <c r="O11" s="530">
        <v>1.99</v>
      </c>
      <c r="P11" s="530"/>
      <c r="Q11" s="530"/>
      <c r="R11" s="530"/>
      <c r="S11" s="530"/>
      <c r="T11" s="530"/>
      <c r="U11" s="530"/>
      <c r="V11" s="529">
        <f t="shared" si="5"/>
        <v>1.65</v>
      </c>
      <c r="W11" s="530"/>
      <c r="X11" s="530"/>
      <c r="Y11" s="530"/>
      <c r="Z11" s="530"/>
      <c r="AA11" s="530"/>
      <c r="AB11" s="530">
        <v>1.43</v>
      </c>
      <c r="AC11" s="530"/>
      <c r="AD11" s="530"/>
      <c r="AE11" s="530"/>
      <c r="AF11" s="530">
        <v>0.22</v>
      </c>
      <c r="AG11" s="530"/>
      <c r="AH11" s="530"/>
      <c r="AI11" s="530"/>
      <c r="AJ11" s="530"/>
      <c r="AK11" s="530"/>
      <c r="AL11" s="530"/>
      <c r="AM11" s="529">
        <f t="shared" si="6"/>
        <v>8.04</v>
      </c>
      <c r="AN11" s="537">
        <f t="shared" ref="AN11:BC11" si="11">F11+W11</f>
        <v>0</v>
      </c>
      <c r="AO11" s="537">
        <f t="shared" si="11"/>
        <v>0</v>
      </c>
      <c r="AP11" s="537">
        <f t="shared" si="11"/>
        <v>0</v>
      </c>
      <c r="AQ11" s="537">
        <f t="shared" si="11"/>
        <v>0</v>
      </c>
      <c r="AR11" s="537">
        <f t="shared" si="11"/>
        <v>0</v>
      </c>
      <c r="AS11" s="537">
        <f t="shared" si="11"/>
        <v>5.83</v>
      </c>
      <c r="AT11" s="537">
        <f t="shared" si="11"/>
        <v>0</v>
      </c>
      <c r="AU11" s="537">
        <f t="shared" si="11"/>
        <v>0</v>
      </c>
      <c r="AV11" s="537">
        <f t="shared" si="11"/>
        <v>0</v>
      </c>
      <c r="AW11" s="537">
        <f t="shared" si="11"/>
        <v>2.21</v>
      </c>
      <c r="AX11" s="537">
        <f t="shared" si="11"/>
        <v>0</v>
      </c>
      <c r="AY11" s="537">
        <f t="shared" si="11"/>
        <v>0</v>
      </c>
      <c r="AZ11" s="537">
        <f t="shared" si="11"/>
        <v>0</v>
      </c>
      <c r="BA11" s="537">
        <f t="shared" si="11"/>
        <v>0</v>
      </c>
      <c r="BB11" s="537">
        <f t="shared" si="11"/>
        <v>0</v>
      </c>
      <c r="BC11" s="537">
        <f t="shared" si="11"/>
        <v>0</v>
      </c>
      <c r="BD11" s="374"/>
      <c r="BE11" s="374"/>
    </row>
    <row r="12" ht="24" spans="1:57">
      <c r="A12" s="528" t="s">
        <v>202</v>
      </c>
      <c r="B12" s="528" t="s">
        <v>203</v>
      </c>
      <c r="C12" s="528" t="s">
        <v>366</v>
      </c>
      <c r="D12" s="528" t="s">
        <v>365</v>
      </c>
      <c r="E12" s="529">
        <f t="shared" si="4"/>
        <v>1.2</v>
      </c>
      <c r="F12" s="530"/>
      <c r="G12" s="530"/>
      <c r="H12" s="530"/>
      <c r="I12" s="530"/>
      <c r="J12" s="530"/>
      <c r="K12" s="530">
        <v>1.2</v>
      </c>
      <c r="L12" s="530"/>
      <c r="M12" s="530"/>
      <c r="N12" s="530"/>
      <c r="O12" s="530"/>
      <c r="P12" s="530"/>
      <c r="Q12" s="530"/>
      <c r="R12" s="530"/>
      <c r="S12" s="530"/>
      <c r="T12" s="530"/>
      <c r="U12" s="530"/>
      <c r="V12" s="529">
        <f t="shared" si="5"/>
        <v>0.3</v>
      </c>
      <c r="W12" s="530"/>
      <c r="X12" s="530"/>
      <c r="Y12" s="530"/>
      <c r="Z12" s="530"/>
      <c r="AA12" s="530"/>
      <c r="AB12" s="530">
        <v>0.3</v>
      </c>
      <c r="AC12" s="530"/>
      <c r="AD12" s="530"/>
      <c r="AE12" s="530"/>
      <c r="AF12" s="530"/>
      <c r="AG12" s="530"/>
      <c r="AH12" s="530"/>
      <c r="AI12" s="530"/>
      <c r="AJ12" s="530"/>
      <c r="AK12" s="530"/>
      <c r="AL12" s="530"/>
      <c r="AM12" s="529">
        <f t="shared" si="6"/>
        <v>1.5</v>
      </c>
      <c r="AN12" s="537">
        <f t="shared" ref="AN12:BC12" si="12">F12+W12</f>
        <v>0</v>
      </c>
      <c r="AO12" s="537">
        <f t="shared" si="12"/>
        <v>0</v>
      </c>
      <c r="AP12" s="537">
        <f t="shared" si="12"/>
        <v>0</v>
      </c>
      <c r="AQ12" s="537">
        <f t="shared" si="12"/>
        <v>0</v>
      </c>
      <c r="AR12" s="537">
        <f t="shared" si="12"/>
        <v>0</v>
      </c>
      <c r="AS12" s="537">
        <f t="shared" si="12"/>
        <v>1.5</v>
      </c>
      <c r="AT12" s="537">
        <f t="shared" si="12"/>
        <v>0</v>
      </c>
      <c r="AU12" s="537">
        <f t="shared" si="12"/>
        <v>0</v>
      </c>
      <c r="AV12" s="537">
        <f t="shared" si="12"/>
        <v>0</v>
      </c>
      <c r="AW12" s="537">
        <f t="shared" si="12"/>
        <v>0</v>
      </c>
      <c r="AX12" s="537">
        <f t="shared" si="12"/>
        <v>0</v>
      </c>
      <c r="AY12" s="537">
        <f t="shared" si="12"/>
        <v>0</v>
      </c>
      <c r="AZ12" s="537">
        <f t="shared" si="12"/>
        <v>0</v>
      </c>
      <c r="BA12" s="537">
        <f t="shared" si="12"/>
        <v>0</v>
      </c>
      <c r="BB12" s="537">
        <f t="shared" si="12"/>
        <v>0</v>
      </c>
      <c r="BC12" s="537">
        <f t="shared" si="12"/>
        <v>0</v>
      </c>
      <c r="BD12" s="374"/>
      <c r="BE12" s="374"/>
    </row>
    <row r="13" ht="24" spans="1:57">
      <c r="A13" s="528" t="s">
        <v>202</v>
      </c>
      <c r="B13" s="528" t="s">
        <v>203</v>
      </c>
      <c r="C13" s="528" t="s">
        <v>217</v>
      </c>
      <c r="D13" s="528" t="s">
        <v>218</v>
      </c>
      <c r="E13" s="529">
        <f t="shared" si="4"/>
        <v>4.39</v>
      </c>
      <c r="F13" s="530"/>
      <c r="G13" s="530"/>
      <c r="H13" s="530"/>
      <c r="I13" s="530"/>
      <c r="J13" s="530"/>
      <c r="K13" s="530">
        <v>2.4</v>
      </c>
      <c r="L13" s="530"/>
      <c r="M13" s="530"/>
      <c r="N13" s="530"/>
      <c r="O13" s="530">
        <v>1.99</v>
      </c>
      <c r="P13" s="530"/>
      <c r="Q13" s="530"/>
      <c r="R13" s="530"/>
      <c r="S13" s="530"/>
      <c r="T13" s="530"/>
      <c r="U13" s="530"/>
      <c r="V13" s="529">
        <f t="shared" si="5"/>
        <v>1.06</v>
      </c>
      <c r="W13" s="530"/>
      <c r="X13" s="530"/>
      <c r="Y13" s="530"/>
      <c r="Z13" s="530"/>
      <c r="AA13" s="530"/>
      <c r="AB13" s="530">
        <v>0.14</v>
      </c>
      <c r="AC13" s="530"/>
      <c r="AD13" s="530"/>
      <c r="AE13" s="530"/>
      <c r="AF13" s="530">
        <v>0.92</v>
      </c>
      <c r="AG13" s="530"/>
      <c r="AH13" s="530"/>
      <c r="AI13" s="530"/>
      <c r="AJ13" s="530"/>
      <c r="AK13" s="530"/>
      <c r="AL13" s="530"/>
      <c r="AM13" s="529">
        <f t="shared" si="6"/>
        <v>5.45</v>
      </c>
      <c r="AN13" s="537">
        <f t="shared" ref="AN13:BC13" si="13">F13+W13</f>
        <v>0</v>
      </c>
      <c r="AO13" s="537">
        <f t="shared" si="13"/>
        <v>0</v>
      </c>
      <c r="AP13" s="537">
        <f t="shared" si="13"/>
        <v>0</v>
      </c>
      <c r="AQ13" s="537">
        <f t="shared" si="13"/>
        <v>0</v>
      </c>
      <c r="AR13" s="537">
        <f t="shared" si="13"/>
        <v>0</v>
      </c>
      <c r="AS13" s="537">
        <f t="shared" si="13"/>
        <v>2.54</v>
      </c>
      <c r="AT13" s="537">
        <f t="shared" si="13"/>
        <v>0</v>
      </c>
      <c r="AU13" s="537">
        <f t="shared" si="13"/>
        <v>0</v>
      </c>
      <c r="AV13" s="537">
        <f t="shared" si="13"/>
        <v>0</v>
      </c>
      <c r="AW13" s="537">
        <f t="shared" si="13"/>
        <v>2.91</v>
      </c>
      <c r="AX13" s="537">
        <f t="shared" si="13"/>
        <v>0</v>
      </c>
      <c r="AY13" s="537">
        <f t="shared" si="13"/>
        <v>0</v>
      </c>
      <c r="AZ13" s="537">
        <f t="shared" si="13"/>
        <v>0</v>
      </c>
      <c r="BA13" s="537">
        <f t="shared" si="13"/>
        <v>0</v>
      </c>
      <c r="BB13" s="537">
        <f t="shared" si="13"/>
        <v>0</v>
      </c>
      <c r="BC13" s="537">
        <f t="shared" si="13"/>
        <v>0</v>
      </c>
      <c r="BD13" s="374"/>
      <c r="BE13" s="374" t="s">
        <v>752</v>
      </c>
    </row>
    <row r="14" ht="24" spans="1:57">
      <c r="A14" s="528" t="s">
        <v>202</v>
      </c>
      <c r="B14" s="528" t="s">
        <v>203</v>
      </c>
      <c r="C14" s="528" t="s">
        <v>335</v>
      </c>
      <c r="D14" s="528" t="s">
        <v>333</v>
      </c>
      <c r="E14" s="529">
        <f t="shared" si="4"/>
        <v>3</v>
      </c>
      <c r="F14" s="530"/>
      <c r="G14" s="530"/>
      <c r="H14" s="530"/>
      <c r="I14" s="530"/>
      <c r="J14" s="530"/>
      <c r="K14" s="530">
        <v>2</v>
      </c>
      <c r="L14" s="530"/>
      <c r="M14" s="530"/>
      <c r="N14" s="530"/>
      <c r="O14" s="530">
        <v>1</v>
      </c>
      <c r="P14" s="530"/>
      <c r="Q14" s="530"/>
      <c r="R14" s="530"/>
      <c r="S14" s="530"/>
      <c r="T14" s="530"/>
      <c r="U14" s="530"/>
      <c r="V14" s="529">
        <f t="shared" si="5"/>
        <v>0.83</v>
      </c>
      <c r="W14" s="530"/>
      <c r="X14" s="530"/>
      <c r="Y14" s="530"/>
      <c r="Z14" s="530"/>
      <c r="AA14" s="530"/>
      <c r="AB14" s="530">
        <v>0.83</v>
      </c>
      <c r="AC14" s="530"/>
      <c r="AD14" s="530"/>
      <c r="AE14" s="530"/>
      <c r="AF14" s="530"/>
      <c r="AG14" s="530"/>
      <c r="AH14" s="530"/>
      <c r="AI14" s="530"/>
      <c r="AJ14" s="530"/>
      <c r="AK14" s="530"/>
      <c r="AL14" s="530"/>
      <c r="AM14" s="529">
        <f t="shared" si="6"/>
        <v>3.83</v>
      </c>
      <c r="AN14" s="537">
        <f t="shared" ref="AN14:BC14" si="14">F14+W14</f>
        <v>0</v>
      </c>
      <c r="AO14" s="537">
        <f t="shared" si="14"/>
        <v>0</v>
      </c>
      <c r="AP14" s="537">
        <f t="shared" si="14"/>
        <v>0</v>
      </c>
      <c r="AQ14" s="537">
        <f t="shared" si="14"/>
        <v>0</v>
      </c>
      <c r="AR14" s="537">
        <f t="shared" si="14"/>
        <v>0</v>
      </c>
      <c r="AS14" s="537">
        <f t="shared" si="14"/>
        <v>2.83</v>
      </c>
      <c r="AT14" s="537">
        <f t="shared" si="14"/>
        <v>0</v>
      </c>
      <c r="AU14" s="537">
        <f t="shared" si="14"/>
        <v>0</v>
      </c>
      <c r="AV14" s="537">
        <f t="shared" si="14"/>
        <v>0</v>
      </c>
      <c r="AW14" s="537">
        <f t="shared" si="14"/>
        <v>1</v>
      </c>
      <c r="AX14" s="537">
        <f t="shared" si="14"/>
        <v>0</v>
      </c>
      <c r="AY14" s="537">
        <f t="shared" si="14"/>
        <v>0</v>
      </c>
      <c r="AZ14" s="537">
        <f t="shared" si="14"/>
        <v>0</v>
      </c>
      <c r="BA14" s="537">
        <f t="shared" si="14"/>
        <v>0</v>
      </c>
      <c r="BB14" s="537">
        <f t="shared" si="14"/>
        <v>0</v>
      </c>
      <c r="BC14" s="537">
        <f t="shared" si="14"/>
        <v>0</v>
      </c>
      <c r="BD14" s="374"/>
      <c r="BE14" s="374"/>
    </row>
    <row r="15" ht="24" spans="1:57">
      <c r="A15" s="528" t="s">
        <v>202</v>
      </c>
      <c r="B15" s="528" t="s">
        <v>203</v>
      </c>
      <c r="C15" s="528" t="s">
        <v>338</v>
      </c>
      <c r="D15" s="528" t="s">
        <v>333</v>
      </c>
      <c r="E15" s="529">
        <f t="shared" si="4"/>
        <v>1.2</v>
      </c>
      <c r="F15" s="530"/>
      <c r="G15" s="530"/>
      <c r="H15" s="530"/>
      <c r="I15" s="530"/>
      <c r="J15" s="530"/>
      <c r="K15" s="530">
        <v>1.2</v>
      </c>
      <c r="L15" s="530"/>
      <c r="M15" s="530"/>
      <c r="N15" s="530"/>
      <c r="O15" s="530"/>
      <c r="P15" s="530"/>
      <c r="Q15" s="530"/>
      <c r="R15" s="530"/>
      <c r="S15" s="530"/>
      <c r="T15" s="530"/>
      <c r="U15" s="530"/>
      <c r="V15" s="529">
        <f t="shared" si="5"/>
        <v>0.3</v>
      </c>
      <c r="W15" s="530"/>
      <c r="X15" s="530"/>
      <c r="Y15" s="530"/>
      <c r="Z15" s="530"/>
      <c r="AA15" s="530"/>
      <c r="AB15" s="530">
        <v>0.3</v>
      </c>
      <c r="AC15" s="530"/>
      <c r="AD15" s="530"/>
      <c r="AE15" s="530"/>
      <c r="AF15" s="530"/>
      <c r="AG15" s="530"/>
      <c r="AH15" s="530"/>
      <c r="AI15" s="530"/>
      <c r="AJ15" s="530"/>
      <c r="AK15" s="530"/>
      <c r="AL15" s="530"/>
      <c r="AM15" s="529">
        <f t="shared" si="6"/>
        <v>1.5</v>
      </c>
      <c r="AN15" s="537">
        <f t="shared" ref="AN15:BC15" si="15">F15+W15</f>
        <v>0</v>
      </c>
      <c r="AO15" s="537">
        <f t="shared" si="15"/>
        <v>0</v>
      </c>
      <c r="AP15" s="537">
        <f t="shared" si="15"/>
        <v>0</v>
      </c>
      <c r="AQ15" s="537">
        <f t="shared" si="15"/>
        <v>0</v>
      </c>
      <c r="AR15" s="537">
        <f t="shared" si="15"/>
        <v>0</v>
      </c>
      <c r="AS15" s="537">
        <f t="shared" si="15"/>
        <v>1.5</v>
      </c>
      <c r="AT15" s="537">
        <f t="shared" si="15"/>
        <v>0</v>
      </c>
      <c r="AU15" s="537">
        <f t="shared" si="15"/>
        <v>0</v>
      </c>
      <c r="AV15" s="537">
        <f t="shared" si="15"/>
        <v>0</v>
      </c>
      <c r="AW15" s="537">
        <f t="shared" si="15"/>
        <v>0</v>
      </c>
      <c r="AX15" s="537">
        <f t="shared" si="15"/>
        <v>0</v>
      </c>
      <c r="AY15" s="537">
        <f t="shared" si="15"/>
        <v>0</v>
      </c>
      <c r="AZ15" s="537">
        <f t="shared" si="15"/>
        <v>0</v>
      </c>
      <c r="BA15" s="537">
        <f t="shared" si="15"/>
        <v>0</v>
      </c>
      <c r="BB15" s="537">
        <f t="shared" si="15"/>
        <v>0</v>
      </c>
      <c r="BC15" s="537">
        <f t="shared" si="15"/>
        <v>0</v>
      </c>
      <c r="BD15" s="374"/>
      <c r="BE15" s="374"/>
    </row>
    <row r="16" s="130" customFormat="1" ht="24" spans="1:57">
      <c r="A16" s="528" t="s">
        <v>202</v>
      </c>
      <c r="B16" s="528" t="s">
        <v>203</v>
      </c>
      <c r="C16" s="528" t="s">
        <v>355</v>
      </c>
      <c r="D16" s="1" t="s">
        <v>356</v>
      </c>
      <c r="E16" s="529">
        <f t="shared" si="4"/>
        <v>38.69</v>
      </c>
      <c r="F16" s="530"/>
      <c r="G16" s="530"/>
      <c r="H16" s="530"/>
      <c r="I16" s="530"/>
      <c r="J16" s="530"/>
      <c r="K16" s="530">
        <v>1.6</v>
      </c>
      <c r="L16" s="530"/>
      <c r="M16" s="530"/>
      <c r="N16" s="530"/>
      <c r="O16" s="530">
        <v>9.96</v>
      </c>
      <c r="P16" s="530"/>
      <c r="Q16" s="530"/>
      <c r="R16" s="530"/>
      <c r="S16" s="530"/>
      <c r="T16" s="530"/>
      <c r="U16" s="530">
        <v>27.13</v>
      </c>
      <c r="V16" s="529">
        <f t="shared" si="5"/>
        <v>9.508</v>
      </c>
      <c r="W16" s="530"/>
      <c r="X16" s="530"/>
      <c r="Y16" s="530"/>
      <c r="Z16" s="530"/>
      <c r="AA16" s="530"/>
      <c r="AB16" s="530">
        <v>0.86</v>
      </c>
      <c r="AC16" s="530"/>
      <c r="AD16" s="530"/>
      <c r="AE16" s="530"/>
      <c r="AF16" s="530">
        <v>0.83</v>
      </c>
      <c r="AG16" s="530"/>
      <c r="AH16" s="530">
        <v>7.818</v>
      </c>
      <c r="AI16" s="530"/>
      <c r="AJ16" s="530"/>
      <c r="AK16" s="530"/>
      <c r="AL16" s="530"/>
      <c r="AM16" s="529">
        <f t="shared" si="6"/>
        <v>48.198</v>
      </c>
      <c r="AN16" s="537">
        <f t="shared" ref="AN16:BC16" si="16">F16+W16</f>
        <v>0</v>
      </c>
      <c r="AO16" s="537">
        <f t="shared" si="16"/>
        <v>0</v>
      </c>
      <c r="AP16" s="537">
        <f t="shared" si="16"/>
        <v>0</v>
      </c>
      <c r="AQ16" s="537">
        <f t="shared" si="16"/>
        <v>0</v>
      </c>
      <c r="AR16" s="537">
        <f t="shared" si="16"/>
        <v>0</v>
      </c>
      <c r="AS16" s="537">
        <f t="shared" si="16"/>
        <v>2.46</v>
      </c>
      <c r="AT16" s="537">
        <f t="shared" si="16"/>
        <v>0</v>
      </c>
      <c r="AU16" s="537">
        <f t="shared" si="16"/>
        <v>0</v>
      </c>
      <c r="AV16" s="537">
        <f t="shared" si="16"/>
        <v>0</v>
      </c>
      <c r="AW16" s="537">
        <f t="shared" si="16"/>
        <v>10.79</v>
      </c>
      <c r="AX16" s="537">
        <f t="shared" si="16"/>
        <v>0</v>
      </c>
      <c r="AY16" s="537">
        <f t="shared" si="16"/>
        <v>7.818</v>
      </c>
      <c r="AZ16" s="537">
        <f t="shared" si="16"/>
        <v>0</v>
      </c>
      <c r="BA16" s="537">
        <f t="shared" si="16"/>
        <v>0</v>
      </c>
      <c r="BB16" s="537">
        <f t="shared" si="16"/>
        <v>0</v>
      </c>
      <c r="BC16" s="537">
        <f t="shared" si="16"/>
        <v>27.13</v>
      </c>
      <c r="BD16" s="374"/>
      <c r="BE16" s="374"/>
    </row>
    <row r="17" ht="24" spans="1:57">
      <c r="A17" s="528" t="s">
        <v>202</v>
      </c>
      <c r="B17" s="528" t="s">
        <v>206</v>
      </c>
      <c r="C17" s="528" t="s">
        <v>358</v>
      </c>
      <c r="D17" s="528" t="s">
        <v>359</v>
      </c>
      <c r="E17" s="529">
        <f t="shared" si="4"/>
        <v>1.2</v>
      </c>
      <c r="F17" s="530"/>
      <c r="G17" s="530"/>
      <c r="H17" s="530"/>
      <c r="I17" s="530"/>
      <c r="J17" s="530"/>
      <c r="K17" s="530">
        <v>1.2</v>
      </c>
      <c r="L17" s="530"/>
      <c r="M17" s="530"/>
      <c r="N17" s="530"/>
      <c r="O17" s="530"/>
      <c r="P17" s="530"/>
      <c r="Q17" s="530"/>
      <c r="R17" s="530"/>
      <c r="S17" s="530"/>
      <c r="T17" s="530"/>
      <c r="U17" s="530"/>
      <c r="V17" s="529">
        <f t="shared" si="5"/>
        <v>0.3</v>
      </c>
      <c r="W17" s="530"/>
      <c r="X17" s="530"/>
      <c r="Y17" s="530"/>
      <c r="Z17" s="530"/>
      <c r="AA17" s="530"/>
      <c r="AB17" s="530">
        <v>0.3</v>
      </c>
      <c r="AC17" s="530"/>
      <c r="AD17" s="530"/>
      <c r="AE17" s="530"/>
      <c r="AF17" s="530"/>
      <c r="AG17" s="530"/>
      <c r="AH17" s="530"/>
      <c r="AI17" s="530"/>
      <c r="AJ17" s="530"/>
      <c r="AK17" s="530"/>
      <c r="AL17" s="530"/>
      <c r="AM17" s="529">
        <f t="shared" si="6"/>
        <v>1.5</v>
      </c>
      <c r="AN17" s="537">
        <f t="shared" ref="AN17:BC17" si="17">F17+W17</f>
        <v>0</v>
      </c>
      <c r="AO17" s="537">
        <f t="shared" si="17"/>
        <v>0</v>
      </c>
      <c r="AP17" s="537">
        <f t="shared" si="17"/>
        <v>0</v>
      </c>
      <c r="AQ17" s="537">
        <f t="shared" si="17"/>
        <v>0</v>
      </c>
      <c r="AR17" s="537">
        <f t="shared" si="17"/>
        <v>0</v>
      </c>
      <c r="AS17" s="537">
        <f t="shared" si="17"/>
        <v>1.5</v>
      </c>
      <c r="AT17" s="537">
        <f t="shared" si="17"/>
        <v>0</v>
      </c>
      <c r="AU17" s="537">
        <f t="shared" si="17"/>
        <v>0</v>
      </c>
      <c r="AV17" s="537">
        <f t="shared" si="17"/>
        <v>0</v>
      </c>
      <c r="AW17" s="537">
        <f t="shared" si="17"/>
        <v>0</v>
      </c>
      <c r="AX17" s="537">
        <f t="shared" si="17"/>
        <v>0</v>
      </c>
      <c r="AY17" s="537">
        <f t="shared" si="17"/>
        <v>0</v>
      </c>
      <c r="AZ17" s="537">
        <f t="shared" si="17"/>
        <v>0</v>
      </c>
      <c r="BA17" s="537">
        <f t="shared" si="17"/>
        <v>0</v>
      </c>
      <c r="BB17" s="537">
        <f t="shared" si="17"/>
        <v>0</v>
      </c>
      <c r="BC17" s="537">
        <f t="shared" si="17"/>
        <v>0</v>
      </c>
      <c r="BD17" s="374"/>
      <c r="BE17" s="374"/>
    </row>
    <row r="18" ht="24" spans="1:57">
      <c r="A18" s="528" t="s">
        <v>202</v>
      </c>
      <c r="B18" s="528" t="s">
        <v>203</v>
      </c>
      <c r="C18" s="528" t="s">
        <v>360</v>
      </c>
      <c r="D18" s="528" t="s">
        <v>361</v>
      </c>
      <c r="E18" s="529">
        <f t="shared" si="4"/>
        <v>4.51</v>
      </c>
      <c r="F18" s="530"/>
      <c r="G18" s="530"/>
      <c r="H18" s="530"/>
      <c r="I18" s="530"/>
      <c r="J18" s="530"/>
      <c r="K18" s="530">
        <v>2.4</v>
      </c>
      <c r="L18" s="530"/>
      <c r="M18" s="530"/>
      <c r="N18" s="530"/>
      <c r="O18" s="530">
        <v>1.99</v>
      </c>
      <c r="P18" s="530"/>
      <c r="Q18" s="530">
        <v>0.12</v>
      </c>
      <c r="R18" s="530"/>
      <c r="S18" s="530"/>
      <c r="T18" s="530"/>
      <c r="U18" s="530"/>
      <c r="V18" s="529">
        <f t="shared" si="5"/>
        <v>0.81</v>
      </c>
      <c r="W18" s="530"/>
      <c r="X18" s="530"/>
      <c r="Y18" s="530"/>
      <c r="Z18" s="530"/>
      <c r="AA18" s="530"/>
      <c r="AB18" s="530">
        <v>1.14</v>
      </c>
      <c r="AC18" s="530"/>
      <c r="AD18" s="530"/>
      <c r="AE18" s="530"/>
      <c r="AF18" s="530">
        <v>-0.33</v>
      </c>
      <c r="AG18" s="530"/>
      <c r="AH18" s="530"/>
      <c r="AI18" s="530"/>
      <c r="AJ18" s="530"/>
      <c r="AK18" s="530"/>
      <c r="AL18" s="530"/>
      <c r="AM18" s="529">
        <f t="shared" si="6"/>
        <v>5.32</v>
      </c>
      <c r="AN18" s="537">
        <f t="shared" ref="AN18:BC18" si="18">F18+W18</f>
        <v>0</v>
      </c>
      <c r="AO18" s="537">
        <f t="shared" si="18"/>
        <v>0</v>
      </c>
      <c r="AP18" s="537">
        <f t="shared" si="18"/>
        <v>0</v>
      </c>
      <c r="AQ18" s="537">
        <f t="shared" si="18"/>
        <v>0</v>
      </c>
      <c r="AR18" s="537">
        <f t="shared" si="18"/>
        <v>0</v>
      </c>
      <c r="AS18" s="537">
        <f t="shared" si="18"/>
        <v>3.54</v>
      </c>
      <c r="AT18" s="537">
        <f t="shared" si="18"/>
        <v>0</v>
      </c>
      <c r="AU18" s="537">
        <f t="shared" si="18"/>
        <v>0</v>
      </c>
      <c r="AV18" s="537">
        <f t="shared" si="18"/>
        <v>0</v>
      </c>
      <c r="AW18" s="537">
        <f t="shared" si="18"/>
        <v>1.66</v>
      </c>
      <c r="AX18" s="537">
        <f t="shared" si="18"/>
        <v>0</v>
      </c>
      <c r="AY18" s="537">
        <f t="shared" si="18"/>
        <v>0.12</v>
      </c>
      <c r="AZ18" s="537">
        <f t="shared" si="18"/>
        <v>0</v>
      </c>
      <c r="BA18" s="537">
        <f t="shared" si="18"/>
        <v>0</v>
      </c>
      <c r="BB18" s="537">
        <f t="shared" si="18"/>
        <v>0</v>
      </c>
      <c r="BC18" s="537">
        <f t="shared" si="18"/>
        <v>0</v>
      </c>
      <c r="BD18" s="374"/>
      <c r="BE18" s="374"/>
    </row>
    <row r="19" ht="24" spans="1:57">
      <c r="A19" s="528" t="s">
        <v>202</v>
      </c>
      <c r="B19" s="528" t="s">
        <v>203</v>
      </c>
      <c r="C19" s="528" t="s">
        <v>339</v>
      </c>
      <c r="D19" s="528" t="s">
        <v>333</v>
      </c>
      <c r="E19" s="529">
        <f t="shared" si="4"/>
        <v>1.6</v>
      </c>
      <c r="F19" s="530"/>
      <c r="G19" s="530"/>
      <c r="H19" s="530"/>
      <c r="I19" s="530"/>
      <c r="J19" s="530"/>
      <c r="K19" s="530">
        <v>1.6</v>
      </c>
      <c r="L19" s="530"/>
      <c r="M19" s="530"/>
      <c r="N19" s="530"/>
      <c r="O19" s="530"/>
      <c r="P19" s="530"/>
      <c r="Q19" s="530"/>
      <c r="R19" s="530"/>
      <c r="S19" s="530"/>
      <c r="T19" s="530"/>
      <c r="U19" s="530"/>
      <c r="V19" s="529">
        <f t="shared" si="5"/>
        <v>34.22</v>
      </c>
      <c r="W19" s="530"/>
      <c r="X19" s="530"/>
      <c r="Y19" s="530"/>
      <c r="Z19" s="530"/>
      <c r="AA19" s="530"/>
      <c r="AB19" s="530">
        <v>0.69</v>
      </c>
      <c r="AC19" s="530"/>
      <c r="AD19" s="530"/>
      <c r="AE19" s="530"/>
      <c r="AF19" s="530">
        <v>0.38</v>
      </c>
      <c r="AG19" s="530"/>
      <c r="AH19" s="530">
        <v>33.15</v>
      </c>
      <c r="AI19" s="530"/>
      <c r="AJ19" s="530"/>
      <c r="AK19" s="530"/>
      <c r="AL19" s="530"/>
      <c r="AM19" s="529">
        <f t="shared" si="6"/>
        <v>35.82</v>
      </c>
      <c r="AN19" s="537">
        <f t="shared" ref="AN19:BC19" si="19">F19+W19</f>
        <v>0</v>
      </c>
      <c r="AO19" s="537">
        <f t="shared" si="19"/>
        <v>0</v>
      </c>
      <c r="AP19" s="537">
        <f t="shared" si="19"/>
        <v>0</v>
      </c>
      <c r="AQ19" s="537">
        <f t="shared" si="19"/>
        <v>0</v>
      </c>
      <c r="AR19" s="537">
        <f t="shared" si="19"/>
        <v>0</v>
      </c>
      <c r="AS19" s="537">
        <f t="shared" si="19"/>
        <v>2.29</v>
      </c>
      <c r="AT19" s="537">
        <f t="shared" si="19"/>
        <v>0</v>
      </c>
      <c r="AU19" s="537">
        <f t="shared" si="19"/>
        <v>0</v>
      </c>
      <c r="AV19" s="537">
        <f t="shared" si="19"/>
        <v>0</v>
      </c>
      <c r="AW19" s="537">
        <f t="shared" si="19"/>
        <v>0.38</v>
      </c>
      <c r="AX19" s="537">
        <f t="shared" si="19"/>
        <v>0</v>
      </c>
      <c r="AY19" s="537">
        <f t="shared" si="19"/>
        <v>33.15</v>
      </c>
      <c r="AZ19" s="537">
        <f t="shared" si="19"/>
        <v>0</v>
      </c>
      <c r="BA19" s="537">
        <f t="shared" si="19"/>
        <v>0</v>
      </c>
      <c r="BB19" s="537">
        <f t="shared" si="19"/>
        <v>0</v>
      </c>
      <c r="BC19" s="537">
        <f t="shared" si="19"/>
        <v>0</v>
      </c>
      <c r="BD19" s="374"/>
      <c r="BE19" s="374"/>
    </row>
    <row r="20" ht="24" spans="1:57">
      <c r="A20" s="528" t="s">
        <v>202</v>
      </c>
      <c r="B20" s="528" t="s">
        <v>203</v>
      </c>
      <c r="C20" s="528" t="s">
        <v>288</v>
      </c>
      <c r="D20" s="528" t="s">
        <v>289</v>
      </c>
      <c r="E20" s="529">
        <f t="shared" si="4"/>
        <v>7.39</v>
      </c>
      <c r="F20" s="530"/>
      <c r="G20" s="530"/>
      <c r="H20" s="530"/>
      <c r="I20" s="530"/>
      <c r="J20" s="530"/>
      <c r="K20" s="530">
        <v>4.4</v>
      </c>
      <c r="L20" s="530"/>
      <c r="M20" s="530"/>
      <c r="N20" s="530"/>
      <c r="O20" s="530">
        <v>2.99</v>
      </c>
      <c r="P20" s="530"/>
      <c r="Q20" s="530"/>
      <c r="R20" s="530"/>
      <c r="S20" s="530"/>
      <c r="T20" s="530"/>
      <c r="U20" s="530"/>
      <c r="V20" s="529">
        <f t="shared" si="5"/>
        <v>2.06</v>
      </c>
      <c r="W20" s="530"/>
      <c r="X20" s="530"/>
      <c r="Y20" s="530"/>
      <c r="Z20" s="530"/>
      <c r="AA20" s="530"/>
      <c r="AB20" s="530">
        <v>2.06</v>
      </c>
      <c r="AC20" s="530"/>
      <c r="AD20" s="530"/>
      <c r="AE20" s="530"/>
      <c r="AF20" s="530"/>
      <c r="AG20" s="530"/>
      <c r="AH20" s="530"/>
      <c r="AI20" s="530"/>
      <c r="AJ20" s="530"/>
      <c r="AK20" s="530"/>
      <c r="AL20" s="530"/>
      <c r="AM20" s="529">
        <f t="shared" si="6"/>
        <v>9.45</v>
      </c>
      <c r="AN20" s="537">
        <f t="shared" ref="AN20:BC20" si="20">F20+W20</f>
        <v>0</v>
      </c>
      <c r="AO20" s="537">
        <f t="shared" si="20"/>
        <v>0</v>
      </c>
      <c r="AP20" s="537">
        <f t="shared" si="20"/>
        <v>0</v>
      </c>
      <c r="AQ20" s="537">
        <f t="shared" si="20"/>
        <v>0</v>
      </c>
      <c r="AR20" s="537">
        <f t="shared" si="20"/>
        <v>0</v>
      </c>
      <c r="AS20" s="537">
        <f t="shared" si="20"/>
        <v>6.46</v>
      </c>
      <c r="AT20" s="537">
        <f t="shared" si="20"/>
        <v>0</v>
      </c>
      <c r="AU20" s="537">
        <f t="shared" si="20"/>
        <v>0</v>
      </c>
      <c r="AV20" s="537">
        <f t="shared" si="20"/>
        <v>0</v>
      </c>
      <c r="AW20" s="537">
        <f t="shared" si="20"/>
        <v>2.99</v>
      </c>
      <c r="AX20" s="537">
        <f t="shared" si="20"/>
        <v>0</v>
      </c>
      <c r="AY20" s="537">
        <f t="shared" si="20"/>
        <v>0</v>
      </c>
      <c r="AZ20" s="537">
        <f t="shared" si="20"/>
        <v>0</v>
      </c>
      <c r="BA20" s="537">
        <f t="shared" si="20"/>
        <v>0</v>
      </c>
      <c r="BB20" s="537">
        <f t="shared" si="20"/>
        <v>0</v>
      </c>
      <c r="BC20" s="537">
        <f t="shared" si="20"/>
        <v>0</v>
      </c>
      <c r="BD20" s="374"/>
      <c r="BE20" s="374"/>
    </row>
    <row r="21" ht="24" spans="1:57">
      <c r="A21" s="528" t="s">
        <v>202</v>
      </c>
      <c r="B21" s="528" t="s">
        <v>203</v>
      </c>
      <c r="C21" s="528" t="s">
        <v>367</v>
      </c>
      <c r="D21" s="528" t="s">
        <v>365</v>
      </c>
      <c r="E21" s="529">
        <f t="shared" si="4"/>
        <v>0.4</v>
      </c>
      <c r="F21" s="530"/>
      <c r="G21" s="530"/>
      <c r="H21" s="530"/>
      <c r="I21" s="530"/>
      <c r="J21" s="530"/>
      <c r="K21" s="530">
        <v>0.4</v>
      </c>
      <c r="L21" s="530"/>
      <c r="M21" s="530"/>
      <c r="N21" s="530"/>
      <c r="O21" s="530"/>
      <c r="P21" s="530"/>
      <c r="Q21" s="530"/>
      <c r="R21" s="530"/>
      <c r="S21" s="530"/>
      <c r="T21" s="530"/>
      <c r="U21" s="530"/>
      <c r="V21" s="529">
        <f t="shared" si="5"/>
        <v>0.1</v>
      </c>
      <c r="W21" s="530"/>
      <c r="X21" s="530"/>
      <c r="Y21" s="530"/>
      <c r="Z21" s="530"/>
      <c r="AA21" s="530"/>
      <c r="AB21" s="530">
        <v>0.1</v>
      </c>
      <c r="AC21" s="530"/>
      <c r="AD21" s="530"/>
      <c r="AE21" s="530"/>
      <c r="AF21" s="530"/>
      <c r="AG21" s="530"/>
      <c r="AH21" s="530"/>
      <c r="AI21" s="530"/>
      <c r="AJ21" s="530"/>
      <c r="AK21" s="530"/>
      <c r="AL21" s="530"/>
      <c r="AM21" s="529">
        <f t="shared" si="6"/>
        <v>0.5</v>
      </c>
      <c r="AN21" s="537">
        <f t="shared" ref="AN21:BC21" si="21">F21+W21</f>
        <v>0</v>
      </c>
      <c r="AO21" s="537">
        <f t="shared" si="21"/>
        <v>0</v>
      </c>
      <c r="AP21" s="537">
        <f t="shared" si="21"/>
        <v>0</v>
      </c>
      <c r="AQ21" s="537">
        <f t="shared" si="21"/>
        <v>0</v>
      </c>
      <c r="AR21" s="537">
        <f t="shared" si="21"/>
        <v>0</v>
      </c>
      <c r="AS21" s="537">
        <f t="shared" si="21"/>
        <v>0.5</v>
      </c>
      <c r="AT21" s="537">
        <f t="shared" si="21"/>
        <v>0</v>
      </c>
      <c r="AU21" s="537">
        <f t="shared" si="21"/>
        <v>0</v>
      </c>
      <c r="AV21" s="537">
        <f t="shared" si="21"/>
        <v>0</v>
      </c>
      <c r="AW21" s="537">
        <f t="shared" si="21"/>
        <v>0</v>
      </c>
      <c r="AX21" s="537">
        <f t="shared" si="21"/>
        <v>0</v>
      </c>
      <c r="AY21" s="537">
        <f t="shared" si="21"/>
        <v>0</v>
      </c>
      <c r="AZ21" s="537">
        <f t="shared" si="21"/>
        <v>0</v>
      </c>
      <c r="BA21" s="537">
        <f t="shared" si="21"/>
        <v>0</v>
      </c>
      <c r="BB21" s="537">
        <f t="shared" si="21"/>
        <v>0</v>
      </c>
      <c r="BC21" s="537">
        <f t="shared" si="21"/>
        <v>0</v>
      </c>
      <c r="BD21" s="374"/>
      <c r="BE21" s="374"/>
    </row>
    <row r="22" ht="24" spans="1:57">
      <c r="A22" s="528" t="s">
        <v>202</v>
      </c>
      <c r="B22" s="528" t="s">
        <v>203</v>
      </c>
      <c r="C22" s="528" t="s">
        <v>311</v>
      </c>
      <c r="D22" s="528" t="s">
        <v>312</v>
      </c>
      <c r="E22" s="529">
        <f t="shared" si="4"/>
        <v>3.4</v>
      </c>
      <c r="F22" s="530"/>
      <c r="G22" s="530"/>
      <c r="H22" s="530"/>
      <c r="I22" s="530"/>
      <c r="J22" s="530"/>
      <c r="K22" s="530">
        <v>2.4</v>
      </c>
      <c r="L22" s="530"/>
      <c r="M22" s="530"/>
      <c r="N22" s="530"/>
      <c r="O22" s="530">
        <v>1</v>
      </c>
      <c r="P22" s="530"/>
      <c r="Q22" s="530"/>
      <c r="R22" s="530"/>
      <c r="S22" s="530"/>
      <c r="T22" s="530"/>
      <c r="U22" s="530"/>
      <c r="V22" s="529">
        <f t="shared" si="5"/>
        <v>0.6</v>
      </c>
      <c r="W22" s="530"/>
      <c r="X22" s="530"/>
      <c r="Y22" s="530"/>
      <c r="Z22" s="530"/>
      <c r="AA22" s="530"/>
      <c r="AB22" s="530">
        <v>0.6</v>
      </c>
      <c r="AC22" s="530"/>
      <c r="AD22" s="530"/>
      <c r="AE22" s="530"/>
      <c r="AF22" s="530"/>
      <c r="AG22" s="530"/>
      <c r="AH22" s="530"/>
      <c r="AI22" s="530"/>
      <c r="AJ22" s="530"/>
      <c r="AK22" s="530"/>
      <c r="AL22" s="530"/>
      <c r="AM22" s="529">
        <f t="shared" si="6"/>
        <v>4</v>
      </c>
      <c r="AN22" s="537">
        <f t="shared" ref="AN22:BC22" si="22">F22+W22</f>
        <v>0</v>
      </c>
      <c r="AO22" s="537">
        <f t="shared" si="22"/>
        <v>0</v>
      </c>
      <c r="AP22" s="537">
        <f t="shared" si="22"/>
        <v>0</v>
      </c>
      <c r="AQ22" s="537">
        <f t="shared" si="22"/>
        <v>0</v>
      </c>
      <c r="AR22" s="537">
        <f t="shared" si="22"/>
        <v>0</v>
      </c>
      <c r="AS22" s="537">
        <f t="shared" si="22"/>
        <v>3</v>
      </c>
      <c r="AT22" s="537">
        <f t="shared" si="22"/>
        <v>0</v>
      </c>
      <c r="AU22" s="537">
        <f t="shared" si="22"/>
        <v>0</v>
      </c>
      <c r="AV22" s="537">
        <f t="shared" si="22"/>
        <v>0</v>
      </c>
      <c r="AW22" s="537">
        <f t="shared" si="22"/>
        <v>1</v>
      </c>
      <c r="AX22" s="537">
        <f t="shared" si="22"/>
        <v>0</v>
      </c>
      <c r="AY22" s="537">
        <f t="shared" si="22"/>
        <v>0</v>
      </c>
      <c r="AZ22" s="537">
        <f t="shared" si="22"/>
        <v>0</v>
      </c>
      <c r="BA22" s="537">
        <f t="shared" si="22"/>
        <v>0</v>
      </c>
      <c r="BB22" s="537">
        <f t="shared" si="22"/>
        <v>0</v>
      </c>
      <c r="BC22" s="537">
        <f t="shared" si="22"/>
        <v>0</v>
      </c>
      <c r="BD22" s="374"/>
      <c r="BE22" s="374"/>
    </row>
    <row r="23" ht="23" customHeight="1" spans="1:57">
      <c r="A23" s="528" t="s">
        <v>202</v>
      </c>
      <c r="B23" s="528" t="s">
        <v>203</v>
      </c>
      <c r="C23" s="528" t="s">
        <v>368</v>
      </c>
      <c r="D23" s="528" t="s">
        <v>365</v>
      </c>
      <c r="E23" s="529">
        <f t="shared" si="4"/>
        <v>5.79</v>
      </c>
      <c r="F23" s="530"/>
      <c r="G23" s="530"/>
      <c r="H23" s="530"/>
      <c r="I23" s="530"/>
      <c r="J23" s="530"/>
      <c r="K23" s="530">
        <v>2.8</v>
      </c>
      <c r="L23" s="530"/>
      <c r="M23" s="530"/>
      <c r="N23" s="530"/>
      <c r="O23" s="530">
        <v>2.99</v>
      </c>
      <c r="P23" s="530"/>
      <c r="Q23" s="530"/>
      <c r="R23" s="530"/>
      <c r="S23" s="530"/>
      <c r="T23" s="530"/>
      <c r="U23" s="530"/>
      <c r="V23" s="529">
        <f t="shared" si="5"/>
        <v>0.7</v>
      </c>
      <c r="W23" s="530"/>
      <c r="X23" s="530"/>
      <c r="Y23" s="530"/>
      <c r="Z23" s="530"/>
      <c r="AA23" s="530"/>
      <c r="AB23" s="530">
        <v>0.7</v>
      </c>
      <c r="AC23" s="530"/>
      <c r="AD23" s="530"/>
      <c r="AE23" s="530"/>
      <c r="AF23" s="530"/>
      <c r="AG23" s="530"/>
      <c r="AH23" s="530"/>
      <c r="AI23" s="530"/>
      <c r="AJ23" s="530"/>
      <c r="AK23" s="530"/>
      <c r="AL23" s="530"/>
      <c r="AM23" s="529">
        <f t="shared" si="6"/>
        <v>6.49</v>
      </c>
      <c r="AN23" s="537">
        <f t="shared" ref="AN23:BC23" si="23">F23+W23</f>
        <v>0</v>
      </c>
      <c r="AO23" s="537">
        <f t="shared" si="23"/>
        <v>0</v>
      </c>
      <c r="AP23" s="537">
        <f t="shared" si="23"/>
        <v>0</v>
      </c>
      <c r="AQ23" s="537">
        <f t="shared" si="23"/>
        <v>0</v>
      </c>
      <c r="AR23" s="537">
        <f t="shared" si="23"/>
        <v>0</v>
      </c>
      <c r="AS23" s="537">
        <f t="shared" si="23"/>
        <v>3.5</v>
      </c>
      <c r="AT23" s="537">
        <f t="shared" si="23"/>
        <v>0</v>
      </c>
      <c r="AU23" s="537">
        <f t="shared" si="23"/>
        <v>0</v>
      </c>
      <c r="AV23" s="537">
        <f t="shared" si="23"/>
        <v>0</v>
      </c>
      <c r="AW23" s="537">
        <f t="shared" si="23"/>
        <v>2.99</v>
      </c>
      <c r="AX23" s="537">
        <f t="shared" si="23"/>
        <v>0</v>
      </c>
      <c r="AY23" s="537">
        <f t="shared" si="23"/>
        <v>0</v>
      </c>
      <c r="AZ23" s="537">
        <f t="shared" si="23"/>
        <v>0</v>
      </c>
      <c r="BA23" s="537">
        <f t="shared" si="23"/>
        <v>0</v>
      </c>
      <c r="BB23" s="537">
        <f t="shared" si="23"/>
        <v>0</v>
      </c>
      <c r="BC23" s="537">
        <f t="shared" si="23"/>
        <v>0</v>
      </c>
      <c r="BD23" s="374"/>
      <c r="BE23" s="374" t="s">
        <v>753</v>
      </c>
    </row>
    <row r="24" ht="24" customHeight="1" spans="1:57">
      <c r="A24" s="528" t="s">
        <v>261</v>
      </c>
      <c r="B24" s="528" t="s">
        <v>203</v>
      </c>
      <c r="C24" s="528" t="s">
        <v>262</v>
      </c>
      <c r="D24" s="1" t="s">
        <v>263</v>
      </c>
      <c r="E24" s="529">
        <f t="shared" si="4"/>
        <v>34.09</v>
      </c>
      <c r="F24" s="530"/>
      <c r="G24" s="530"/>
      <c r="H24" s="530"/>
      <c r="I24" s="530"/>
      <c r="J24" s="530"/>
      <c r="K24" s="530">
        <v>13.6</v>
      </c>
      <c r="L24" s="530"/>
      <c r="M24" s="530"/>
      <c r="N24" s="530"/>
      <c r="O24" s="530">
        <v>20.49</v>
      </c>
      <c r="P24" s="530"/>
      <c r="Q24" s="530"/>
      <c r="R24" s="530"/>
      <c r="S24" s="530"/>
      <c r="T24" s="530"/>
      <c r="U24" s="530"/>
      <c r="V24" s="529">
        <f t="shared" si="5"/>
        <v>2.31</v>
      </c>
      <c r="W24" s="530"/>
      <c r="X24" s="530"/>
      <c r="Y24" s="530"/>
      <c r="Z24" s="530"/>
      <c r="AA24" s="530"/>
      <c r="AB24" s="530">
        <v>1.31</v>
      </c>
      <c r="AC24" s="530"/>
      <c r="AD24" s="530"/>
      <c r="AE24" s="530"/>
      <c r="AF24" s="530">
        <v>1</v>
      </c>
      <c r="AG24" s="530"/>
      <c r="AH24" s="530"/>
      <c r="AI24" s="530"/>
      <c r="AJ24" s="530"/>
      <c r="AK24" s="530"/>
      <c r="AL24" s="530"/>
      <c r="AM24" s="529">
        <f t="shared" si="6"/>
        <v>36.4</v>
      </c>
      <c r="AN24" s="537">
        <f t="shared" ref="AN24:BC24" si="24">F24+W24</f>
        <v>0</v>
      </c>
      <c r="AO24" s="537">
        <f t="shared" si="24"/>
        <v>0</v>
      </c>
      <c r="AP24" s="537">
        <f t="shared" si="24"/>
        <v>0</v>
      </c>
      <c r="AQ24" s="537">
        <f t="shared" si="24"/>
        <v>0</v>
      </c>
      <c r="AR24" s="537">
        <f t="shared" si="24"/>
        <v>0</v>
      </c>
      <c r="AS24" s="537">
        <f t="shared" si="24"/>
        <v>14.91</v>
      </c>
      <c r="AT24" s="537">
        <f t="shared" si="24"/>
        <v>0</v>
      </c>
      <c r="AU24" s="537">
        <f t="shared" si="24"/>
        <v>0</v>
      </c>
      <c r="AV24" s="537">
        <f t="shared" si="24"/>
        <v>0</v>
      </c>
      <c r="AW24" s="537">
        <f t="shared" si="24"/>
        <v>21.49</v>
      </c>
      <c r="AX24" s="537">
        <f t="shared" si="24"/>
        <v>0</v>
      </c>
      <c r="AY24" s="537">
        <f t="shared" si="24"/>
        <v>0</v>
      </c>
      <c r="AZ24" s="537">
        <f t="shared" si="24"/>
        <v>0</v>
      </c>
      <c r="BA24" s="537">
        <f t="shared" si="24"/>
        <v>0</v>
      </c>
      <c r="BB24" s="537">
        <f t="shared" si="24"/>
        <v>0</v>
      </c>
      <c r="BC24" s="537">
        <f t="shared" si="24"/>
        <v>0</v>
      </c>
      <c r="BD24" s="374"/>
      <c r="BE24" s="374"/>
    </row>
    <row r="25" ht="24" customHeight="1" spans="1:57">
      <c r="A25" s="528" t="s">
        <v>261</v>
      </c>
      <c r="B25" s="528" t="s">
        <v>206</v>
      </c>
      <c r="C25" s="528" t="s">
        <v>264</v>
      </c>
      <c r="D25" s="1" t="s">
        <v>265</v>
      </c>
      <c r="E25" s="529">
        <f t="shared" si="4"/>
        <v>2.436</v>
      </c>
      <c r="F25" s="530"/>
      <c r="G25" s="530"/>
      <c r="H25" s="530"/>
      <c r="I25" s="530"/>
      <c r="J25" s="530"/>
      <c r="K25" s="530">
        <v>1.44</v>
      </c>
      <c r="L25" s="530"/>
      <c r="M25" s="530"/>
      <c r="N25" s="530"/>
      <c r="O25" s="530"/>
      <c r="P25" s="530">
        <v>0.996</v>
      </c>
      <c r="Q25" s="530"/>
      <c r="R25" s="530"/>
      <c r="S25" s="530"/>
      <c r="T25" s="530"/>
      <c r="U25" s="530"/>
      <c r="V25" s="529">
        <f t="shared" si="5"/>
        <v>0.45</v>
      </c>
      <c r="W25" s="530"/>
      <c r="X25" s="530"/>
      <c r="Y25" s="530"/>
      <c r="Z25" s="530"/>
      <c r="AA25" s="530"/>
      <c r="AB25" s="530">
        <v>0.36</v>
      </c>
      <c r="AC25" s="530"/>
      <c r="AD25" s="530"/>
      <c r="AE25" s="530"/>
      <c r="AF25" s="530"/>
      <c r="AG25" s="530"/>
      <c r="AH25" s="530">
        <v>0.09</v>
      </c>
      <c r="AI25" s="530"/>
      <c r="AJ25" s="530"/>
      <c r="AK25" s="530"/>
      <c r="AL25" s="530"/>
      <c r="AM25" s="529">
        <f t="shared" si="6"/>
        <v>2.886</v>
      </c>
      <c r="AN25" s="537">
        <f t="shared" ref="AN25:BC25" si="25">F25+W25</f>
        <v>0</v>
      </c>
      <c r="AO25" s="537">
        <f t="shared" si="25"/>
        <v>0</v>
      </c>
      <c r="AP25" s="537">
        <f t="shared" si="25"/>
        <v>0</v>
      </c>
      <c r="AQ25" s="537">
        <f t="shared" si="25"/>
        <v>0</v>
      </c>
      <c r="AR25" s="537">
        <f t="shared" si="25"/>
        <v>0</v>
      </c>
      <c r="AS25" s="537">
        <f t="shared" si="25"/>
        <v>1.8</v>
      </c>
      <c r="AT25" s="537">
        <f t="shared" si="25"/>
        <v>0</v>
      </c>
      <c r="AU25" s="537">
        <f t="shared" si="25"/>
        <v>0</v>
      </c>
      <c r="AV25" s="537">
        <f t="shared" si="25"/>
        <v>0</v>
      </c>
      <c r="AW25" s="537">
        <f t="shared" si="25"/>
        <v>0</v>
      </c>
      <c r="AX25" s="537">
        <f t="shared" si="25"/>
        <v>0.996</v>
      </c>
      <c r="AY25" s="537">
        <f t="shared" si="25"/>
        <v>0.09</v>
      </c>
      <c r="AZ25" s="537">
        <f t="shared" si="25"/>
        <v>0</v>
      </c>
      <c r="BA25" s="537">
        <f t="shared" si="25"/>
        <v>0</v>
      </c>
      <c r="BB25" s="537">
        <f t="shared" si="25"/>
        <v>0</v>
      </c>
      <c r="BC25" s="537">
        <f t="shared" si="25"/>
        <v>0</v>
      </c>
      <c r="BD25" s="374"/>
      <c r="BE25" s="374"/>
    </row>
    <row r="26" ht="24" customHeight="1" spans="1:57">
      <c r="A26" s="528" t="s">
        <v>215</v>
      </c>
      <c r="B26" s="528" t="s">
        <v>203</v>
      </c>
      <c r="C26" s="528" t="s">
        <v>293</v>
      </c>
      <c r="D26" s="380" t="s">
        <v>294</v>
      </c>
      <c r="E26" s="529">
        <f t="shared" si="4"/>
        <v>47.6</v>
      </c>
      <c r="F26" s="530"/>
      <c r="G26" s="530"/>
      <c r="H26" s="530"/>
      <c r="I26" s="530"/>
      <c r="J26" s="530"/>
      <c r="K26" s="530">
        <v>23.2</v>
      </c>
      <c r="L26" s="530"/>
      <c r="M26" s="530"/>
      <c r="N26" s="530"/>
      <c r="O26" s="530">
        <v>24.4</v>
      </c>
      <c r="P26" s="530"/>
      <c r="Q26" s="530"/>
      <c r="R26" s="530"/>
      <c r="S26" s="530"/>
      <c r="T26" s="530"/>
      <c r="U26" s="530"/>
      <c r="V26" s="529">
        <f t="shared" ref="V26:V43" si="26">SUM(W26:AL26)</f>
        <v>-47.6</v>
      </c>
      <c r="W26" s="530"/>
      <c r="X26" s="530"/>
      <c r="Y26" s="530"/>
      <c r="Z26" s="530"/>
      <c r="AA26" s="530"/>
      <c r="AB26" s="530">
        <v>-23.2</v>
      </c>
      <c r="AC26" s="530"/>
      <c r="AD26" s="530"/>
      <c r="AE26" s="530"/>
      <c r="AF26" s="530">
        <v>-24.4</v>
      </c>
      <c r="AG26" s="530"/>
      <c r="AH26" s="530"/>
      <c r="AI26" s="530"/>
      <c r="AJ26" s="530"/>
      <c r="AK26" s="530"/>
      <c r="AL26" s="530"/>
      <c r="AM26" s="529">
        <f t="shared" si="6"/>
        <v>0</v>
      </c>
      <c r="AN26" s="537">
        <f t="shared" ref="AN26:BC26" si="27">F26+W26</f>
        <v>0</v>
      </c>
      <c r="AO26" s="537">
        <f t="shared" si="27"/>
        <v>0</v>
      </c>
      <c r="AP26" s="537">
        <f t="shared" si="27"/>
        <v>0</v>
      </c>
      <c r="AQ26" s="537">
        <f t="shared" si="27"/>
        <v>0</v>
      </c>
      <c r="AR26" s="537">
        <f t="shared" si="27"/>
        <v>0</v>
      </c>
      <c r="AS26" s="537">
        <f t="shared" si="27"/>
        <v>0</v>
      </c>
      <c r="AT26" s="537">
        <f t="shared" si="27"/>
        <v>0</v>
      </c>
      <c r="AU26" s="537">
        <f t="shared" si="27"/>
        <v>0</v>
      </c>
      <c r="AV26" s="537">
        <f t="shared" si="27"/>
        <v>0</v>
      </c>
      <c r="AW26" s="537">
        <f t="shared" si="27"/>
        <v>0</v>
      </c>
      <c r="AX26" s="537">
        <f t="shared" si="27"/>
        <v>0</v>
      </c>
      <c r="AY26" s="537">
        <f t="shared" si="27"/>
        <v>0</v>
      </c>
      <c r="AZ26" s="537">
        <f t="shared" si="27"/>
        <v>0</v>
      </c>
      <c r="BA26" s="537">
        <f t="shared" si="27"/>
        <v>0</v>
      </c>
      <c r="BB26" s="537">
        <f t="shared" si="27"/>
        <v>0</v>
      </c>
      <c r="BC26" s="537">
        <f t="shared" si="27"/>
        <v>0</v>
      </c>
      <c r="BD26" s="374"/>
      <c r="BE26" s="374"/>
    </row>
    <row r="27" ht="24" customHeight="1" spans="1:57">
      <c r="A27" s="528" t="s">
        <v>226</v>
      </c>
      <c r="B27" s="528" t="s">
        <v>203</v>
      </c>
      <c r="C27" s="528" t="s">
        <v>274</v>
      </c>
      <c r="D27" s="1" t="s">
        <v>275</v>
      </c>
      <c r="E27" s="529">
        <f t="shared" si="4"/>
        <v>12.23</v>
      </c>
      <c r="F27" s="530"/>
      <c r="G27" s="530"/>
      <c r="H27" s="530"/>
      <c r="I27" s="530"/>
      <c r="J27" s="530"/>
      <c r="K27" s="530">
        <v>7.6</v>
      </c>
      <c r="L27" s="530"/>
      <c r="M27" s="530"/>
      <c r="N27" s="530"/>
      <c r="O27" s="530">
        <v>3.98</v>
      </c>
      <c r="P27" s="530"/>
      <c r="Q27" s="530"/>
      <c r="R27" s="530"/>
      <c r="S27" s="530"/>
      <c r="T27" s="530"/>
      <c r="U27" s="530">
        <v>0.65</v>
      </c>
      <c r="V27" s="529">
        <f t="shared" si="26"/>
        <v>3.28</v>
      </c>
      <c r="W27" s="530"/>
      <c r="X27" s="530"/>
      <c r="Y27" s="530"/>
      <c r="Z27" s="530"/>
      <c r="AA27" s="530"/>
      <c r="AB27" s="530">
        <v>3.28</v>
      </c>
      <c r="AC27" s="530"/>
      <c r="AD27" s="530"/>
      <c r="AE27" s="530"/>
      <c r="AF27" s="530"/>
      <c r="AG27" s="530"/>
      <c r="AH27" s="530"/>
      <c r="AI27" s="530"/>
      <c r="AJ27" s="530"/>
      <c r="AK27" s="530"/>
      <c r="AL27" s="530"/>
      <c r="AM27" s="529">
        <f t="shared" si="6"/>
        <v>15.51</v>
      </c>
      <c r="AN27" s="537">
        <f t="shared" ref="AN27:BC27" si="28">F27+W27</f>
        <v>0</v>
      </c>
      <c r="AO27" s="537">
        <f t="shared" si="28"/>
        <v>0</v>
      </c>
      <c r="AP27" s="537">
        <f t="shared" si="28"/>
        <v>0</v>
      </c>
      <c r="AQ27" s="537">
        <f t="shared" si="28"/>
        <v>0</v>
      </c>
      <c r="AR27" s="537">
        <f t="shared" si="28"/>
        <v>0</v>
      </c>
      <c r="AS27" s="537">
        <f t="shared" si="28"/>
        <v>10.88</v>
      </c>
      <c r="AT27" s="537">
        <f t="shared" si="28"/>
        <v>0</v>
      </c>
      <c r="AU27" s="537">
        <f t="shared" si="28"/>
        <v>0</v>
      </c>
      <c r="AV27" s="537">
        <f t="shared" si="28"/>
        <v>0</v>
      </c>
      <c r="AW27" s="537">
        <f t="shared" si="28"/>
        <v>3.98</v>
      </c>
      <c r="AX27" s="537">
        <f t="shared" si="28"/>
        <v>0</v>
      </c>
      <c r="AY27" s="537">
        <f t="shared" si="28"/>
        <v>0</v>
      </c>
      <c r="AZ27" s="537">
        <f t="shared" si="28"/>
        <v>0</v>
      </c>
      <c r="BA27" s="537">
        <f t="shared" si="28"/>
        <v>0</v>
      </c>
      <c r="BB27" s="537">
        <f t="shared" si="28"/>
        <v>0</v>
      </c>
      <c r="BC27" s="537">
        <f t="shared" si="28"/>
        <v>0.65</v>
      </c>
      <c r="BD27" s="374"/>
      <c r="BE27" s="374"/>
    </row>
    <row r="28" ht="24" spans="1:57">
      <c r="A28" s="528" t="s">
        <v>226</v>
      </c>
      <c r="B28" s="528" t="s">
        <v>206</v>
      </c>
      <c r="C28" s="528" t="s">
        <v>278</v>
      </c>
      <c r="D28" s="528" t="s">
        <v>279</v>
      </c>
      <c r="E28" s="529">
        <f t="shared" si="4"/>
        <v>0.48</v>
      </c>
      <c r="F28" s="530"/>
      <c r="G28" s="530"/>
      <c r="H28" s="530"/>
      <c r="I28" s="530"/>
      <c r="J28" s="530"/>
      <c r="K28" s="530">
        <v>0.48</v>
      </c>
      <c r="L28" s="530"/>
      <c r="M28" s="530"/>
      <c r="N28" s="530"/>
      <c r="O28" s="530"/>
      <c r="P28" s="530"/>
      <c r="Q28" s="530"/>
      <c r="R28" s="530"/>
      <c r="S28" s="530"/>
      <c r="T28" s="530"/>
      <c r="U28" s="530"/>
      <c r="V28" s="529">
        <f t="shared" si="26"/>
        <v>0.12</v>
      </c>
      <c r="W28" s="530"/>
      <c r="X28" s="530"/>
      <c r="Y28" s="530"/>
      <c r="Z28" s="530"/>
      <c r="AA28" s="530"/>
      <c r="AB28" s="530">
        <v>0.12</v>
      </c>
      <c r="AC28" s="530"/>
      <c r="AD28" s="530"/>
      <c r="AE28" s="530"/>
      <c r="AF28" s="530"/>
      <c r="AG28" s="530"/>
      <c r="AH28" s="530"/>
      <c r="AI28" s="530"/>
      <c r="AJ28" s="530"/>
      <c r="AK28" s="530"/>
      <c r="AL28" s="530"/>
      <c r="AM28" s="529">
        <f t="shared" si="6"/>
        <v>0.6</v>
      </c>
      <c r="AN28" s="537">
        <f t="shared" ref="AN28:BC28" si="29">F28+W28</f>
        <v>0</v>
      </c>
      <c r="AO28" s="537">
        <f t="shared" si="29"/>
        <v>0</v>
      </c>
      <c r="AP28" s="537">
        <f t="shared" si="29"/>
        <v>0</v>
      </c>
      <c r="AQ28" s="537">
        <f t="shared" si="29"/>
        <v>0</v>
      </c>
      <c r="AR28" s="537">
        <f t="shared" si="29"/>
        <v>0</v>
      </c>
      <c r="AS28" s="537">
        <f t="shared" si="29"/>
        <v>0.6</v>
      </c>
      <c r="AT28" s="537">
        <f t="shared" si="29"/>
        <v>0</v>
      </c>
      <c r="AU28" s="537">
        <f t="shared" si="29"/>
        <v>0</v>
      </c>
      <c r="AV28" s="537">
        <f t="shared" si="29"/>
        <v>0</v>
      </c>
      <c r="AW28" s="537">
        <f t="shared" si="29"/>
        <v>0</v>
      </c>
      <c r="AX28" s="537">
        <f t="shared" si="29"/>
        <v>0</v>
      </c>
      <c r="AY28" s="537">
        <f t="shared" si="29"/>
        <v>0</v>
      </c>
      <c r="AZ28" s="537">
        <f t="shared" si="29"/>
        <v>0</v>
      </c>
      <c r="BA28" s="537">
        <f t="shared" si="29"/>
        <v>0</v>
      </c>
      <c r="BB28" s="537">
        <f t="shared" si="29"/>
        <v>0</v>
      </c>
      <c r="BC28" s="537">
        <f t="shared" si="29"/>
        <v>0</v>
      </c>
      <c r="BD28" s="374"/>
      <c r="BE28" s="374"/>
    </row>
    <row r="29" ht="24" spans="1:57">
      <c r="A29" s="528" t="s">
        <v>226</v>
      </c>
      <c r="B29" s="528" t="s">
        <v>206</v>
      </c>
      <c r="C29" s="528" t="s">
        <v>276</v>
      </c>
      <c r="D29" s="528" t="s">
        <v>277</v>
      </c>
      <c r="E29" s="529">
        <f t="shared" si="4"/>
        <v>2.232</v>
      </c>
      <c r="F29" s="530"/>
      <c r="G29" s="530"/>
      <c r="H29" s="530"/>
      <c r="I29" s="530"/>
      <c r="J29" s="530"/>
      <c r="K29" s="530">
        <v>0.24</v>
      </c>
      <c r="L29" s="530"/>
      <c r="M29" s="530"/>
      <c r="N29" s="530"/>
      <c r="O29" s="530"/>
      <c r="P29" s="530">
        <v>1.992</v>
      </c>
      <c r="Q29" s="530"/>
      <c r="R29" s="530"/>
      <c r="S29" s="530"/>
      <c r="T29" s="530"/>
      <c r="U29" s="530"/>
      <c r="V29" s="529">
        <f t="shared" si="26"/>
        <v>0.06</v>
      </c>
      <c r="W29" s="530"/>
      <c r="X29" s="530"/>
      <c r="Y29" s="530"/>
      <c r="Z29" s="530"/>
      <c r="AA29" s="530"/>
      <c r="AB29" s="530">
        <v>0.06</v>
      </c>
      <c r="AC29" s="530"/>
      <c r="AD29" s="530"/>
      <c r="AE29" s="530"/>
      <c r="AF29" s="530"/>
      <c r="AG29" s="530"/>
      <c r="AH29" s="530"/>
      <c r="AI29" s="530"/>
      <c r="AJ29" s="530"/>
      <c r="AK29" s="530"/>
      <c r="AL29" s="530"/>
      <c r="AM29" s="529">
        <f t="shared" si="6"/>
        <v>2.292</v>
      </c>
      <c r="AN29" s="537">
        <f t="shared" ref="AN29:BC29" si="30">F29+W29</f>
        <v>0</v>
      </c>
      <c r="AO29" s="537">
        <f t="shared" si="30"/>
        <v>0</v>
      </c>
      <c r="AP29" s="537">
        <f t="shared" si="30"/>
        <v>0</v>
      </c>
      <c r="AQ29" s="537">
        <f t="shared" si="30"/>
        <v>0</v>
      </c>
      <c r="AR29" s="537">
        <f t="shared" si="30"/>
        <v>0</v>
      </c>
      <c r="AS29" s="537">
        <f t="shared" si="30"/>
        <v>0.3</v>
      </c>
      <c r="AT29" s="537">
        <f t="shared" si="30"/>
        <v>0</v>
      </c>
      <c r="AU29" s="537">
        <f t="shared" si="30"/>
        <v>0</v>
      </c>
      <c r="AV29" s="537">
        <f t="shared" si="30"/>
        <v>0</v>
      </c>
      <c r="AW29" s="537">
        <f t="shared" si="30"/>
        <v>0</v>
      </c>
      <c r="AX29" s="537">
        <f t="shared" si="30"/>
        <v>1.992</v>
      </c>
      <c r="AY29" s="537">
        <f t="shared" si="30"/>
        <v>0</v>
      </c>
      <c r="AZ29" s="537">
        <f t="shared" si="30"/>
        <v>0</v>
      </c>
      <c r="BA29" s="537">
        <f t="shared" si="30"/>
        <v>0</v>
      </c>
      <c r="BB29" s="537">
        <f t="shared" si="30"/>
        <v>0</v>
      </c>
      <c r="BC29" s="537">
        <f t="shared" si="30"/>
        <v>0</v>
      </c>
      <c r="BD29" s="374"/>
      <c r="BE29" s="374" t="s">
        <v>754</v>
      </c>
    </row>
    <row r="30" ht="24" spans="1:57">
      <c r="A30" s="528" t="s">
        <v>226</v>
      </c>
      <c r="B30" s="528" t="s">
        <v>206</v>
      </c>
      <c r="C30" s="528" t="s">
        <v>280</v>
      </c>
      <c r="D30" s="528" t="s">
        <v>279</v>
      </c>
      <c r="E30" s="529">
        <f t="shared" si="4"/>
        <v>0.24</v>
      </c>
      <c r="F30" s="530"/>
      <c r="G30" s="530"/>
      <c r="H30" s="530"/>
      <c r="I30" s="530"/>
      <c r="J30" s="530"/>
      <c r="K30" s="530">
        <v>0.24</v>
      </c>
      <c r="L30" s="530"/>
      <c r="M30" s="530"/>
      <c r="N30" s="530"/>
      <c r="O30" s="530"/>
      <c r="P30" s="530"/>
      <c r="Q30" s="530"/>
      <c r="R30" s="530"/>
      <c r="S30" s="530"/>
      <c r="T30" s="530"/>
      <c r="U30" s="530"/>
      <c r="V30" s="529">
        <f t="shared" si="26"/>
        <v>0.06</v>
      </c>
      <c r="W30" s="530"/>
      <c r="X30" s="530"/>
      <c r="Y30" s="530"/>
      <c r="Z30" s="530"/>
      <c r="AA30" s="530"/>
      <c r="AB30" s="530">
        <v>0.06</v>
      </c>
      <c r="AC30" s="530"/>
      <c r="AD30" s="530"/>
      <c r="AE30" s="530"/>
      <c r="AF30" s="530"/>
      <c r="AG30" s="530"/>
      <c r="AH30" s="530"/>
      <c r="AI30" s="530"/>
      <c r="AJ30" s="530"/>
      <c r="AK30" s="530"/>
      <c r="AL30" s="530"/>
      <c r="AM30" s="529">
        <f t="shared" si="6"/>
        <v>0.3</v>
      </c>
      <c r="AN30" s="537">
        <f t="shared" ref="AN30:BC30" si="31">F30+W30</f>
        <v>0</v>
      </c>
      <c r="AO30" s="537">
        <f t="shared" si="31"/>
        <v>0</v>
      </c>
      <c r="AP30" s="537">
        <f t="shared" si="31"/>
        <v>0</v>
      </c>
      <c r="AQ30" s="537">
        <f t="shared" si="31"/>
        <v>0</v>
      </c>
      <c r="AR30" s="537">
        <f t="shared" si="31"/>
        <v>0</v>
      </c>
      <c r="AS30" s="537">
        <f t="shared" si="31"/>
        <v>0.3</v>
      </c>
      <c r="AT30" s="537">
        <f t="shared" si="31"/>
        <v>0</v>
      </c>
      <c r="AU30" s="537">
        <f t="shared" si="31"/>
        <v>0</v>
      </c>
      <c r="AV30" s="537">
        <f t="shared" si="31"/>
        <v>0</v>
      </c>
      <c r="AW30" s="537">
        <f t="shared" si="31"/>
        <v>0</v>
      </c>
      <c r="AX30" s="537">
        <f t="shared" si="31"/>
        <v>0</v>
      </c>
      <c r="AY30" s="537">
        <f t="shared" si="31"/>
        <v>0</v>
      </c>
      <c r="AZ30" s="537">
        <f t="shared" si="31"/>
        <v>0</v>
      </c>
      <c r="BA30" s="537">
        <f t="shared" si="31"/>
        <v>0</v>
      </c>
      <c r="BB30" s="537">
        <f t="shared" si="31"/>
        <v>0</v>
      </c>
      <c r="BC30" s="537">
        <f t="shared" si="31"/>
        <v>0</v>
      </c>
      <c r="BD30" s="374"/>
      <c r="BE30" s="374"/>
    </row>
    <row r="31" ht="24" spans="1:57">
      <c r="A31" s="528" t="s">
        <v>226</v>
      </c>
      <c r="B31" s="528" t="s">
        <v>206</v>
      </c>
      <c r="C31" s="528" t="s">
        <v>283</v>
      </c>
      <c r="D31" s="528" t="s">
        <v>279</v>
      </c>
      <c r="E31" s="529">
        <f t="shared" si="4"/>
        <v>0</v>
      </c>
      <c r="F31" s="530"/>
      <c r="G31" s="530"/>
      <c r="H31" s="530"/>
      <c r="I31" s="530"/>
      <c r="J31" s="530"/>
      <c r="K31" s="530"/>
      <c r="L31" s="530"/>
      <c r="M31" s="530"/>
      <c r="N31" s="530"/>
      <c r="O31" s="530"/>
      <c r="P31" s="530"/>
      <c r="Q31" s="530"/>
      <c r="R31" s="530"/>
      <c r="S31" s="530"/>
      <c r="T31" s="530"/>
      <c r="U31" s="530"/>
      <c r="V31" s="529">
        <f t="shared" si="26"/>
        <v>0.13</v>
      </c>
      <c r="W31" s="530"/>
      <c r="X31" s="530"/>
      <c r="Y31" s="530"/>
      <c r="Z31" s="530"/>
      <c r="AA31" s="530"/>
      <c r="AB31" s="530">
        <v>0.13</v>
      </c>
      <c r="AC31" s="530"/>
      <c r="AD31" s="530"/>
      <c r="AE31" s="530"/>
      <c r="AF31" s="530"/>
      <c r="AG31" s="530"/>
      <c r="AH31" s="530"/>
      <c r="AI31" s="530"/>
      <c r="AJ31" s="530"/>
      <c r="AK31" s="530"/>
      <c r="AL31" s="530"/>
      <c r="AM31" s="529">
        <f t="shared" si="6"/>
        <v>0.13</v>
      </c>
      <c r="AN31" s="537">
        <f t="shared" ref="AN31:BC31" si="32">F31+W31</f>
        <v>0</v>
      </c>
      <c r="AO31" s="537">
        <f t="shared" si="32"/>
        <v>0</v>
      </c>
      <c r="AP31" s="537">
        <f t="shared" si="32"/>
        <v>0</v>
      </c>
      <c r="AQ31" s="537">
        <f t="shared" si="32"/>
        <v>0</v>
      </c>
      <c r="AR31" s="537">
        <f t="shared" si="32"/>
        <v>0</v>
      </c>
      <c r="AS31" s="537">
        <f t="shared" si="32"/>
        <v>0.13</v>
      </c>
      <c r="AT31" s="537">
        <f t="shared" si="32"/>
        <v>0</v>
      </c>
      <c r="AU31" s="537">
        <f t="shared" si="32"/>
        <v>0</v>
      </c>
      <c r="AV31" s="537">
        <f t="shared" si="32"/>
        <v>0</v>
      </c>
      <c r="AW31" s="537">
        <f t="shared" si="32"/>
        <v>0</v>
      </c>
      <c r="AX31" s="537">
        <f t="shared" si="32"/>
        <v>0</v>
      </c>
      <c r="AY31" s="537">
        <f t="shared" si="32"/>
        <v>0</v>
      </c>
      <c r="AZ31" s="537">
        <f t="shared" si="32"/>
        <v>0</v>
      </c>
      <c r="BA31" s="537">
        <f t="shared" si="32"/>
        <v>0</v>
      </c>
      <c r="BB31" s="537">
        <f t="shared" si="32"/>
        <v>0</v>
      </c>
      <c r="BC31" s="537">
        <f t="shared" si="32"/>
        <v>0</v>
      </c>
      <c r="BD31" s="374"/>
      <c r="BE31" s="374"/>
    </row>
    <row r="32" ht="24" spans="1:57">
      <c r="A32" s="528" t="s">
        <v>202</v>
      </c>
      <c r="B32" s="528" t="s">
        <v>203</v>
      </c>
      <c r="C32" s="528" t="s">
        <v>284</v>
      </c>
      <c r="D32" s="528" t="s">
        <v>285</v>
      </c>
      <c r="E32" s="529">
        <f t="shared" si="4"/>
        <v>2.64</v>
      </c>
      <c r="F32" s="530"/>
      <c r="G32" s="530"/>
      <c r="H32" s="530"/>
      <c r="I32" s="530"/>
      <c r="J32" s="530"/>
      <c r="K32" s="530">
        <v>2.24</v>
      </c>
      <c r="L32" s="530"/>
      <c r="M32" s="530"/>
      <c r="N32" s="530"/>
      <c r="O32" s="530">
        <v>0.4</v>
      </c>
      <c r="P32" s="530"/>
      <c r="Q32" s="530"/>
      <c r="R32" s="530"/>
      <c r="S32" s="530"/>
      <c r="T32" s="530"/>
      <c r="U32" s="530"/>
      <c r="V32" s="529">
        <f t="shared" si="26"/>
        <v>0.56</v>
      </c>
      <c r="W32" s="530"/>
      <c r="X32" s="530"/>
      <c r="Y32" s="530"/>
      <c r="Z32" s="530"/>
      <c r="AA32" s="530"/>
      <c r="AB32" s="530">
        <v>0.56</v>
      </c>
      <c r="AC32" s="530"/>
      <c r="AD32" s="530"/>
      <c r="AE32" s="530"/>
      <c r="AF32" s="530"/>
      <c r="AG32" s="530"/>
      <c r="AH32" s="530"/>
      <c r="AI32" s="530"/>
      <c r="AJ32" s="530"/>
      <c r="AK32" s="530"/>
      <c r="AL32" s="530"/>
      <c r="AM32" s="529">
        <f t="shared" si="6"/>
        <v>3.2</v>
      </c>
      <c r="AN32" s="537">
        <f t="shared" ref="AN32:BC32" si="33">F32+W32</f>
        <v>0</v>
      </c>
      <c r="AO32" s="537">
        <f t="shared" si="33"/>
        <v>0</v>
      </c>
      <c r="AP32" s="537">
        <f t="shared" si="33"/>
        <v>0</v>
      </c>
      <c r="AQ32" s="537">
        <f t="shared" si="33"/>
        <v>0</v>
      </c>
      <c r="AR32" s="537">
        <f t="shared" si="33"/>
        <v>0</v>
      </c>
      <c r="AS32" s="537">
        <f t="shared" si="33"/>
        <v>2.8</v>
      </c>
      <c r="AT32" s="537">
        <f t="shared" si="33"/>
        <v>0</v>
      </c>
      <c r="AU32" s="537">
        <f t="shared" si="33"/>
        <v>0</v>
      </c>
      <c r="AV32" s="537">
        <f t="shared" si="33"/>
        <v>0</v>
      </c>
      <c r="AW32" s="537">
        <f t="shared" si="33"/>
        <v>0.4</v>
      </c>
      <c r="AX32" s="537">
        <f t="shared" si="33"/>
        <v>0</v>
      </c>
      <c r="AY32" s="537">
        <f t="shared" si="33"/>
        <v>0</v>
      </c>
      <c r="AZ32" s="537">
        <f t="shared" si="33"/>
        <v>0</v>
      </c>
      <c r="BA32" s="537">
        <f t="shared" si="33"/>
        <v>0</v>
      </c>
      <c r="BB32" s="537">
        <f t="shared" si="33"/>
        <v>0</v>
      </c>
      <c r="BC32" s="537">
        <f t="shared" si="33"/>
        <v>0</v>
      </c>
      <c r="BD32" s="374"/>
      <c r="BE32" s="374"/>
    </row>
    <row r="33" ht="24" spans="1:57">
      <c r="A33" s="528" t="s">
        <v>202</v>
      </c>
      <c r="B33" s="528" t="s">
        <v>203</v>
      </c>
      <c r="C33" s="528" t="s">
        <v>267</v>
      </c>
      <c r="D33" s="528" t="s">
        <v>268</v>
      </c>
      <c r="E33" s="529">
        <f t="shared" si="4"/>
        <v>80.04</v>
      </c>
      <c r="F33" s="530"/>
      <c r="G33" s="530"/>
      <c r="H33" s="530"/>
      <c r="I33" s="530"/>
      <c r="J33" s="530"/>
      <c r="K33" s="530">
        <v>4.24</v>
      </c>
      <c r="L33" s="530"/>
      <c r="M33" s="530"/>
      <c r="N33" s="530"/>
      <c r="O33" s="530"/>
      <c r="P33" s="530"/>
      <c r="Q33" s="530">
        <v>75.8</v>
      </c>
      <c r="R33" s="530"/>
      <c r="S33" s="530"/>
      <c r="T33" s="530"/>
      <c r="U33" s="530"/>
      <c r="V33" s="529">
        <f t="shared" si="26"/>
        <v>2.61</v>
      </c>
      <c r="W33" s="530"/>
      <c r="X33" s="530"/>
      <c r="Y33" s="530"/>
      <c r="Z33" s="530"/>
      <c r="AA33" s="530"/>
      <c r="AB33" s="530">
        <v>2.61</v>
      </c>
      <c r="AC33" s="530"/>
      <c r="AD33" s="530"/>
      <c r="AE33" s="530"/>
      <c r="AF33" s="530"/>
      <c r="AG33" s="530"/>
      <c r="AH33" s="530"/>
      <c r="AI33" s="530"/>
      <c r="AJ33" s="530"/>
      <c r="AK33" s="530"/>
      <c r="AL33" s="530"/>
      <c r="AM33" s="529">
        <f t="shared" si="6"/>
        <v>82.65</v>
      </c>
      <c r="AN33" s="537">
        <f t="shared" ref="AN33:BC33" si="34">F33+W33</f>
        <v>0</v>
      </c>
      <c r="AO33" s="537">
        <f t="shared" si="34"/>
        <v>0</v>
      </c>
      <c r="AP33" s="537">
        <f t="shared" si="34"/>
        <v>0</v>
      </c>
      <c r="AQ33" s="537">
        <f t="shared" si="34"/>
        <v>0</v>
      </c>
      <c r="AR33" s="537">
        <f t="shared" si="34"/>
        <v>0</v>
      </c>
      <c r="AS33" s="537">
        <f t="shared" si="34"/>
        <v>6.85</v>
      </c>
      <c r="AT33" s="537">
        <f t="shared" si="34"/>
        <v>0</v>
      </c>
      <c r="AU33" s="537">
        <f t="shared" si="34"/>
        <v>0</v>
      </c>
      <c r="AV33" s="537">
        <f t="shared" si="34"/>
        <v>0</v>
      </c>
      <c r="AW33" s="537">
        <f t="shared" si="34"/>
        <v>0</v>
      </c>
      <c r="AX33" s="537">
        <f t="shared" si="34"/>
        <v>0</v>
      </c>
      <c r="AY33" s="537">
        <f t="shared" si="34"/>
        <v>75.8</v>
      </c>
      <c r="AZ33" s="537">
        <f t="shared" si="34"/>
        <v>0</v>
      </c>
      <c r="BA33" s="537">
        <f t="shared" si="34"/>
        <v>0</v>
      </c>
      <c r="BB33" s="537">
        <f t="shared" si="34"/>
        <v>0</v>
      </c>
      <c r="BC33" s="537">
        <f t="shared" si="34"/>
        <v>0</v>
      </c>
      <c r="BD33" s="374"/>
      <c r="BE33" s="374"/>
    </row>
    <row r="34" ht="24" spans="1:57">
      <c r="A34" s="528" t="s">
        <v>202</v>
      </c>
      <c r="B34" s="528" t="s">
        <v>203</v>
      </c>
      <c r="C34" s="528" t="s">
        <v>375</v>
      </c>
      <c r="D34" s="528" t="s">
        <v>376</v>
      </c>
      <c r="E34" s="529">
        <f t="shared" si="4"/>
        <v>43.16</v>
      </c>
      <c r="F34" s="530"/>
      <c r="G34" s="530"/>
      <c r="H34" s="530"/>
      <c r="I34" s="530"/>
      <c r="J34" s="530"/>
      <c r="K34" s="530">
        <v>24.8</v>
      </c>
      <c r="L34" s="530"/>
      <c r="M34" s="530"/>
      <c r="N34" s="530"/>
      <c r="O34" s="530">
        <v>18.36</v>
      </c>
      <c r="P34" s="530"/>
      <c r="Q34" s="530"/>
      <c r="R34" s="530"/>
      <c r="S34" s="530"/>
      <c r="T34" s="530"/>
      <c r="U34" s="530"/>
      <c r="V34" s="529">
        <f t="shared" si="26"/>
        <v>7.45</v>
      </c>
      <c r="W34" s="530"/>
      <c r="X34" s="530"/>
      <c r="Y34" s="530"/>
      <c r="Z34" s="530"/>
      <c r="AA34" s="530"/>
      <c r="AB34" s="530">
        <v>6.53</v>
      </c>
      <c r="AC34" s="530"/>
      <c r="AD34" s="530"/>
      <c r="AE34" s="530"/>
      <c r="AF34" s="530">
        <v>0.92</v>
      </c>
      <c r="AG34" s="530"/>
      <c r="AH34" s="530"/>
      <c r="AI34" s="530"/>
      <c r="AJ34" s="530"/>
      <c r="AK34" s="530"/>
      <c r="AL34" s="530"/>
      <c r="AM34" s="529">
        <f t="shared" si="6"/>
        <v>50.61</v>
      </c>
      <c r="AN34" s="537">
        <f t="shared" ref="AN34:BC34" si="35">F34+W34</f>
        <v>0</v>
      </c>
      <c r="AO34" s="537">
        <f t="shared" si="35"/>
        <v>0</v>
      </c>
      <c r="AP34" s="537">
        <f t="shared" si="35"/>
        <v>0</v>
      </c>
      <c r="AQ34" s="537">
        <f t="shared" si="35"/>
        <v>0</v>
      </c>
      <c r="AR34" s="537">
        <f t="shared" si="35"/>
        <v>0</v>
      </c>
      <c r="AS34" s="537">
        <f t="shared" si="35"/>
        <v>31.33</v>
      </c>
      <c r="AT34" s="537">
        <f t="shared" si="35"/>
        <v>0</v>
      </c>
      <c r="AU34" s="537">
        <f t="shared" si="35"/>
        <v>0</v>
      </c>
      <c r="AV34" s="537">
        <f t="shared" si="35"/>
        <v>0</v>
      </c>
      <c r="AW34" s="537">
        <f t="shared" si="35"/>
        <v>19.28</v>
      </c>
      <c r="AX34" s="537">
        <f t="shared" si="35"/>
        <v>0</v>
      </c>
      <c r="AY34" s="537">
        <f t="shared" si="35"/>
        <v>0</v>
      </c>
      <c r="AZ34" s="537">
        <f t="shared" si="35"/>
        <v>0</v>
      </c>
      <c r="BA34" s="537">
        <f t="shared" si="35"/>
        <v>0</v>
      </c>
      <c r="BB34" s="537">
        <f t="shared" si="35"/>
        <v>0</v>
      </c>
      <c r="BC34" s="537">
        <f t="shared" si="35"/>
        <v>0</v>
      </c>
      <c r="BD34" s="374"/>
      <c r="BE34" s="374"/>
    </row>
    <row r="35" ht="24" spans="1:57">
      <c r="A35" s="528" t="s">
        <v>202</v>
      </c>
      <c r="B35" s="528" t="s">
        <v>206</v>
      </c>
      <c r="C35" s="528" t="s">
        <v>380</v>
      </c>
      <c r="D35" s="528" t="s">
        <v>378</v>
      </c>
      <c r="E35" s="529">
        <f t="shared" si="4"/>
        <v>1.96</v>
      </c>
      <c r="F35" s="530"/>
      <c r="G35" s="530"/>
      <c r="H35" s="530"/>
      <c r="I35" s="530"/>
      <c r="J35" s="530"/>
      <c r="K35" s="530">
        <v>0.96</v>
      </c>
      <c r="L35" s="530"/>
      <c r="M35" s="530"/>
      <c r="N35" s="530"/>
      <c r="O35" s="530"/>
      <c r="P35" s="530">
        <v>1</v>
      </c>
      <c r="Q35" s="530"/>
      <c r="R35" s="530"/>
      <c r="S35" s="530"/>
      <c r="T35" s="530"/>
      <c r="U35" s="530"/>
      <c r="V35" s="529">
        <f t="shared" si="26"/>
        <v>14.55</v>
      </c>
      <c r="W35" s="530"/>
      <c r="X35" s="530"/>
      <c r="Y35" s="530"/>
      <c r="Z35" s="530"/>
      <c r="AA35" s="530"/>
      <c r="AB35" s="530">
        <v>0.24</v>
      </c>
      <c r="AC35" s="530"/>
      <c r="AD35" s="530"/>
      <c r="AE35" s="530"/>
      <c r="AF35" s="530"/>
      <c r="AG35" s="530">
        <v>2.08</v>
      </c>
      <c r="AH35" s="530">
        <v>12.23</v>
      </c>
      <c r="AI35" s="530"/>
      <c r="AJ35" s="530"/>
      <c r="AK35" s="530"/>
      <c r="AL35" s="530"/>
      <c r="AM35" s="529">
        <f t="shared" si="6"/>
        <v>16.51</v>
      </c>
      <c r="AN35" s="537">
        <f t="shared" ref="AN35:BC35" si="36">F35+W35</f>
        <v>0</v>
      </c>
      <c r="AO35" s="537">
        <f t="shared" si="36"/>
        <v>0</v>
      </c>
      <c r="AP35" s="537">
        <f t="shared" si="36"/>
        <v>0</v>
      </c>
      <c r="AQ35" s="537">
        <f t="shared" si="36"/>
        <v>0</v>
      </c>
      <c r="AR35" s="537">
        <f t="shared" si="36"/>
        <v>0</v>
      </c>
      <c r="AS35" s="537">
        <f t="shared" si="36"/>
        <v>1.2</v>
      </c>
      <c r="AT35" s="537">
        <f t="shared" si="36"/>
        <v>0</v>
      </c>
      <c r="AU35" s="537">
        <f t="shared" si="36"/>
        <v>0</v>
      </c>
      <c r="AV35" s="537">
        <f t="shared" si="36"/>
        <v>0</v>
      </c>
      <c r="AW35" s="537">
        <f t="shared" si="36"/>
        <v>0</v>
      </c>
      <c r="AX35" s="537">
        <f t="shared" si="36"/>
        <v>3.08</v>
      </c>
      <c r="AY35" s="537">
        <f t="shared" si="36"/>
        <v>12.23</v>
      </c>
      <c r="AZ35" s="537">
        <f t="shared" si="36"/>
        <v>0</v>
      </c>
      <c r="BA35" s="537">
        <f t="shared" si="36"/>
        <v>0</v>
      </c>
      <c r="BB35" s="537">
        <f t="shared" si="36"/>
        <v>0</v>
      </c>
      <c r="BC35" s="537">
        <f t="shared" si="36"/>
        <v>0</v>
      </c>
      <c r="BD35" s="374"/>
      <c r="BE35" s="374"/>
    </row>
    <row r="36" ht="24" spans="1:57">
      <c r="A36" s="528" t="s">
        <v>202</v>
      </c>
      <c r="B36" s="528" t="s">
        <v>203</v>
      </c>
      <c r="C36" s="528" t="s">
        <v>213</v>
      </c>
      <c r="D36" s="528" t="s">
        <v>214</v>
      </c>
      <c r="E36" s="529">
        <f t="shared" si="4"/>
        <v>27.8</v>
      </c>
      <c r="F36" s="530"/>
      <c r="G36" s="530"/>
      <c r="H36" s="530"/>
      <c r="I36" s="530"/>
      <c r="J36" s="530"/>
      <c r="K36" s="530">
        <v>20.64</v>
      </c>
      <c r="L36" s="530"/>
      <c r="M36" s="530"/>
      <c r="N36" s="530"/>
      <c r="O36" s="530">
        <v>6.97</v>
      </c>
      <c r="P36" s="530"/>
      <c r="Q36" s="530"/>
      <c r="R36" s="530"/>
      <c r="S36" s="530"/>
      <c r="T36" s="530"/>
      <c r="U36" s="530">
        <v>0.19</v>
      </c>
      <c r="V36" s="529">
        <f t="shared" si="26"/>
        <v>5.36</v>
      </c>
      <c r="W36" s="530"/>
      <c r="X36" s="530"/>
      <c r="Y36" s="530"/>
      <c r="Z36" s="530"/>
      <c r="AA36" s="530"/>
      <c r="AB36" s="530">
        <v>5.36</v>
      </c>
      <c r="AC36" s="530"/>
      <c r="AD36" s="530"/>
      <c r="AE36" s="530"/>
      <c r="AF36" s="530"/>
      <c r="AG36" s="530"/>
      <c r="AH36" s="530"/>
      <c r="AI36" s="530"/>
      <c r="AJ36" s="530"/>
      <c r="AK36" s="530"/>
      <c r="AL36" s="530"/>
      <c r="AM36" s="529">
        <f t="shared" si="6"/>
        <v>33.16</v>
      </c>
      <c r="AN36" s="537">
        <f t="shared" ref="AN36:BC36" si="37">F36+W36</f>
        <v>0</v>
      </c>
      <c r="AO36" s="537">
        <f t="shared" si="37"/>
        <v>0</v>
      </c>
      <c r="AP36" s="537">
        <f t="shared" si="37"/>
        <v>0</v>
      </c>
      <c r="AQ36" s="537">
        <f t="shared" si="37"/>
        <v>0</v>
      </c>
      <c r="AR36" s="537">
        <f t="shared" si="37"/>
        <v>0</v>
      </c>
      <c r="AS36" s="537">
        <f t="shared" si="37"/>
        <v>26</v>
      </c>
      <c r="AT36" s="537">
        <f t="shared" si="37"/>
        <v>0</v>
      </c>
      <c r="AU36" s="537">
        <f t="shared" si="37"/>
        <v>0</v>
      </c>
      <c r="AV36" s="537">
        <f t="shared" si="37"/>
        <v>0</v>
      </c>
      <c r="AW36" s="537">
        <f t="shared" si="37"/>
        <v>6.97</v>
      </c>
      <c r="AX36" s="537">
        <f t="shared" si="37"/>
        <v>0</v>
      </c>
      <c r="AY36" s="537">
        <f t="shared" si="37"/>
        <v>0</v>
      </c>
      <c r="AZ36" s="537">
        <f t="shared" si="37"/>
        <v>0</v>
      </c>
      <c r="BA36" s="537">
        <f t="shared" si="37"/>
        <v>0</v>
      </c>
      <c r="BB36" s="537">
        <f t="shared" si="37"/>
        <v>0</v>
      </c>
      <c r="BC36" s="537">
        <f t="shared" si="37"/>
        <v>0.19</v>
      </c>
      <c r="BD36" s="374"/>
      <c r="BE36" s="374" t="s">
        <v>755</v>
      </c>
    </row>
    <row r="37" ht="24" spans="1:57">
      <c r="A37" s="528" t="s">
        <v>261</v>
      </c>
      <c r="B37" s="528" t="s">
        <v>203</v>
      </c>
      <c r="C37" s="528" t="s">
        <v>298</v>
      </c>
      <c r="D37" s="528" t="s">
        <v>308</v>
      </c>
      <c r="E37" s="529">
        <f t="shared" si="4"/>
        <v>2.89</v>
      </c>
      <c r="F37" s="530"/>
      <c r="G37" s="530"/>
      <c r="H37" s="530"/>
      <c r="I37" s="530"/>
      <c r="J37" s="530"/>
      <c r="K37" s="530">
        <v>0.4</v>
      </c>
      <c r="L37" s="530"/>
      <c r="M37" s="530"/>
      <c r="N37" s="530"/>
      <c r="O37" s="530">
        <v>2.49</v>
      </c>
      <c r="P37" s="530"/>
      <c r="Q37" s="530"/>
      <c r="R37" s="530"/>
      <c r="S37" s="530"/>
      <c r="T37" s="530"/>
      <c r="U37" s="530"/>
      <c r="V37" s="529">
        <f t="shared" si="26"/>
        <v>0.31</v>
      </c>
      <c r="W37" s="530"/>
      <c r="X37" s="530"/>
      <c r="Y37" s="530"/>
      <c r="Z37" s="530"/>
      <c r="AA37" s="530"/>
      <c r="AB37" s="530">
        <v>0.31</v>
      </c>
      <c r="AC37" s="530"/>
      <c r="AD37" s="530"/>
      <c r="AE37" s="530"/>
      <c r="AF37" s="530"/>
      <c r="AG37" s="530"/>
      <c r="AH37" s="530"/>
      <c r="AI37" s="530"/>
      <c r="AJ37" s="530"/>
      <c r="AK37" s="530"/>
      <c r="AL37" s="530"/>
      <c r="AM37" s="529">
        <f t="shared" si="6"/>
        <v>3.2</v>
      </c>
      <c r="AN37" s="537">
        <f t="shared" ref="AN37:BC37" si="38">F37+W37</f>
        <v>0</v>
      </c>
      <c r="AO37" s="537">
        <f t="shared" si="38"/>
        <v>0</v>
      </c>
      <c r="AP37" s="537">
        <f t="shared" si="38"/>
        <v>0</v>
      </c>
      <c r="AQ37" s="537">
        <f t="shared" si="38"/>
        <v>0</v>
      </c>
      <c r="AR37" s="537">
        <f t="shared" si="38"/>
        <v>0</v>
      </c>
      <c r="AS37" s="537">
        <f t="shared" si="38"/>
        <v>0.71</v>
      </c>
      <c r="AT37" s="537">
        <f t="shared" si="38"/>
        <v>0</v>
      </c>
      <c r="AU37" s="537">
        <f t="shared" si="38"/>
        <v>0</v>
      </c>
      <c r="AV37" s="537">
        <f t="shared" si="38"/>
        <v>0</v>
      </c>
      <c r="AW37" s="537">
        <f t="shared" si="38"/>
        <v>2.49</v>
      </c>
      <c r="AX37" s="537">
        <f t="shared" si="38"/>
        <v>0</v>
      </c>
      <c r="AY37" s="537">
        <f t="shared" si="38"/>
        <v>0</v>
      </c>
      <c r="AZ37" s="537">
        <f t="shared" si="38"/>
        <v>0</v>
      </c>
      <c r="BA37" s="537">
        <f t="shared" si="38"/>
        <v>0</v>
      </c>
      <c r="BB37" s="537">
        <f t="shared" si="38"/>
        <v>0</v>
      </c>
      <c r="BC37" s="537">
        <f t="shared" si="38"/>
        <v>0</v>
      </c>
      <c r="BD37" s="374"/>
      <c r="BE37" s="374"/>
    </row>
    <row r="38" ht="24" spans="1:57">
      <c r="A38" s="528" t="s">
        <v>215</v>
      </c>
      <c r="B38" s="528" t="s">
        <v>203</v>
      </c>
      <c r="C38" s="528" t="s">
        <v>300</v>
      </c>
      <c r="D38" s="528" t="s">
        <v>294</v>
      </c>
      <c r="E38" s="529">
        <f t="shared" si="4"/>
        <v>2</v>
      </c>
      <c r="F38" s="530"/>
      <c r="G38" s="530"/>
      <c r="H38" s="530"/>
      <c r="I38" s="530"/>
      <c r="J38" s="530"/>
      <c r="K38" s="530">
        <v>2</v>
      </c>
      <c r="L38" s="530"/>
      <c r="M38" s="530"/>
      <c r="N38" s="530"/>
      <c r="O38" s="530"/>
      <c r="P38" s="530"/>
      <c r="Q38" s="530"/>
      <c r="R38" s="530"/>
      <c r="S38" s="530"/>
      <c r="T38" s="530"/>
      <c r="U38" s="530"/>
      <c r="V38" s="529">
        <f t="shared" si="26"/>
        <v>0.92</v>
      </c>
      <c r="W38" s="530"/>
      <c r="X38" s="530"/>
      <c r="Y38" s="530"/>
      <c r="Z38" s="530"/>
      <c r="AA38" s="530"/>
      <c r="AB38" s="530">
        <v>0.92</v>
      </c>
      <c r="AC38" s="530"/>
      <c r="AD38" s="530"/>
      <c r="AE38" s="530"/>
      <c r="AF38" s="530"/>
      <c r="AG38" s="530"/>
      <c r="AH38" s="530"/>
      <c r="AI38" s="530"/>
      <c r="AJ38" s="530"/>
      <c r="AK38" s="530"/>
      <c r="AL38" s="530"/>
      <c r="AM38" s="529">
        <f t="shared" si="6"/>
        <v>2.92</v>
      </c>
      <c r="AN38" s="537">
        <f t="shared" ref="AN38:BC38" si="39">F38+W38</f>
        <v>0</v>
      </c>
      <c r="AO38" s="537">
        <f t="shared" si="39"/>
        <v>0</v>
      </c>
      <c r="AP38" s="537">
        <f t="shared" si="39"/>
        <v>0</v>
      </c>
      <c r="AQ38" s="537">
        <f t="shared" si="39"/>
        <v>0</v>
      </c>
      <c r="AR38" s="537">
        <f t="shared" si="39"/>
        <v>0</v>
      </c>
      <c r="AS38" s="537">
        <f t="shared" si="39"/>
        <v>2.92</v>
      </c>
      <c r="AT38" s="537">
        <f t="shared" si="39"/>
        <v>0</v>
      </c>
      <c r="AU38" s="537">
        <f t="shared" si="39"/>
        <v>0</v>
      </c>
      <c r="AV38" s="537">
        <f t="shared" si="39"/>
        <v>0</v>
      </c>
      <c r="AW38" s="537">
        <f t="shared" si="39"/>
        <v>0</v>
      </c>
      <c r="AX38" s="537">
        <f t="shared" si="39"/>
        <v>0</v>
      </c>
      <c r="AY38" s="537">
        <f t="shared" si="39"/>
        <v>0</v>
      </c>
      <c r="AZ38" s="537">
        <f t="shared" si="39"/>
        <v>0</v>
      </c>
      <c r="BA38" s="537">
        <f t="shared" si="39"/>
        <v>0</v>
      </c>
      <c r="BB38" s="537">
        <f t="shared" si="39"/>
        <v>0</v>
      </c>
      <c r="BC38" s="537">
        <f t="shared" si="39"/>
        <v>0</v>
      </c>
      <c r="BD38" s="374"/>
      <c r="BE38" s="374"/>
    </row>
    <row r="39" customFormat="1" ht="24" spans="1:58">
      <c r="A39" s="528" t="s">
        <v>215</v>
      </c>
      <c r="B39" s="528" t="s">
        <v>203</v>
      </c>
      <c r="C39" s="528" t="s">
        <v>216</v>
      </c>
      <c r="D39" s="528" t="s">
        <v>214</v>
      </c>
      <c r="E39" s="529"/>
      <c r="F39" s="530"/>
      <c r="G39" s="530"/>
      <c r="H39" s="530"/>
      <c r="I39" s="530"/>
      <c r="J39" s="530"/>
      <c r="K39" s="530"/>
      <c r="L39" s="530"/>
      <c r="M39" s="530"/>
      <c r="N39" s="530"/>
      <c r="O39" s="530"/>
      <c r="P39" s="530"/>
      <c r="Q39" s="530"/>
      <c r="R39" s="530"/>
      <c r="S39" s="530"/>
      <c r="T39" s="530"/>
      <c r="U39" s="530"/>
      <c r="V39" s="529"/>
      <c r="W39" s="530"/>
      <c r="X39" s="530"/>
      <c r="Y39" s="530"/>
      <c r="Z39" s="530"/>
      <c r="AA39" s="530"/>
      <c r="AB39" s="530">
        <v>0.5</v>
      </c>
      <c r="AC39" s="530"/>
      <c r="AD39" s="530"/>
      <c r="AE39" s="530"/>
      <c r="AF39" s="530"/>
      <c r="AG39" s="530"/>
      <c r="AH39" s="530"/>
      <c r="AI39" s="530"/>
      <c r="AJ39" s="530"/>
      <c r="AK39" s="530"/>
      <c r="AL39" s="530"/>
      <c r="AM39" s="529"/>
      <c r="AN39" s="537"/>
      <c r="AO39" s="537"/>
      <c r="AP39" s="537"/>
      <c r="AQ39" s="537"/>
      <c r="AR39" s="537"/>
      <c r="AS39" s="537">
        <f>K39+AB39</f>
        <v>0.5</v>
      </c>
      <c r="AT39" s="537"/>
      <c r="AU39" s="537"/>
      <c r="AV39" s="537"/>
      <c r="AW39" s="537"/>
      <c r="AX39" s="537"/>
      <c r="AY39" s="537"/>
      <c r="AZ39" s="537"/>
      <c r="BA39" s="537"/>
      <c r="BB39" s="537"/>
      <c r="BC39" s="537"/>
      <c r="BD39" s="374"/>
      <c r="BE39" s="374"/>
      <c r="BF39" s="130"/>
    </row>
    <row r="40" s="130" customFormat="1" ht="24" spans="1:57">
      <c r="A40" s="528" t="s">
        <v>202</v>
      </c>
      <c r="B40" s="528" t="s">
        <v>203</v>
      </c>
      <c r="C40" s="528" t="s">
        <v>320</v>
      </c>
      <c r="D40" s="528" t="s">
        <v>321</v>
      </c>
      <c r="E40" s="529">
        <f t="shared" ref="E40:E61" si="40">SUM(F40:U40)</f>
        <v>3.92</v>
      </c>
      <c r="F40" s="530"/>
      <c r="G40" s="530"/>
      <c r="H40" s="530"/>
      <c r="I40" s="530"/>
      <c r="J40" s="530"/>
      <c r="K40" s="530">
        <v>3.92</v>
      </c>
      <c r="L40" s="530"/>
      <c r="M40" s="530"/>
      <c r="N40" s="530"/>
      <c r="O40" s="530"/>
      <c r="P40" s="530"/>
      <c r="Q40" s="530"/>
      <c r="R40" s="530"/>
      <c r="S40" s="530"/>
      <c r="T40" s="530"/>
      <c r="U40" s="530"/>
      <c r="V40" s="529">
        <f>SUM(W40:AL40)</f>
        <v>0.98</v>
      </c>
      <c r="W40" s="530"/>
      <c r="X40" s="530"/>
      <c r="Y40" s="530"/>
      <c r="Z40" s="530"/>
      <c r="AA40" s="530"/>
      <c r="AB40" s="530">
        <v>0.98</v>
      </c>
      <c r="AC40" s="530"/>
      <c r="AD40" s="530"/>
      <c r="AE40" s="530"/>
      <c r="AF40" s="530"/>
      <c r="AG40" s="530"/>
      <c r="AH40" s="530"/>
      <c r="AI40" s="530"/>
      <c r="AJ40" s="530"/>
      <c r="AK40" s="530"/>
      <c r="AL40" s="530"/>
      <c r="AM40" s="529">
        <f>SUM(AN40:BC40)</f>
        <v>4.9</v>
      </c>
      <c r="AN40" s="537">
        <f t="shared" ref="AN40:BC40" si="41">F40+W40</f>
        <v>0</v>
      </c>
      <c r="AO40" s="537">
        <f t="shared" si="41"/>
        <v>0</v>
      </c>
      <c r="AP40" s="537">
        <f t="shared" si="41"/>
        <v>0</v>
      </c>
      <c r="AQ40" s="537">
        <f t="shared" si="41"/>
        <v>0</v>
      </c>
      <c r="AR40" s="537">
        <f t="shared" si="41"/>
        <v>0</v>
      </c>
      <c r="AS40" s="537">
        <f t="shared" si="41"/>
        <v>4.9</v>
      </c>
      <c r="AT40" s="537">
        <f t="shared" si="41"/>
        <v>0</v>
      </c>
      <c r="AU40" s="537">
        <f t="shared" si="41"/>
        <v>0</v>
      </c>
      <c r="AV40" s="537">
        <f t="shared" si="41"/>
        <v>0</v>
      </c>
      <c r="AW40" s="537">
        <f t="shared" si="41"/>
        <v>0</v>
      </c>
      <c r="AX40" s="537">
        <f t="shared" si="41"/>
        <v>0</v>
      </c>
      <c r="AY40" s="537">
        <f t="shared" si="41"/>
        <v>0</v>
      </c>
      <c r="AZ40" s="537">
        <f t="shared" si="41"/>
        <v>0</v>
      </c>
      <c r="BA40" s="537">
        <f t="shared" si="41"/>
        <v>0</v>
      </c>
      <c r="BB40" s="537">
        <f t="shared" si="41"/>
        <v>0</v>
      </c>
      <c r="BC40" s="537">
        <f t="shared" si="41"/>
        <v>0</v>
      </c>
      <c r="BD40" s="374"/>
      <c r="BE40" s="374"/>
    </row>
    <row r="41" ht="24" spans="1:57">
      <c r="A41" s="528" t="s">
        <v>202</v>
      </c>
      <c r="B41" s="528" t="s">
        <v>203</v>
      </c>
      <c r="C41" s="528" t="s">
        <v>323</v>
      </c>
      <c r="D41" s="528" t="s">
        <v>756</v>
      </c>
      <c r="E41" s="529">
        <f t="shared" si="40"/>
        <v>7.83</v>
      </c>
      <c r="F41" s="530"/>
      <c r="G41" s="530"/>
      <c r="H41" s="530"/>
      <c r="I41" s="530"/>
      <c r="J41" s="530"/>
      <c r="K41" s="530">
        <v>1.6</v>
      </c>
      <c r="L41" s="530"/>
      <c r="M41" s="530"/>
      <c r="N41" s="530"/>
      <c r="O41" s="530"/>
      <c r="P41" s="530"/>
      <c r="Q41" s="530"/>
      <c r="R41" s="530"/>
      <c r="S41" s="530">
        <v>6.23</v>
      </c>
      <c r="T41" s="530"/>
      <c r="U41" s="530"/>
      <c r="V41" s="529">
        <f>SUM(W41:AL41)</f>
        <v>0.4</v>
      </c>
      <c r="W41" s="530"/>
      <c r="X41" s="530"/>
      <c r="Y41" s="530"/>
      <c r="Z41" s="530"/>
      <c r="AA41" s="530"/>
      <c r="AB41" s="530">
        <v>0.4</v>
      </c>
      <c r="AC41" s="530"/>
      <c r="AD41" s="530"/>
      <c r="AE41" s="530"/>
      <c r="AF41" s="530"/>
      <c r="AG41" s="530"/>
      <c r="AH41" s="530"/>
      <c r="AI41" s="530"/>
      <c r="AJ41" s="530"/>
      <c r="AK41" s="530"/>
      <c r="AL41" s="530"/>
      <c r="AM41" s="529">
        <f>SUM(AN41:BC41)</f>
        <v>8.23</v>
      </c>
      <c r="AN41" s="537">
        <f t="shared" ref="AN41:BC41" si="42">F41+W41</f>
        <v>0</v>
      </c>
      <c r="AO41" s="537">
        <f t="shared" si="42"/>
        <v>0</v>
      </c>
      <c r="AP41" s="537">
        <f t="shared" si="42"/>
        <v>0</v>
      </c>
      <c r="AQ41" s="537">
        <f t="shared" si="42"/>
        <v>0</v>
      </c>
      <c r="AR41" s="537">
        <f t="shared" si="42"/>
        <v>0</v>
      </c>
      <c r="AS41" s="537">
        <f t="shared" si="42"/>
        <v>2</v>
      </c>
      <c r="AT41" s="537">
        <f t="shared" si="42"/>
        <v>0</v>
      </c>
      <c r="AU41" s="537">
        <f t="shared" si="42"/>
        <v>0</v>
      </c>
      <c r="AV41" s="537">
        <f t="shared" si="42"/>
        <v>0</v>
      </c>
      <c r="AW41" s="537">
        <f t="shared" si="42"/>
        <v>0</v>
      </c>
      <c r="AX41" s="537">
        <f t="shared" si="42"/>
        <v>0</v>
      </c>
      <c r="AY41" s="537">
        <f t="shared" si="42"/>
        <v>0</v>
      </c>
      <c r="AZ41" s="537">
        <f t="shared" si="42"/>
        <v>0</v>
      </c>
      <c r="BA41" s="537">
        <f t="shared" si="42"/>
        <v>6.23</v>
      </c>
      <c r="BB41" s="537">
        <f t="shared" si="42"/>
        <v>0</v>
      </c>
      <c r="BC41" s="537">
        <f t="shared" si="42"/>
        <v>0</v>
      </c>
      <c r="BD41" s="374"/>
      <c r="BE41" s="374"/>
    </row>
    <row r="42" ht="24" spans="1:57">
      <c r="A42" s="528" t="s">
        <v>215</v>
      </c>
      <c r="B42" s="528" t="s">
        <v>203</v>
      </c>
      <c r="C42" s="528" t="s">
        <v>315</v>
      </c>
      <c r="D42" s="528" t="s">
        <v>316</v>
      </c>
      <c r="E42" s="529">
        <f t="shared" si="40"/>
        <v>2</v>
      </c>
      <c r="F42" s="530"/>
      <c r="G42" s="530"/>
      <c r="H42" s="530"/>
      <c r="I42" s="530"/>
      <c r="J42" s="530"/>
      <c r="K42" s="530">
        <v>2</v>
      </c>
      <c r="L42" s="530"/>
      <c r="M42" s="530"/>
      <c r="N42" s="530"/>
      <c r="O42" s="530"/>
      <c r="P42" s="530"/>
      <c r="Q42" s="530"/>
      <c r="R42" s="530"/>
      <c r="S42" s="530"/>
      <c r="T42" s="530"/>
      <c r="U42" s="530"/>
      <c r="V42" s="529">
        <f>SUM(W42:AL42)</f>
        <v>0.5</v>
      </c>
      <c r="W42" s="530"/>
      <c r="X42" s="530"/>
      <c r="Y42" s="530"/>
      <c r="Z42" s="530"/>
      <c r="AA42" s="530"/>
      <c r="AB42" s="530">
        <v>0.5</v>
      </c>
      <c r="AC42" s="530"/>
      <c r="AD42" s="530"/>
      <c r="AE42" s="530"/>
      <c r="AF42" s="530"/>
      <c r="AG42" s="530"/>
      <c r="AH42" s="530"/>
      <c r="AI42" s="530"/>
      <c r="AJ42" s="530"/>
      <c r="AK42" s="530"/>
      <c r="AL42" s="530"/>
      <c r="AM42" s="529">
        <f>SUM(AN42:BC42)</f>
        <v>2.5</v>
      </c>
      <c r="AN42" s="537">
        <f t="shared" ref="AN42:BC42" si="43">F42+W42</f>
        <v>0</v>
      </c>
      <c r="AO42" s="537">
        <f t="shared" si="43"/>
        <v>0</v>
      </c>
      <c r="AP42" s="537">
        <f t="shared" si="43"/>
        <v>0</v>
      </c>
      <c r="AQ42" s="537">
        <f t="shared" si="43"/>
        <v>0</v>
      </c>
      <c r="AR42" s="537">
        <f t="shared" si="43"/>
        <v>0</v>
      </c>
      <c r="AS42" s="537">
        <f t="shared" si="43"/>
        <v>2.5</v>
      </c>
      <c r="AT42" s="537">
        <f t="shared" si="43"/>
        <v>0</v>
      </c>
      <c r="AU42" s="537">
        <f t="shared" si="43"/>
        <v>0</v>
      </c>
      <c r="AV42" s="537">
        <f t="shared" si="43"/>
        <v>0</v>
      </c>
      <c r="AW42" s="537">
        <f t="shared" si="43"/>
        <v>0</v>
      </c>
      <c r="AX42" s="537">
        <f t="shared" si="43"/>
        <v>0</v>
      </c>
      <c r="AY42" s="537">
        <f t="shared" si="43"/>
        <v>0</v>
      </c>
      <c r="AZ42" s="537">
        <f t="shared" si="43"/>
        <v>0</v>
      </c>
      <c r="BA42" s="537">
        <f t="shared" si="43"/>
        <v>0</v>
      </c>
      <c r="BB42" s="537">
        <f t="shared" si="43"/>
        <v>0</v>
      </c>
      <c r="BC42" s="537">
        <f t="shared" si="43"/>
        <v>0</v>
      </c>
      <c r="BD42" s="374"/>
      <c r="BE42" s="374"/>
    </row>
    <row r="43" ht="24" spans="1:57">
      <c r="A43" s="528" t="s">
        <v>202</v>
      </c>
      <c r="B43" s="528" t="s">
        <v>203</v>
      </c>
      <c r="C43" s="528" t="s">
        <v>325</v>
      </c>
      <c r="D43" s="528" t="s">
        <v>321</v>
      </c>
      <c r="E43" s="529">
        <f t="shared" si="40"/>
        <v>1.2</v>
      </c>
      <c r="F43" s="530"/>
      <c r="G43" s="530"/>
      <c r="H43" s="530"/>
      <c r="I43" s="530"/>
      <c r="J43" s="530"/>
      <c r="K43" s="530">
        <v>1.2</v>
      </c>
      <c r="L43" s="530"/>
      <c r="M43" s="530"/>
      <c r="N43" s="530"/>
      <c r="O43" s="530"/>
      <c r="P43" s="530"/>
      <c r="Q43" s="530"/>
      <c r="R43" s="530"/>
      <c r="S43" s="530"/>
      <c r="T43" s="530"/>
      <c r="U43" s="530"/>
      <c r="V43" s="529">
        <f>SUM(W43:AL43)</f>
        <v>0.8</v>
      </c>
      <c r="W43" s="530"/>
      <c r="X43" s="530"/>
      <c r="Y43" s="530"/>
      <c r="Z43" s="530"/>
      <c r="AA43" s="530"/>
      <c r="AB43" s="530">
        <v>0.8</v>
      </c>
      <c r="AC43" s="530"/>
      <c r="AD43" s="530"/>
      <c r="AE43" s="530"/>
      <c r="AF43" s="530"/>
      <c r="AG43" s="530"/>
      <c r="AH43" s="530"/>
      <c r="AI43" s="530"/>
      <c r="AJ43" s="530"/>
      <c r="AK43" s="530"/>
      <c r="AL43" s="530"/>
      <c r="AM43" s="529">
        <f>SUM(AN43:BC43)</f>
        <v>2</v>
      </c>
      <c r="AN43" s="537">
        <f t="shared" ref="AN43:BC43" si="44">F43+W43</f>
        <v>0</v>
      </c>
      <c r="AO43" s="537">
        <f t="shared" si="44"/>
        <v>0</v>
      </c>
      <c r="AP43" s="537">
        <f t="shared" si="44"/>
        <v>0</v>
      </c>
      <c r="AQ43" s="537">
        <f t="shared" si="44"/>
        <v>0</v>
      </c>
      <c r="AR43" s="537">
        <f t="shared" si="44"/>
        <v>0</v>
      </c>
      <c r="AS43" s="537">
        <f t="shared" si="44"/>
        <v>2</v>
      </c>
      <c r="AT43" s="537">
        <f t="shared" si="44"/>
        <v>0</v>
      </c>
      <c r="AU43" s="537">
        <f t="shared" si="44"/>
        <v>0</v>
      </c>
      <c r="AV43" s="537">
        <f t="shared" si="44"/>
        <v>0</v>
      </c>
      <c r="AW43" s="537">
        <f t="shared" si="44"/>
        <v>0</v>
      </c>
      <c r="AX43" s="537">
        <f t="shared" si="44"/>
        <v>0</v>
      </c>
      <c r="AY43" s="537">
        <f t="shared" si="44"/>
        <v>0</v>
      </c>
      <c r="AZ43" s="537">
        <f t="shared" si="44"/>
        <v>0</v>
      </c>
      <c r="BA43" s="537">
        <f t="shared" si="44"/>
        <v>0</v>
      </c>
      <c r="BB43" s="537">
        <f t="shared" si="44"/>
        <v>0</v>
      </c>
      <c r="BC43" s="537">
        <f t="shared" si="44"/>
        <v>0</v>
      </c>
      <c r="BD43" s="374"/>
      <c r="BE43" s="374"/>
    </row>
    <row r="44" ht="24" spans="1:57">
      <c r="A44" s="528" t="s">
        <v>215</v>
      </c>
      <c r="B44" s="528" t="s">
        <v>203</v>
      </c>
      <c r="C44" s="528" t="s">
        <v>326</v>
      </c>
      <c r="D44" s="528" t="s">
        <v>321</v>
      </c>
      <c r="E44" s="529">
        <f t="shared" si="40"/>
        <v>1.29</v>
      </c>
      <c r="F44" s="530"/>
      <c r="G44" s="530"/>
      <c r="H44" s="530"/>
      <c r="I44" s="530"/>
      <c r="J44" s="530"/>
      <c r="K44" s="530">
        <v>0</v>
      </c>
      <c r="L44" s="530"/>
      <c r="M44" s="530"/>
      <c r="N44" s="530"/>
      <c r="O44" s="530">
        <v>1</v>
      </c>
      <c r="P44" s="530"/>
      <c r="Q44" s="530">
        <v>0.29</v>
      </c>
      <c r="R44" s="530"/>
      <c r="S44" s="530"/>
      <c r="T44" s="530"/>
      <c r="U44" s="530"/>
      <c r="V44" s="529">
        <f>SUM(W44:AL44)</f>
        <v>1.214</v>
      </c>
      <c r="W44" s="530"/>
      <c r="X44" s="530"/>
      <c r="Y44" s="530"/>
      <c r="Z44" s="530"/>
      <c r="AA44" s="530"/>
      <c r="AB44" s="530">
        <v>0.55</v>
      </c>
      <c r="AC44" s="530"/>
      <c r="AD44" s="530"/>
      <c r="AE44" s="530"/>
      <c r="AF44" s="530">
        <v>0.664</v>
      </c>
      <c r="AG44" s="530"/>
      <c r="AH44" s="530"/>
      <c r="AI44" s="530"/>
      <c r="AJ44" s="530"/>
      <c r="AK44" s="530"/>
      <c r="AL44" s="530"/>
      <c r="AM44" s="529">
        <f>SUM(AN44:BC44)</f>
        <v>2.504</v>
      </c>
      <c r="AN44" s="537">
        <f t="shared" ref="AN44:BC44" si="45">F44+W44</f>
        <v>0</v>
      </c>
      <c r="AO44" s="537">
        <f t="shared" si="45"/>
        <v>0</v>
      </c>
      <c r="AP44" s="537">
        <f t="shared" si="45"/>
        <v>0</v>
      </c>
      <c r="AQ44" s="537">
        <f t="shared" si="45"/>
        <v>0</v>
      </c>
      <c r="AR44" s="537">
        <f t="shared" si="45"/>
        <v>0</v>
      </c>
      <c r="AS44" s="537">
        <f t="shared" si="45"/>
        <v>0.55</v>
      </c>
      <c r="AT44" s="537">
        <f t="shared" si="45"/>
        <v>0</v>
      </c>
      <c r="AU44" s="537">
        <f t="shared" si="45"/>
        <v>0</v>
      </c>
      <c r="AV44" s="537">
        <f t="shared" si="45"/>
        <v>0</v>
      </c>
      <c r="AW44" s="537">
        <f t="shared" si="45"/>
        <v>1.664</v>
      </c>
      <c r="AX44" s="537">
        <f t="shared" si="45"/>
        <v>0</v>
      </c>
      <c r="AY44" s="537">
        <f t="shared" si="45"/>
        <v>0.29</v>
      </c>
      <c r="AZ44" s="537">
        <f t="shared" si="45"/>
        <v>0</v>
      </c>
      <c r="BA44" s="537">
        <f t="shared" si="45"/>
        <v>0</v>
      </c>
      <c r="BB44" s="537">
        <f t="shared" si="45"/>
        <v>0</v>
      </c>
      <c r="BC44" s="537">
        <f t="shared" si="45"/>
        <v>0</v>
      </c>
      <c r="BD44" s="374"/>
      <c r="BE44" s="374"/>
    </row>
    <row r="45" ht="24" spans="1:58">
      <c r="A45" s="528" t="s">
        <v>226</v>
      </c>
      <c r="B45" s="528" t="s">
        <v>203</v>
      </c>
      <c r="C45" s="528" t="s">
        <v>227</v>
      </c>
      <c r="D45" s="528" t="s">
        <v>214</v>
      </c>
      <c r="E45" s="529">
        <f t="shared" si="40"/>
        <v>23.93</v>
      </c>
      <c r="F45" s="530"/>
      <c r="G45" s="530"/>
      <c r="H45" s="530"/>
      <c r="I45" s="530"/>
      <c r="J45" s="530"/>
      <c r="K45" s="530">
        <v>13.04</v>
      </c>
      <c r="L45" s="530"/>
      <c r="M45" s="530"/>
      <c r="N45" s="530"/>
      <c r="O45" s="530">
        <v>10.79</v>
      </c>
      <c r="P45" s="530"/>
      <c r="Q45" s="530"/>
      <c r="R45" s="530"/>
      <c r="S45" s="530"/>
      <c r="T45" s="530"/>
      <c r="U45" s="530">
        <v>0.1</v>
      </c>
      <c r="V45" s="529">
        <f t="shared" ref="V42:V73" si="46">SUM(W45:AL45)</f>
        <v>4.39</v>
      </c>
      <c r="W45" s="530"/>
      <c r="X45" s="530"/>
      <c r="Y45" s="530"/>
      <c r="Z45" s="530"/>
      <c r="AA45" s="530"/>
      <c r="AB45" s="530">
        <v>4.72</v>
      </c>
      <c r="AC45" s="530"/>
      <c r="AD45" s="530"/>
      <c r="AE45" s="530"/>
      <c r="AF45" s="530">
        <v>-0.33</v>
      </c>
      <c r="AG45" s="530"/>
      <c r="AH45" s="530"/>
      <c r="AI45" s="530"/>
      <c r="AJ45" s="530"/>
      <c r="AK45" s="530"/>
      <c r="AL45" s="530"/>
      <c r="AM45" s="529">
        <f t="shared" ref="AM42:AM73" si="47">SUM(AN45:BC45)</f>
        <v>28.32</v>
      </c>
      <c r="AN45" s="537">
        <f t="shared" ref="AN42:AN73" si="48">F45+W45</f>
        <v>0</v>
      </c>
      <c r="AO45" s="537">
        <f t="shared" ref="AO42:AO73" si="49">G45+X45</f>
        <v>0</v>
      </c>
      <c r="AP45" s="537">
        <f t="shared" ref="AP42:AP73" si="50">H45+Y45</f>
        <v>0</v>
      </c>
      <c r="AQ45" s="537">
        <f t="shared" ref="AQ42:AQ73" si="51">I45+Z45</f>
        <v>0</v>
      </c>
      <c r="AR45" s="537">
        <f t="shared" ref="AR42:AR73" si="52">J45+AA45</f>
        <v>0</v>
      </c>
      <c r="AS45" s="537">
        <f t="shared" ref="AS42:AS73" si="53">K45+AB45</f>
        <v>17.76</v>
      </c>
      <c r="AT45" s="537">
        <f t="shared" ref="AT42:AT73" si="54">L45+AC45</f>
        <v>0</v>
      </c>
      <c r="AU45" s="537">
        <f t="shared" ref="AU42:AU73" si="55">M45+AD45</f>
        <v>0</v>
      </c>
      <c r="AV45" s="537">
        <f t="shared" ref="AV42:AV73" si="56">N45+AE45</f>
        <v>0</v>
      </c>
      <c r="AW45" s="537">
        <f t="shared" ref="AW42:AW73" si="57">O45+AF45</f>
        <v>10.46</v>
      </c>
      <c r="AX45" s="537">
        <f t="shared" ref="AX42:AX73" si="58">P45+AG45</f>
        <v>0</v>
      </c>
      <c r="AY45" s="537">
        <f t="shared" ref="AY42:AY73" si="59">Q45+AH45</f>
        <v>0</v>
      </c>
      <c r="AZ45" s="537">
        <f t="shared" ref="AZ42:AZ73" si="60">R45+AI45</f>
        <v>0</v>
      </c>
      <c r="BA45" s="537">
        <f t="shared" ref="BA42:BA73" si="61">S45+AJ45</f>
        <v>0</v>
      </c>
      <c r="BB45" s="537">
        <f t="shared" ref="BB42:BB73" si="62">T45+AK45</f>
        <v>0</v>
      </c>
      <c r="BC45" s="537">
        <f t="shared" ref="BC42:BC73" si="63">U45+AL45</f>
        <v>0.1</v>
      </c>
      <c r="BD45" s="374"/>
      <c r="BE45" s="374"/>
      <c r="BF45" s="131"/>
    </row>
    <row r="46" ht="24" spans="1:58">
      <c r="A46" s="528" t="s">
        <v>226</v>
      </c>
      <c r="B46" s="528" t="s">
        <v>203</v>
      </c>
      <c r="C46" s="528" t="s">
        <v>229</v>
      </c>
      <c r="D46" s="528" t="s">
        <v>214</v>
      </c>
      <c r="E46" s="529">
        <f t="shared" si="40"/>
        <v>25.6092</v>
      </c>
      <c r="F46" s="530"/>
      <c r="G46" s="530"/>
      <c r="H46" s="530"/>
      <c r="I46" s="530"/>
      <c r="J46" s="530"/>
      <c r="K46" s="530">
        <v>17.44</v>
      </c>
      <c r="L46" s="530"/>
      <c r="M46" s="530"/>
      <c r="N46" s="530"/>
      <c r="O46" s="530">
        <v>7.9692</v>
      </c>
      <c r="P46" s="530"/>
      <c r="Q46" s="530"/>
      <c r="R46" s="530"/>
      <c r="S46" s="530"/>
      <c r="T46" s="530"/>
      <c r="U46" s="530">
        <v>0.2</v>
      </c>
      <c r="V46" s="529">
        <f t="shared" si="46"/>
        <v>6.3</v>
      </c>
      <c r="W46" s="530"/>
      <c r="X46" s="530"/>
      <c r="Y46" s="530"/>
      <c r="Z46" s="530"/>
      <c r="AA46" s="530"/>
      <c r="AB46" s="530">
        <v>6.3</v>
      </c>
      <c r="AC46" s="530"/>
      <c r="AD46" s="530"/>
      <c r="AE46" s="530"/>
      <c r="AF46" s="530"/>
      <c r="AG46" s="530"/>
      <c r="AH46" s="530"/>
      <c r="AI46" s="530"/>
      <c r="AJ46" s="530"/>
      <c r="AK46" s="530"/>
      <c r="AL46" s="530"/>
      <c r="AM46" s="529">
        <f t="shared" si="47"/>
        <v>31.9092</v>
      </c>
      <c r="AN46" s="537">
        <f t="shared" si="48"/>
        <v>0</v>
      </c>
      <c r="AO46" s="537">
        <f t="shared" si="49"/>
        <v>0</v>
      </c>
      <c r="AP46" s="537">
        <f t="shared" si="50"/>
        <v>0</v>
      </c>
      <c r="AQ46" s="537">
        <f t="shared" si="51"/>
        <v>0</v>
      </c>
      <c r="AR46" s="537">
        <f t="shared" si="52"/>
        <v>0</v>
      </c>
      <c r="AS46" s="537">
        <f t="shared" si="53"/>
        <v>23.74</v>
      </c>
      <c r="AT46" s="537">
        <f t="shared" si="54"/>
        <v>0</v>
      </c>
      <c r="AU46" s="537">
        <f t="shared" si="55"/>
        <v>0</v>
      </c>
      <c r="AV46" s="537">
        <f t="shared" si="56"/>
        <v>0</v>
      </c>
      <c r="AW46" s="537">
        <f t="shared" si="57"/>
        <v>7.9692</v>
      </c>
      <c r="AX46" s="537">
        <f t="shared" si="58"/>
        <v>0</v>
      </c>
      <c r="AY46" s="537">
        <f t="shared" si="59"/>
        <v>0</v>
      </c>
      <c r="AZ46" s="537">
        <f t="shared" si="60"/>
        <v>0</v>
      </c>
      <c r="BA46" s="537">
        <f t="shared" si="61"/>
        <v>0</v>
      </c>
      <c r="BB46" s="537">
        <f t="shared" si="62"/>
        <v>0</v>
      </c>
      <c r="BC46" s="537">
        <f t="shared" si="63"/>
        <v>0.2</v>
      </c>
      <c r="BD46" s="374"/>
      <c r="BE46" s="374"/>
      <c r="BF46" s="131"/>
    </row>
    <row r="47" ht="24" spans="1:58">
      <c r="A47" s="528" t="s">
        <v>226</v>
      </c>
      <c r="B47" s="528" t="s">
        <v>203</v>
      </c>
      <c r="C47" s="528" t="s">
        <v>231</v>
      </c>
      <c r="D47" s="528" t="s">
        <v>214</v>
      </c>
      <c r="E47" s="529">
        <f t="shared" si="40"/>
        <v>18.38</v>
      </c>
      <c r="F47" s="530"/>
      <c r="G47" s="530"/>
      <c r="H47" s="530"/>
      <c r="I47" s="530"/>
      <c r="J47" s="530"/>
      <c r="K47" s="530">
        <v>10.96</v>
      </c>
      <c r="L47" s="530"/>
      <c r="M47" s="530"/>
      <c r="N47" s="530"/>
      <c r="O47" s="530">
        <v>7.42</v>
      </c>
      <c r="P47" s="530"/>
      <c r="Q47" s="530"/>
      <c r="R47" s="530"/>
      <c r="S47" s="530"/>
      <c r="T47" s="530"/>
      <c r="U47" s="530"/>
      <c r="V47" s="529">
        <f t="shared" si="46"/>
        <v>32.0266</v>
      </c>
      <c r="W47" s="530"/>
      <c r="X47" s="530"/>
      <c r="Y47" s="530"/>
      <c r="Z47" s="530"/>
      <c r="AA47" s="530"/>
      <c r="AB47" s="530">
        <v>2.88</v>
      </c>
      <c r="AC47" s="530"/>
      <c r="AD47" s="530"/>
      <c r="AE47" s="530"/>
      <c r="AF47" s="530"/>
      <c r="AG47" s="530"/>
      <c r="AH47" s="530"/>
      <c r="AI47" s="530"/>
      <c r="AJ47" s="530"/>
      <c r="AK47" s="530"/>
      <c r="AL47" s="530">
        <v>29.1466</v>
      </c>
      <c r="AM47" s="529">
        <f t="shared" si="47"/>
        <v>50.4066</v>
      </c>
      <c r="AN47" s="537">
        <f t="shared" si="48"/>
        <v>0</v>
      </c>
      <c r="AO47" s="537">
        <f t="shared" si="49"/>
        <v>0</v>
      </c>
      <c r="AP47" s="537">
        <f t="shared" si="50"/>
        <v>0</v>
      </c>
      <c r="AQ47" s="537">
        <f t="shared" si="51"/>
        <v>0</v>
      </c>
      <c r="AR47" s="537">
        <f t="shared" si="52"/>
        <v>0</v>
      </c>
      <c r="AS47" s="537">
        <f t="shared" si="53"/>
        <v>13.84</v>
      </c>
      <c r="AT47" s="537">
        <f t="shared" si="54"/>
        <v>0</v>
      </c>
      <c r="AU47" s="537">
        <f t="shared" si="55"/>
        <v>0</v>
      </c>
      <c r="AV47" s="537">
        <f t="shared" si="56"/>
        <v>0</v>
      </c>
      <c r="AW47" s="537">
        <f t="shared" si="57"/>
        <v>7.42</v>
      </c>
      <c r="AX47" s="537">
        <f t="shared" si="58"/>
        <v>0</v>
      </c>
      <c r="AY47" s="537">
        <f t="shared" si="59"/>
        <v>0</v>
      </c>
      <c r="AZ47" s="537">
        <f t="shared" si="60"/>
        <v>0</v>
      </c>
      <c r="BA47" s="537">
        <f t="shared" si="61"/>
        <v>0</v>
      </c>
      <c r="BB47" s="537">
        <f t="shared" si="62"/>
        <v>0</v>
      </c>
      <c r="BC47" s="537">
        <f t="shared" si="63"/>
        <v>29.1466</v>
      </c>
      <c r="BD47" s="374" t="s">
        <v>757</v>
      </c>
      <c r="BE47" s="374"/>
      <c r="BF47" s="131"/>
    </row>
    <row r="48" ht="24" spans="1:58">
      <c r="A48" s="528" t="s">
        <v>226</v>
      </c>
      <c r="B48" s="528" t="s">
        <v>203</v>
      </c>
      <c r="C48" s="528" t="s">
        <v>233</v>
      </c>
      <c r="D48" s="528" t="s">
        <v>214</v>
      </c>
      <c r="E48" s="529">
        <f t="shared" si="40"/>
        <v>19.64</v>
      </c>
      <c r="F48" s="530"/>
      <c r="G48" s="530"/>
      <c r="H48" s="530"/>
      <c r="I48" s="530"/>
      <c r="J48" s="530"/>
      <c r="K48" s="530">
        <v>8.08</v>
      </c>
      <c r="L48" s="530"/>
      <c r="M48" s="530"/>
      <c r="N48" s="530"/>
      <c r="O48" s="530">
        <v>10.96</v>
      </c>
      <c r="P48" s="530"/>
      <c r="Q48" s="530"/>
      <c r="R48" s="530"/>
      <c r="S48" s="530"/>
      <c r="T48" s="530"/>
      <c r="U48" s="530">
        <v>0.6</v>
      </c>
      <c r="V48" s="529">
        <f t="shared" si="46"/>
        <v>2.38</v>
      </c>
      <c r="W48" s="530"/>
      <c r="X48" s="530"/>
      <c r="Y48" s="530"/>
      <c r="Z48" s="530"/>
      <c r="AA48" s="530"/>
      <c r="AB48" s="530">
        <v>3.13</v>
      </c>
      <c r="AC48" s="530"/>
      <c r="AD48" s="530"/>
      <c r="AE48" s="530"/>
      <c r="AF48" s="530">
        <v>-0.91</v>
      </c>
      <c r="AG48" s="530"/>
      <c r="AH48" s="530">
        <v>0.16</v>
      </c>
      <c r="AI48" s="530"/>
      <c r="AJ48" s="530"/>
      <c r="AK48" s="530"/>
      <c r="AL48" s="530"/>
      <c r="AM48" s="529">
        <f t="shared" si="47"/>
        <v>22.02</v>
      </c>
      <c r="AN48" s="537">
        <f t="shared" si="48"/>
        <v>0</v>
      </c>
      <c r="AO48" s="537">
        <f t="shared" si="49"/>
        <v>0</v>
      </c>
      <c r="AP48" s="537">
        <f t="shared" si="50"/>
        <v>0</v>
      </c>
      <c r="AQ48" s="537">
        <f t="shared" si="51"/>
        <v>0</v>
      </c>
      <c r="AR48" s="537">
        <f t="shared" si="52"/>
        <v>0</v>
      </c>
      <c r="AS48" s="537">
        <f t="shared" si="53"/>
        <v>11.21</v>
      </c>
      <c r="AT48" s="537">
        <f t="shared" si="54"/>
        <v>0</v>
      </c>
      <c r="AU48" s="537">
        <f t="shared" si="55"/>
        <v>0</v>
      </c>
      <c r="AV48" s="537">
        <f t="shared" si="56"/>
        <v>0</v>
      </c>
      <c r="AW48" s="537">
        <f t="shared" si="57"/>
        <v>10.05</v>
      </c>
      <c r="AX48" s="537">
        <f t="shared" si="58"/>
        <v>0</v>
      </c>
      <c r="AY48" s="537">
        <f t="shared" si="59"/>
        <v>0.16</v>
      </c>
      <c r="AZ48" s="537">
        <f t="shared" si="60"/>
        <v>0</v>
      </c>
      <c r="BA48" s="537">
        <f t="shared" si="61"/>
        <v>0</v>
      </c>
      <c r="BB48" s="537">
        <f t="shared" si="62"/>
        <v>0</v>
      </c>
      <c r="BC48" s="537">
        <f t="shared" si="63"/>
        <v>0.6</v>
      </c>
      <c r="BD48" s="374"/>
      <c r="BE48" s="374"/>
      <c r="BF48" s="131"/>
    </row>
    <row r="49" ht="24" spans="1:58">
      <c r="A49" s="528" t="s">
        <v>226</v>
      </c>
      <c r="B49" s="528" t="s">
        <v>203</v>
      </c>
      <c r="C49" s="528" t="s">
        <v>235</v>
      </c>
      <c r="D49" s="528" t="s">
        <v>214</v>
      </c>
      <c r="E49" s="529">
        <f t="shared" si="40"/>
        <v>21.9952</v>
      </c>
      <c r="F49" s="530"/>
      <c r="G49" s="530"/>
      <c r="H49" s="530"/>
      <c r="I49" s="530"/>
      <c r="J49" s="530"/>
      <c r="K49" s="530">
        <v>10.64</v>
      </c>
      <c r="L49" s="530"/>
      <c r="M49" s="530"/>
      <c r="N49" s="530"/>
      <c r="O49" s="530">
        <v>11.1552</v>
      </c>
      <c r="P49" s="530"/>
      <c r="Q49" s="530"/>
      <c r="R49" s="530"/>
      <c r="S49" s="530"/>
      <c r="T49" s="530"/>
      <c r="U49" s="530">
        <v>0.2</v>
      </c>
      <c r="V49" s="529">
        <f t="shared" si="46"/>
        <v>2.81</v>
      </c>
      <c r="W49" s="530"/>
      <c r="X49" s="530"/>
      <c r="Y49" s="530"/>
      <c r="Z49" s="530"/>
      <c r="AA49" s="530"/>
      <c r="AB49" s="530">
        <v>1.32</v>
      </c>
      <c r="AC49" s="530"/>
      <c r="AD49" s="530"/>
      <c r="AE49" s="530"/>
      <c r="AF49" s="530"/>
      <c r="AG49" s="530">
        <v>1.49</v>
      </c>
      <c r="AH49" s="530"/>
      <c r="AI49" s="530"/>
      <c r="AJ49" s="530"/>
      <c r="AK49" s="530"/>
      <c r="AL49" s="530"/>
      <c r="AM49" s="529">
        <f t="shared" si="47"/>
        <v>24.8052</v>
      </c>
      <c r="AN49" s="537">
        <f t="shared" si="48"/>
        <v>0</v>
      </c>
      <c r="AO49" s="537">
        <f t="shared" si="49"/>
        <v>0</v>
      </c>
      <c r="AP49" s="537">
        <f t="shared" si="50"/>
        <v>0</v>
      </c>
      <c r="AQ49" s="537">
        <f t="shared" si="51"/>
        <v>0</v>
      </c>
      <c r="AR49" s="537">
        <f t="shared" si="52"/>
        <v>0</v>
      </c>
      <c r="AS49" s="537">
        <f t="shared" si="53"/>
        <v>11.96</v>
      </c>
      <c r="AT49" s="537">
        <f t="shared" si="54"/>
        <v>0</v>
      </c>
      <c r="AU49" s="537">
        <f t="shared" si="55"/>
        <v>0</v>
      </c>
      <c r="AV49" s="537">
        <f t="shared" si="56"/>
        <v>0</v>
      </c>
      <c r="AW49" s="537">
        <f t="shared" si="57"/>
        <v>11.1552</v>
      </c>
      <c r="AX49" s="537">
        <f t="shared" si="58"/>
        <v>1.49</v>
      </c>
      <c r="AY49" s="537">
        <f t="shared" si="59"/>
        <v>0</v>
      </c>
      <c r="AZ49" s="537">
        <f t="shared" si="60"/>
        <v>0</v>
      </c>
      <c r="BA49" s="537">
        <f t="shared" si="61"/>
        <v>0</v>
      </c>
      <c r="BB49" s="537">
        <f t="shared" si="62"/>
        <v>0</v>
      </c>
      <c r="BC49" s="537">
        <f t="shared" si="63"/>
        <v>0.2</v>
      </c>
      <c r="BD49" s="374"/>
      <c r="BE49" s="374"/>
      <c r="BF49" s="131"/>
    </row>
    <row r="50" ht="24" spans="1:58">
      <c r="A50" s="528" t="s">
        <v>226</v>
      </c>
      <c r="B50" s="528" t="s">
        <v>203</v>
      </c>
      <c r="C50" s="528" t="s">
        <v>237</v>
      </c>
      <c r="D50" s="528" t="s">
        <v>214</v>
      </c>
      <c r="E50" s="529">
        <f t="shared" si="40"/>
        <v>7.1204</v>
      </c>
      <c r="F50" s="530"/>
      <c r="G50" s="530"/>
      <c r="H50" s="530"/>
      <c r="I50" s="530"/>
      <c r="J50" s="530"/>
      <c r="K50" s="530">
        <v>3.6</v>
      </c>
      <c r="L50" s="530"/>
      <c r="M50" s="530"/>
      <c r="N50" s="530"/>
      <c r="O50" s="530">
        <v>3.3204</v>
      </c>
      <c r="P50" s="530"/>
      <c r="Q50" s="530"/>
      <c r="R50" s="530"/>
      <c r="S50" s="530"/>
      <c r="T50" s="530"/>
      <c r="U50" s="530">
        <v>0.2</v>
      </c>
      <c r="V50" s="529">
        <f t="shared" si="46"/>
        <v>1</v>
      </c>
      <c r="W50" s="530"/>
      <c r="X50" s="530"/>
      <c r="Y50" s="530"/>
      <c r="Z50" s="530"/>
      <c r="AA50" s="530"/>
      <c r="AB50" s="530">
        <v>1.28</v>
      </c>
      <c r="AC50" s="530"/>
      <c r="AD50" s="530"/>
      <c r="AE50" s="530"/>
      <c r="AF50" s="530">
        <v>-0.28</v>
      </c>
      <c r="AG50" s="530"/>
      <c r="AH50" s="530"/>
      <c r="AI50" s="530"/>
      <c r="AJ50" s="530"/>
      <c r="AK50" s="530"/>
      <c r="AL50" s="530"/>
      <c r="AM50" s="529">
        <f t="shared" si="47"/>
        <v>8.1204</v>
      </c>
      <c r="AN50" s="537">
        <f t="shared" si="48"/>
        <v>0</v>
      </c>
      <c r="AO50" s="537">
        <f t="shared" si="49"/>
        <v>0</v>
      </c>
      <c r="AP50" s="537">
        <f t="shared" si="50"/>
        <v>0</v>
      </c>
      <c r="AQ50" s="537">
        <f t="shared" si="51"/>
        <v>0</v>
      </c>
      <c r="AR50" s="537">
        <f t="shared" si="52"/>
        <v>0</v>
      </c>
      <c r="AS50" s="537">
        <f t="shared" si="53"/>
        <v>4.88</v>
      </c>
      <c r="AT50" s="537">
        <f t="shared" si="54"/>
        <v>0</v>
      </c>
      <c r="AU50" s="537">
        <f t="shared" si="55"/>
        <v>0</v>
      </c>
      <c r="AV50" s="537">
        <f t="shared" si="56"/>
        <v>0</v>
      </c>
      <c r="AW50" s="537">
        <f t="shared" si="57"/>
        <v>3.0404</v>
      </c>
      <c r="AX50" s="537">
        <f t="shared" si="58"/>
        <v>0</v>
      </c>
      <c r="AY50" s="537">
        <f t="shared" si="59"/>
        <v>0</v>
      </c>
      <c r="AZ50" s="537">
        <f t="shared" si="60"/>
        <v>0</v>
      </c>
      <c r="BA50" s="537">
        <f t="shared" si="61"/>
        <v>0</v>
      </c>
      <c r="BB50" s="537">
        <f t="shared" si="62"/>
        <v>0</v>
      </c>
      <c r="BC50" s="537">
        <f t="shared" si="63"/>
        <v>0.2</v>
      </c>
      <c r="BD50" s="374"/>
      <c r="BE50" s="374"/>
      <c r="BF50" s="131"/>
    </row>
    <row r="51" s="130" customFormat="1" ht="24" spans="1:58">
      <c r="A51" s="528" t="s">
        <v>226</v>
      </c>
      <c r="B51" s="528" t="s">
        <v>203</v>
      </c>
      <c r="C51" s="528" t="s">
        <v>239</v>
      </c>
      <c r="D51" s="528" t="s">
        <v>214</v>
      </c>
      <c r="E51" s="529">
        <f t="shared" si="40"/>
        <v>15.59</v>
      </c>
      <c r="F51" s="530"/>
      <c r="G51" s="530"/>
      <c r="H51" s="530"/>
      <c r="I51" s="530"/>
      <c r="J51" s="530"/>
      <c r="K51" s="530">
        <v>4.72</v>
      </c>
      <c r="L51" s="530"/>
      <c r="M51" s="530"/>
      <c r="N51" s="530"/>
      <c r="O51" s="530">
        <v>10.87</v>
      </c>
      <c r="P51" s="530"/>
      <c r="Q51" s="530"/>
      <c r="R51" s="530"/>
      <c r="S51" s="530"/>
      <c r="T51" s="530"/>
      <c r="U51" s="530"/>
      <c r="V51" s="529">
        <f t="shared" si="46"/>
        <v>2.38</v>
      </c>
      <c r="W51" s="530"/>
      <c r="X51" s="530"/>
      <c r="Y51" s="530"/>
      <c r="Z51" s="530"/>
      <c r="AA51" s="530"/>
      <c r="AB51" s="530">
        <v>1.3</v>
      </c>
      <c r="AC51" s="530"/>
      <c r="AD51" s="530"/>
      <c r="AE51" s="530"/>
      <c r="AF51" s="530">
        <v>1.08</v>
      </c>
      <c r="AG51" s="530"/>
      <c r="AH51" s="530"/>
      <c r="AI51" s="530"/>
      <c r="AJ51" s="530"/>
      <c r="AK51" s="530"/>
      <c r="AL51" s="530"/>
      <c r="AM51" s="529">
        <f t="shared" si="47"/>
        <v>17.97</v>
      </c>
      <c r="AN51" s="537">
        <f t="shared" si="48"/>
        <v>0</v>
      </c>
      <c r="AO51" s="537">
        <f t="shared" si="49"/>
        <v>0</v>
      </c>
      <c r="AP51" s="537">
        <f t="shared" si="50"/>
        <v>0</v>
      </c>
      <c r="AQ51" s="537">
        <f t="shared" si="51"/>
        <v>0</v>
      </c>
      <c r="AR51" s="537">
        <f t="shared" si="52"/>
        <v>0</v>
      </c>
      <c r="AS51" s="537">
        <f t="shared" si="53"/>
        <v>6.02</v>
      </c>
      <c r="AT51" s="537">
        <f t="shared" si="54"/>
        <v>0</v>
      </c>
      <c r="AU51" s="537">
        <f t="shared" si="55"/>
        <v>0</v>
      </c>
      <c r="AV51" s="537">
        <f t="shared" si="56"/>
        <v>0</v>
      </c>
      <c r="AW51" s="537">
        <f t="shared" si="57"/>
        <v>11.95</v>
      </c>
      <c r="AX51" s="537">
        <f t="shared" si="58"/>
        <v>0</v>
      </c>
      <c r="AY51" s="537">
        <f t="shared" si="59"/>
        <v>0</v>
      </c>
      <c r="AZ51" s="537">
        <f t="shared" si="60"/>
        <v>0</v>
      </c>
      <c r="BA51" s="537">
        <f t="shared" si="61"/>
        <v>0</v>
      </c>
      <c r="BB51" s="537">
        <f t="shared" si="62"/>
        <v>0</v>
      </c>
      <c r="BC51" s="537">
        <f t="shared" si="63"/>
        <v>0</v>
      </c>
      <c r="BD51" s="374"/>
      <c r="BE51" s="374"/>
      <c r="BF51" s="131"/>
    </row>
    <row r="52" ht="24" spans="1:58">
      <c r="A52" s="528" t="s">
        <v>226</v>
      </c>
      <c r="B52" s="528" t="s">
        <v>203</v>
      </c>
      <c r="C52" s="528" t="s">
        <v>241</v>
      </c>
      <c r="D52" s="528" t="s">
        <v>214</v>
      </c>
      <c r="E52" s="529">
        <f t="shared" si="40"/>
        <v>9.424</v>
      </c>
      <c r="F52" s="530"/>
      <c r="G52" s="530"/>
      <c r="H52" s="530"/>
      <c r="I52" s="530"/>
      <c r="J52" s="530"/>
      <c r="K52" s="530">
        <v>5.04</v>
      </c>
      <c r="L52" s="530"/>
      <c r="M52" s="530"/>
      <c r="N52" s="530"/>
      <c r="O52" s="530">
        <v>3.984</v>
      </c>
      <c r="P52" s="530"/>
      <c r="Q52" s="530"/>
      <c r="R52" s="530"/>
      <c r="S52" s="530"/>
      <c r="T52" s="530"/>
      <c r="U52" s="530">
        <v>0.4</v>
      </c>
      <c r="V52" s="529">
        <f t="shared" si="46"/>
        <v>1.58</v>
      </c>
      <c r="W52" s="530"/>
      <c r="X52" s="530"/>
      <c r="Y52" s="530"/>
      <c r="Z52" s="530"/>
      <c r="AA52" s="530"/>
      <c r="AB52" s="530">
        <v>1.68</v>
      </c>
      <c r="AC52" s="530"/>
      <c r="AD52" s="530"/>
      <c r="AE52" s="530"/>
      <c r="AF52" s="530"/>
      <c r="AG52" s="530"/>
      <c r="AH52" s="530">
        <v>-0.1</v>
      </c>
      <c r="AI52" s="530"/>
      <c r="AJ52" s="530"/>
      <c r="AK52" s="530"/>
      <c r="AL52" s="530"/>
      <c r="AM52" s="529">
        <f t="shared" si="47"/>
        <v>11.004</v>
      </c>
      <c r="AN52" s="537">
        <f t="shared" si="48"/>
        <v>0</v>
      </c>
      <c r="AO52" s="537">
        <f t="shared" si="49"/>
        <v>0</v>
      </c>
      <c r="AP52" s="537">
        <f t="shared" si="50"/>
        <v>0</v>
      </c>
      <c r="AQ52" s="537">
        <f t="shared" si="51"/>
        <v>0</v>
      </c>
      <c r="AR52" s="537">
        <f t="shared" si="52"/>
        <v>0</v>
      </c>
      <c r="AS52" s="537">
        <f t="shared" si="53"/>
        <v>6.72</v>
      </c>
      <c r="AT52" s="537">
        <f t="shared" si="54"/>
        <v>0</v>
      </c>
      <c r="AU52" s="537">
        <f t="shared" si="55"/>
        <v>0</v>
      </c>
      <c r="AV52" s="537">
        <f t="shared" si="56"/>
        <v>0</v>
      </c>
      <c r="AW52" s="537">
        <f t="shared" si="57"/>
        <v>3.984</v>
      </c>
      <c r="AX52" s="537">
        <f t="shared" si="58"/>
        <v>0</v>
      </c>
      <c r="AY52" s="537">
        <f t="shared" si="59"/>
        <v>-0.1</v>
      </c>
      <c r="AZ52" s="537">
        <f t="shared" si="60"/>
        <v>0</v>
      </c>
      <c r="BA52" s="537">
        <f t="shared" si="61"/>
        <v>0</v>
      </c>
      <c r="BB52" s="537">
        <f t="shared" si="62"/>
        <v>0</v>
      </c>
      <c r="BC52" s="537">
        <f t="shared" si="63"/>
        <v>0.4</v>
      </c>
      <c r="BD52" s="374"/>
      <c r="BE52" s="374"/>
      <c r="BF52" s="131"/>
    </row>
    <row r="53" ht="24" spans="1:58">
      <c r="A53" s="528" t="s">
        <v>226</v>
      </c>
      <c r="B53" s="528" t="s">
        <v>203</v>
      </c>
      <c r="C53" s="528" t="s">
        <v>243</v>
      </c>
      <c r="D53" s="528" t="s">
        <v>214</v>
      </c>
      <c r="E53" s="529">
        <f t="shared" si="40"/>
        <v>36.83</v>
      </c>
      <c r="F53" s="530"/>
      <c r="G53" s="530"/>
      <c r="H53" s="530"/>
      <c r="I53" s="530"/>
      <c r="J53" s="530"/>
      <c r="K53" s="530">
        <v>15.44</v>
      </c>
      <c r="L53" s="530"/>
      <c r="M53" s="530"/>
      <c r="N53" s="530"/>
      <c r="O53" s="530">
        <v>20.69</v>
      </c>
      <c r="P53" s="530"/>
      <c r="Q53" s="530"/>
      <c r="R53" s="530"/>
      <c r="S53" s="530"/>
      <c r="T53" s="530"/>
      <c r="U53" s="530">
        <v>0.7</v>
      </c>
      <c r="V53" s="529">
        <f t="shared" si="46"/>
        <v>2.97</v>
      </c>
      <c r="W53" s="530"/>
      <c r="X53" s="530"/>
      <c r="Y53" s="530"/>
      <c r="Z53" s="530"/>
      <c r="AA53" s="530"/>
      <c r="AB53" s="530">
        <v>3.48</v>
      </c>
      <c r="AC53" s="530"/>
      <c r="AD53" s="530"/>
      <c r="AE53" s="530"/>
      <c r="AF53" s="530">
        <v>-0.51</v>
      </c>
      <c r="AG53" s="530"/>
      <c r="AH53" s="530"/>
      <c r="AI53" s="530"/>
      <c r="AJ53" s="530"/>
      <c r="AK53" s="530"/>
      <c r="AL53" s="530"/>
      <c r="AM53" s="529">
        <f t="shared" si="47"/>
        <v>39.8</v>
      </c>
      <c r="AN53" s="537">
        <f t="shared" si="48"/>
        <v>0</v>
      </c>
      <c r="AO53" s="537">
        <f t="shared" si="49"/>
        <v>0</v>
      </c>
      <c r="AP53" s="537">
        <f t="shared" si="50"/>
        <v>0</v>
      </c>
      <c r="AQ53" s="537">
        <f t="shared" si="51"/>
        <v>0</v>
      </c>
      <c r="AR53" s="537">
        <f t="shared" si="52"/>
        <v>0</v>
      </c>
      <c r="AS53" s="537">
        <f t="shared" si="53"/>
        <v>18.92</v>
      </c>
      <c r="AT53" s="537">
        <f t="shared" si="54"/>
        <v>0</v>
      </c>
      <c r="AU53" s="537">
        <f t="shared" si="55"/>
        <v>0</v>
      </c>
      <c r="AV53" s="537">
        <f t="shared" si="56"/>
        <v>0</v>
      </c>
      <c r="AW53" s="537">
        <f t="shared" si="57"/>
        <v>20.18</v>
      </c>
      <c r="AX53" s="537">
        <f t="shared" si="58"/>
        <v>0</v>
      </c>
      <c r="AY53" s="537">
        <f t="shared" si="59"/>
        <v>0</v>
      </c>
      <c r="AZ53" s="537">
        <f t="shared" si="60"/>
        <v>0</v>
      </c>
      <c r="BA53" s="537">
        <f t="shared" si="61"/>
        <v>0</v>
      </c>
      <c r="BB53" s="537">
        <f t="shared" si="62"/>
        <v>0</v>
      </c>
      <c r="BC53" s="537">
        <f t="shared" si="63"/>
        <v>0.7</v>
      </c>
      <c r="BD53" s="374"/>
      <c r="BE53" s="374"/>
      <c r="BF53" s="131"/>
    </row>
    <row r="54" ht="24" spans="1:58">
      <c r="A54" s="528" t="s">
        <v>226</v>
      </c>
      <c r="B54" s="528" t="s">
        <v>203</v>
      </c>
      <c r="C54" s="528" t="s">
        <v>245</v>
      </c>
      <c r="D54" s="528" t="s">
        <v>214</v>
      </c>
      <c r="E54" s="529">
        <f t="shared" si="40"/>
        <v>24.46</v>
      </c>
      <c r="F54" s="530"/>
      <c r="G54" s="530"/>
      <c r="H54" s="530"/>
      <c r="I54" s="530"/>
      <c r="J54" s="530"/>
      <c r="K54" s="530">
        <v>8.56</v>
      </c>
      <c r="L54" s="530"/>
      <c r="M54" s="530"/>
      <c r="N54" s="530"/>
      <c r="O54" s="530">
        <v>15.3</v>
      </c>
      <c r="P54" s="530"/>
      <c r="Q54" s="530"/>
      <c r="R54" s="530"/>
      <c r="S54" s="530"/>
      <c r="T54" s="530"/>
      <c r="U54" s="530">
        <v>0.6</v>
      </c>
      <c r="V54" s="529">
        <f t="shared" si="46"/>
        <v>2.67</v>
      </c>
      <c r="W54" s="530"/>
      <c r="X54" s="530"/>
      <c r="Y54" s="530"/>
      <c r="Z54" s="530"/>
      <c r="AA54" s="530"/>
      <c r="AB54" s="530">
        <v>1.84</v>
      </c>
      <c r="AC54" s="530"/>
      <c r="AD54" s="530"/>
      <c r="AE54" s="530"/>
      <c r="AF54" s="530"/>
      <c r="AG54" s="530">
        <v>0.83</v>
      </c>
      <c r="AH54" s="530"/>
      <c r="AI54" s="530"/>
      <c r="AJ54" s="530"/>
      <c r="AK54" s="530"/>
      <c r="AL54" s="530"/>
      <c r="AM54" s="529">
        <f t="shared" si="47"/>
        <v>27.13</v>
      </c>
      <c r="AN54" s="537">
        <f t="shared" si="48"/>
        <v>0</v>
      </c>
      <c r="AO54" s="537">
        <f t="shared" si="49"/>
        <v>0</v>
      </c>
      <c r="AP54" s="537">
        <f t="shared" si="50"/>
        <v>0</v>
      </c>
      <c r="AQ54" s="537">
        <f t="shared" si="51"/>
        <v>0</v>
      </c>
      <c r="AR54" s="537">
        <f t="shared" si="52"/>
        <v>0</v>
      </c>
      <c r="AS54" s="537">
        <f t="shared" si="53"/>
        <v>10.4</v>
      </c>
      <c r="AT54" s="537">
        <f t="shared" si="54"/>
        <v>0</v>
      </c>
      <c r="AU54" s="537">
        <f t="shared" si="55"/>
        <v>0</v>
      </c>
      <c r="AV54" s="537">
        <f t="shared" si="56"/>
        <v>0</v>
      </c>
      <c r="AW54" s="537">
        <f t="shared" si="57"/>
        <v>15.3</v>
      </c>
      <c r="AX54" s="537">
        <f t="shared" si="58"/>
        <v>0.83</v>
      </c>
      <c r="AY54" s="537">
        <f t="shared" si="59"/>
        <v>0</v>
      </c>
      <c r="AZ54" s="537">
        <f t="shared" si="60"/>
        <v>0</v>
      </c>
      <c r="BA54" s="537">
        <f t="shared" si="61"/>
        <v>0</v>
      </c>
      <c r="BB54" s="537">
        <f t="shared" si="62"/>
        <v>0</v>
      </c>
      <c r="BC54" s="537">
        <f t="shared" si="63"/>
        <v>0.6</v>
      </c>
      <c r="BD54" s="374"/>
      <c r="BE54" s="374"/>
      <c r="BF54" s="131"/>
    </row>
    <row r="55" ht="24" spans="1:58">
      <c r="A55" s="528" t="s">
        <v>226</v>
      </c>
      <c r="B55" s="528" t="s">
        <v>203</v>
      </c>
      <c r="C55" s="528" t="s">
        <v>247</v>
      </c>
      <c r="D55" s="528" t="s">
        <v>214</v>
      </c>
      <c r="E55" s="529">
        <f t="shared" si="40"/>
        <v>30.84</v>
      </c>
      <c r="F55" s="530"/>
      <c r="G55" s="530"/>
      <c r="H55" s="530"/>
      <c r="I55" s="530"/>
      <c r="J55" s="530"/>
      <c r="K55" s="530">
        <v>15.28</v>
      </c>
      <c r="L55" s="530"/>
      <c r="M55" s="530"/>
      <c r="N55" s="530"/>
      <c r="O55" s="530">
        <v>15.06</v>
      </c>
      <c r="P55" s="530"/>
      <c r="Q55" s="530"/>
      <c r="R55" s="530"/>
      <c r="S55" s="530"/>
      <c r="T55" s="530"/>
      <c r="U55" s="530">
        <v>0.5</v>
      </c>
      <c r="V55" s="529">
        <f t="shared" si="46"/>
        <v>2.98</v>
      </c>
      <c r="W55" s="530"/>
      <c r="X55" s="530"/>
      <c r="Y55" s="530"/>
      <c r="Z55" s="530"/>
      <c r="AA55" s="530"/>
      <c r="AB55" s="530">
        <v>4.23</v>
      </c>
      <c r="AC55" s="530"/>
      <c r="AD55" s="530"/>
      <c r="AE55" s="530"/>
      <c r="AF55" s="530"/>
      <c r="AG55" s="530">
        <v>-1.25</v>
      </c>
      <c r="AH55" s="530"/>
      <c r="AI55" s="530"/>
      <c r="AJ55" s="530"/>
      <c r="AK55" s="530"/>
      <c r="AL55" s="530"/>
      <c r="AM55" s="529">
        <f t="shared" si="47"/>
        <v>33.82</v>
      </c>
      <c r="AN55" s="537">
        <f t="shared" si="48"/>
        <v>0</v>
      </c>
      <c r="AO55" s="537">
        <f t="shared" si="49"/>
        <v>0</v>
      </c>
      <c r="AP55" s="537">
        <f t="shared" si="50"/>
        <v>0</v>
      </c>
      <c r="AQ55" s="537">
        <f t="shared" si="51"/>
        <v>0</v>
      </c>
      <c r="AR55" s="537">
        <f t="shared" si="52"/>
        <v>0</v>
      </c>
      <c r="AS55" s="537">
        <f t="shared" si="53"/>
        <v>19.51</v>
      </c>
      <c r="AT55" s="537">
        <f t="shared" si="54"/>
        <v>0</v>
      </c>
      <c r="AU55" s="537">
        <f t="shared" si="55"/>
        <v>0</v>
      </c>
      <c r="AV55" s="537">
        <f t="shared" si="56"/>
        <v>0</v>
      </c>
      <c r="AW55" s="537">
        <f t="shared" si="57"/>
        <v>15.06</v>
      </c>
      <c r="AX55" s="537">
        <f t="shared" si="58"/>
        <v>-1.25</v>
      </c>
      <c r="AY55" s="537">
        <f t="shared" si="59"/>
        <v>0</v>
      </c>
      <c r="AZ55" s="537">
        <f t="shared" si="60"/>
        <v>0</v>
      </c>
      <c r="BA55" s="537">
        <f t="shared" si="61"/>
        <v>0</v>
      </c>
      <c r="BB55" s="537">
        <f t="shared" si="62"/>
        <v>0</v>
      </c>
      <c r="BC55" s="537">
        <f t="shared" si="63"/>
        <v>0.5</v>
      </c>
      <c r="BD55" s="374"/>
      <c r="BE55" s="374"/>
      <c r="BF55" s="131"/>
    </row>
    <row r="56" ht="24" spans="1:58">
      <c r="A56" s="528" t="s">
        <v>226</v>
      </c>
      <c r="B56" s="528" t="s">
        <v>203</v>
      </c>
      <c r="C56" s="528" t="s">
        <v>249</v>
      </c>
      <c r="D56" s="528" t="s">
        <v>214</v>
      </c>
      <c r="E56" s="529">
        <f t="shared" si="40"/>
        <v>20.82</v>
      </c>
      <c r="F56" s="530"/>
      <c r="G56" s="530"/>
      <c r="H56" s="530"/>
      <c r="I56" s="530"/>
      <c r="J56" s="530"/>
      <c r="K56" s="530">
        <v>8.96</v>
      </c>
      <c r="L56" s="530"/>
      <c r="M56" s="530"/>
      <c r="N56" s="530"/>
      <c r="O56" s="530">
        <v>10.96</v>
      </c>
      <c r="P56" s="530"/>
      <c r="Q56" s="530"/>
      <c r="R56" s="530"/>
      <c r="S56" s="530"/>
      <c r="T56" s="530"/>
      <c r="U56" s="530">
        <v>0.9</v>
      </c>
      <c r="V56" s="529">
        <f t="shared" si="46"/>
        <v>1.093</v>
      </c>
      <c r="W56" s="530"/>
      <c r="X56" s="530"/>
      <c r="Y56" s="530"/>
      <c r="Z56" s="530"/>
      <c r="AA56" s="530"/>
      <c r="AB56" s="530">
        <v>2.67</v>
      </c>
      <c r="AC56" s="530"/>
      <c r="AD56" s="530"/>
      <c r="AE56" s="530"/>
      <c r="AF56" s="530">
        <v>-1.577</v>
      </c>
      <c r="AG56" s="530"/>
      <c r="AH56" s="530"/>
      <c r="AI56" s="530"/>
      <c r="AJ56" s="530"/>
      <c r="AK56" s="530"/>
      <c r="AL56" s="530"/>
      <c r="AM56" s="529">
        <f t="shared" si="47"/>
        <v>21.913</v>
      </c>
      <c r="AN56" s="537">
        <f t="shared" si="48"/>
        <v>0</v>
      </c>
      <c r="AO56" s="537">
        <f t="shared" si="49"/>
        <v>0</v>
      </c>
      <c r="AP56" s="537">
        <f t="shared" si="50"/>
        <v>0</v>
      </c>
      <c r="AQ56" s="537">
        <f t="shared" si="51"/>
        <v>0</v>
      </c>
      <c r="AR56" s="537">
        <f t="shared" si="52"/>
        <v>0</v>
      </c>
      <c r="AS56" s="537">
        <f t="shared" si="53"/>
        <v>11.63</v>
      </c>
      <c r="AT56" s="537">
        <f t="shared" si="54"/>
        <v>0</v>
      </c>
      <c r="AU56" s="537">
        <f t="shared" si="55"/>
        <v>0</v>
      </c>
      <c r="AV56" s="537">
        <f t="shared" si="56"/>
        <v>0</v>
      </c>
      <c r="AW56" s="537">
        <f t="shared" si="57"/>
        <v>9.383</v>
      </c>
      <c r="AX56" s="537">
        <f t="shared" si="58"/>
        <v>0</v>
      </c>
      <c r="AY56" s="537">
        <f t="shared" si="59"/>
        <v>0</v>
      </c>
      <c r="AZ56" s="537">
        <f t="shared" si="60"/>
        <v>0</v>
      </c>
      <c r="BA56" s="537">
        <f t="shared" si="61"/>
        <v>0</v>
      </c>
      <c r="BB56" s="537">
        <f t="shared" si="62"/>
        <v>0</v>
      </c>
      <c r="BC56" s="537">
        <f t="shared" si="63"/>
        <v>0.9</v>
      </c>
      <c r="BD56" s="374"/>
      <c r="BE56" s="374"/>
      <c r="BF56" s="131"/>
    </row>
    <row r="57" ht="24" spans="1:58">
      <c r="A57" s="528" t="s">
        <v>226</v>
      </c>
      <c r="B57" s="528" t="s">
        <v>203</v>
      </c>
      <c r="C57" s="528" t="s">
        <v>251</v>
      </c>
      <c r="D57" s="528" t="s">
        <v>214</v>
      </c>
      <c r="E57" s="529">
        <f t="shared" si="40"/>
        <v>32.34</v>
      </c>
      <c r="F57" s="530"/>
      <c r="G57" s="530"/>
      <c r="H57" s="530"/>
      <c r="I57" s="530"/>
      <c r="J57" s="530"/>
      <c r="K57" s="530">
        <v>12.32</v>
      </c>
      <c r="L57" s="530"/>
      <c r="M57" s="530"/>
      <c r="N57" s="530"/>
      <c r="O57" s="530">
        <v>19.12</v>
      </c>
      <c r="P57" s="530"/>
      <c r="Q57" s="530"/>
      <c r="R57" s="530"/>
      <c r="S57" s="530"/>
      <c r="T57" s="530"/>
      <c r="U57" s="530">
        <v>0.9</v>
      </c>
      <c r="V57" s="529">
        <f t="shared" si="46"/>
        <v>3.31</v>
      </c>
      <c r="W57" s="530"/>
      <c r="X57" s="530"/>
      <c r="Y57" s="530"/>
      <c r="Z57" s="530"/>
      <c r="AA57" s="530"/>
      <c r="AB57" s="530">
        <v>2.89</v>
      </c>
      <c r="AC57" s="530"/>
      <c r="AD57" s="530"/>
      <c r="AE57" s="530"/>
      <c r="AF57" s="530">
        <v>0.42</v>
      </c>
      <c r="AG57" s="530"/>
      <c r="AH57" s="530"/>
      <c r="AI57" s="530"/>
      <c r="AJ57" s="530"/>
      <c r="AK57" s="530"/>
      <c r="AL57" s="530"/>
      <c r="AM57" s="529">
        <f t="shared" si="47"/>
        <v>35.65</v>
      </c>
      <c r="AN57" s="537">
        <f t="shared" si="48"/>
        <v>0</v>
      </c>
      <c r="AO57" s="537">
        <f t="shared" si="49"/>
        <v>0</v>
      </c>
      <c r="AP57" s="537">
        <f t="shared" si="50"/>
        <v>0</v>
      </c>
      <c r="AQ57" s="537">
        <f t="shared" si="51"/>
        <v>0</v>
      </c>
      <c r="AR57" s="537">
        <f t="shared" si="52"/>
        <v>0</v>
      </c>
      <c r="AS57" s="537">
        <f t="shared" si="53"/>
        <v>15.21</v>
      </c>
      <c r="AT57" s="537">
        <f t="shared" si="54"/>
        <v>0</v>
      </c>
      <c r="AU57" s="537">
        <f t="shared" si="55"/>
        <v>0</v>
      </c>
      <c r="AV57" s="537">
        <f t="shared" si="56"/>
        <v>0</v>
      </c>
      <c r="AW57" s="537">
        <f t="shared" si="57"/>
        <v>19.54</v>
      </c>
      <c r="AX57" s="537">
        <f t="shared" si="58"/>
        <v>0</v>
      </c>
      <c r="AY57" s="537">
        <f t="shared" si="59"/>
        <v>0</v>
      </c>
      <c r="AZ57" s="537">
        <f t="shared" si="60"/>
        <v>0</v>
      </c>
      <c r="BA57" s="537">
        <f t="shared" si="61"/>
        <v>0</v>
      </c>
      <c r="BB57" s="537">
        <f t="shared" si="62"/>
        <v>0</v>
      </c>
      <c r="BC57" s="537">
        <f t="shared" si="63"/>
        <v>0.9</v>
      </c>
      <c r="BD57" s="374"/>
      <c r="BE57" s="374"/>
      <c r="BF57" s="131"/>
    </row>
    <row r="58" ht="24" spans="1:58">
      <c r="A58" s="528" t="s">
        <v>226</v>
      </c>
      <c r="B58" s="528" t="s">
        <v>203</v>
      </c>
      <c r="C58" s="528" t="s">
        <v>253</v>
      </c>
      <c r="D58" s="528" t="s">
        <v>214</v>
      </c>
      <c r="E58" s="529">
        <f t="shared" si="40"/>
        <v>18.98</v>
      </c>
      <c r="F58" s="530"/>
      <c r="G58" s="530"/>
      <c r="H58" s="530"/>
      <c r="I58" s="530"/>
      <c r="J58" s="530"/>
      <c r="K58" s="530">
        <v>7.92</v>
      </c>
      <c r="L58" s="530"/>
      <c r="M58" s="530"/>
      <c r="N58" s="530"/>
      <c r="O58" s="530">
        <v>10.96</v>
      </c>
      <c r="P58" s="530"/>
      <c r="Q58" s="530"/>
      <c r="R58" s="530"/>
      <c r="S58" s="530"/>
      <c r="T58" s="530"/>
      <c r="U58" s="530">
        <v>0.1</v>
      </c>
      <c r="V58" s="529">
        <f t="shared" si="46"/>
        <v>2.37</v>
      </c>
      <c r="W58" s="530"/>
      <c r="X58" s="530"/>
      <c r="Y58" s="530"/>
      <c r="Z58" s="530"/>
      <c r="AA58" s="530"/>
      <c r="AB58" s="530">
        <v>2.13</v>
      </c>
      <c r="AC58" s="530"/>
      <c r="AD58" s="530"/>
      <c r="AE58" s="530"/>
      <c r="AF58" s="530">
        <v>0.24</v>
      </c>
      <c r="AG58" s="530"/>
      <c r="AH58" s="530"/>
      <c r="AI58" s="530"/>
      <c r="AJ58" s="530"/>
      <c r="AK58" s="530"/>
      <c r="AL58" s="530"/>
      <c r="AM58" s="529">
        <f t="shared" si="47"/>
        <v>21.35</v>
      </c>
      <c r="AN58" s="537">
        <f t="shared" si="48"/>
        <v>0</v>
      </c>
      <c r="AO58" s="537">
        <f t="shared" si="49"/>
        <v>0</v>
      </c>
      <c r="AP58" s="537">
        <f t="shared" si="50"/>
        <v>0</v>
      </c>
      <c r="AQ58" s="537">
        <f t="shared" si="51"/>
        <v>0</v>
      </c>
      <c r="AR58" s="537">
        <f t="shared" si="52"/>
        <v>0</v>
      </c>
      <c r="AS58" s="537">
        <f t="shared" si="53"/>
        <v>10.05</v>
      </c>
      <c r="AT58" s="537">
        <f t="shared" si="54"/>
        <v>0</v>
      </c>
      <c r="AU58" s="537">
        <f t="shared" si="55"/>
        <v>0</v>
      </c>
      <c r="AV58" s="537">
        <f t="shared" si="56"/>
        <v>0</v>
      </c>
      <c r="AW58" s="537">
        <f t="shared" si="57"/>
        <v>11.2</v>
      </c>
      <c r="AX58" s="537">
        <f t="shared" si="58"/>
        <v>0</v>
      </c>
      <c r="AY58" s="537">
        <f t="shared" si="59"/>
        <v>0</v>
      </c>
      <c r="AZ58" s="537">
        <f t="shared" si="60"/>
        <v>0</v>
      </c>
      <c r="BA58" s="537">
        <f t="shared" si="61"/>
        <v>0</v>
      </c>
      <c r="BB58" s="537">
        <f t="shared" si="62"/>
        <v>0</v>
      </c>
      <c r="BC58" s="537">
        <f t="shared" si="63"/>
        <v>0.1</v>
      </c>
      <c r="BD58" s="374"/>
      <c r="BE58" s="374"/>
      <c r="BF58" s="131"/>
    </row>
    <row r="59" ht="24" spans="1:58">
      <c r="A59" s="528" t="s">
        <v>226</v>
      </c>
      <c r="B59" s="528" t="s">
        <v>203</v>
      </c>
      <c r="C59" s="528" t="s">
        <v>255</v>
      </c>
      <c r="D59" s="528" t="s">
        <v>214</v>
      </c>
      <c r="E59" s="529">
        <f t="shared" si="40"/>
        <v>17.72</v>
      </c>
      <c r="F59" s="530"/>
      <c r="G59" s="530"/>
      <c r="H59" s="530"/>
      <c r="I59" s="530"/>
      <c r="J59" s="530"/>
      <c r="K59" s="530">
        <v>8.16</v>
      </c>
      <c r="L59" s="530"/>
      <c r="M59" s="530"/>
      <c r="N59" s="530"/>
      <c r="O59" s="530">
        <v>8.96</v>
      </c>
      <c r="P59" s="530"/>
      <c r="Q59" s="530"/>
      <c r="R59" s="530"/>
      <c r="S59" s="530"/>
      <c r="T59" s="530"/>
      <c r="U59" s="530">
        <v>0.6</v>
      </c>
      <c r="V59" s="529">
        <f t="shared" si="46"/>
        <v>3.68</v>
      </c>
      <c r="W59" s="530"/>
      <c r="X59" s="530"/>
      <c r="Y59" s="530"/>
      <c r="Z59" s="530"/>
      <c r="AA59" s="530"/>
      <c r="AB59" s="530">
        <v>2.3</v>
      </c>
      <c r="AC59" s="530"/>
      <c r="AD59" s="530"/>
      <c r="AE59" s="530"/>
      <c r="AF59" s="530"/>
      <c r="AG59" s="530">
        <v>1.38</v>
      </c>
      <c r="AH59" s="530"/>
      <c r="AI59" s="530"/>
      <c r="AJ59" s="530"/>
      <c r="AK59" s="530"/>
      <c r="AL59" s="530"/>
      <c r="AM59" s="529">
        <f t="shared" si="47"/>
        <v>21.4</v>
      </c>
      <c r="AN59" s="537">
        <f t="shared" si="48"/>
        <v>0</v>
      </c>
      <c r="AO59" s="537">
        <f t="shared" si="49"/>
        <v>0</v>
      </c>
      <c r="AP59" s="537">
        <f t="shared" si="50"/>
        <v>0</v>
      </c>
      <c r="AQ59" s="537">
        <f t="shared" si="51"/>
        <v>0</v>
      </c>
      <c r="AR59" s="537">
        <f t="shared" si="52"/>
        <v>0</v>
      </c>
      <c r="AS59" s="537">
        <f t="shared" si="53"/>
        <v>10.46</v>
      </c>
      <c r="AT59" s="537">
        <f t="shared" si="54"/>
        <v>0</v>
      </c>
      <c r="AU59" s="537">
        <f t="shared" si="55"/>
        <v>0</v>
      </c>
      <c r="AV59" s="537">
        <f t="shared" si="56"/>
        <v>0</v>
      </c>
      <c r="AW59" s="537">
        <f t="shared" si="57"/>
        <v>8.96</v>
      </c>
      <c r="AX59" s="537">
        <f t="shared" si="58"/>
        <v>1.38</v>
      </c>
      <c r="AY59" s="537">
        <f t="shared" si="59"/>
        <v>0</v>
      </c>
      <c r="AZ59" s="537">
        <f t="shared" si="60"/>
        <v>0</v>
      </c>
      <c r="BA59" s="537">
        <f t="shared" si="61"/>
        <v>0</v>
      </c>
      <c r="BB59" s="537">
        <f t="shared" si="62"/>
        <v>0</v>
      </c>
      <c r="BC59" s="537">
        <f t="shared" si="63"/>
        <v>0.6</v>
      </c>
      <c r="BD59" s="374"/>
      <c r="BE59" s="374"/>
      <c r="BF59" s="131"/>
    </row>
    <row r="60" ht="24" spans="1:58">
      <c r="A60" s="528" t="s">
        <v>226</v>
      </c>
      <c r="B60" s="528" t="s">
        <v>203</v>
      </c>
      <c r="C60" s="528" t="s">
        <v>257</v>
      </c>
      <c r="D60" s="528" t="s">
        <v>214</v>
      </c>
      <c r="E60" s="529">
        <f t="shared" si="40"/>
        <v>21.31</v>
      </c>
      <c r="F60" s="530"/>
      <c r="G60" s="530"/>
      <c r="H60" s="530"/>
      <c r="I60" s="530"/>
      <c r="J60" s="530"/>
      <c r="K60" s="530">
        <v>7.2</v>
      </c>
      <c r="L60" s="530"/>
      <c r="M60" s="530"/>
      <c r="N60" s="530"/>
      <c r="O60" s="530">
        <v>14.11</v>
      </c>
      <c r="P60" s="530"/>
      <c r="Q60" s="530"/>
      <c r="R60" s="530"/>
      <c r="S60" s="530"/>
      <c r="T60" s="530"/>
      <c r="U60" s="530"/>
      <c r="V60" s="529">
        <f t="shared" si="46"/>
        <v>0.770000000000001</v>
      </c>
      <c r="W60" s="530"/>
      <c r="X60" s="530"/>
      <c r="Y60" s="530"/>
      <c r="Z60" s="530"/>
      <c r="AA60" s="530"/>
      <c r="AB60" s="530">
        <v>1.18</v>
      </c>
      <c r="AC60" s="530"/>
      <c r="AD60" s="530"/>
      <c r="AE60" s="530"/>
      <c r="AF60" s="530">
        <v>-0.41</v>
      </c>
      <c r="AG60" s="530"/>
      <c r="AH60" s="530"/>
      <c r="AI60" s="530"/>
      <c r="AJ60" s="530"/>
      <c r="AK60" s="530"/>
      <c r="AL60" s="530"/>
      <c r="AM60" s="529">
        <f t="shared" si="47"/>
        <v>22.08</v>
      </c>
      <c r="AN60" s="537">
        <f t="shared" si="48"/>
        <v>0</v>
      </c>
      <c r="AO60" s="537">
        <f t="shared" si="49"/>
        <v>0</v>
      </c>
      <c r="AP60" s="537">
        <f t="shared" si="50"/>
        <v>0</v>
      </c>
      <c r="AQ60" s="537">
        <f t="shared" si="51"/>
        <v>0</v>
      </c>
      <c r="AR60" s="537">
        <f t="shared" si="52"/>
        <v>0</v>
      </c>
      <c r="AS60" s="537">
        <f t="shared" si="53"/>
        <v>8.38</v>
      </c>
      <c r="AT60" s="537">
        <f t="shared" si="54"/>
        <v>0</v>
      </c>
      <c r="AU60" s="537">
        <f t="shared" si="55"/>
        <v>0</v>
      </c>
      <c r="AV60" s="537">
        <f t="shared" si="56"/>
        <v>0</v>
      </c>
      <c r="AW60" s="537">
        <f t="shared" si="57"/>
        <v>13.7</v>
      </c>
      <c r="AX60" s="537">
        <f t="shared" si="58"/>
        <v>0</v>
      </c>
      <c r="AY60" s="537">
        <f t="shared" si="59"/>
        <v>0</v>
      </c>
      <c r="AZ60" s="537">
        <f t="shared" si="60"/>
        <v>0</v>
      </c>
      <c r="BA60" s="537">
        <f t="shared" si="61"/>
        <v>0</v>
      </c>
      <c r="BB60" s="537">
        <f t="shared" si="62"/>
        <v>0</v>
      </c>
      <c r="BC60" s="537">
        <f t="shared" si="63"/>
        <v>0</v>
      </c>
      <c r="BD60" s="374"/>
      <c r="BE60" s="374"/>
      <c r="BF60" s="131"/>
    </row>
    <row r="61" ht="24" spans="1:58">
      <c r="A61" s="528" t="s">
        <v>226</v>
      </c>
      <c r="B61" s="528" t="s">
        <v>203</v>
      </c>
      <c r="C61" s="528" t="s">
        <v>259</v>
      </c>
      <c r="D61" s="528" t="s">
        <v>214</v>
      </c>
      <c r="E61" s="529">
        <f t="shared" si="40"/>
        <v>11.808</v>
      </c>
      <c r="F61" s="530"/>
      <c r="G61" s="530"/>
      <c r="H61" s="530"/>
      <c r="I61" s="530"/>
      <c r="J61" s="530"/>
      <c r="K61" s="530">
        <v>3.44</v>
      </c>
      <c r="L61" s="530"/>
      <c r="M61" s="530"/>
      <c r="N61" s="530"/>
      <c r="O61" s="530">
        <v>7.968</v>
      </c>
      <c r="P61" s="530"/>
      <c r="Q61" s="530"/>
      <c r="R61" s="530"/>
      <c r="S61" s="530"/>
      <c r="T61" s="530"/>
      <c r="U61" s="530">
        <v>0.4</v>
      </c>
      <c r="V61" s="529">
        <f t="shared" si="46"/>
        <v>0.4</v>
      </c>
      <c r="W61" s="530"/>
      <c r="X61" s="530"/>
      <c r="Y61" s="530"/>
      <c r="Z61" s="530"/>
      <c r="AA61" s="530"/>
      <c r="AB61" s="530">
        <v>0.4</v>
      </c>
      <c r="AC61" s="530"/>
      <c r="AD61" s="530"/>
      <c r="AE61" s="530"/>
      <c r="AF61" s="530"/>
      <c r="AG61" s="530"/>
      <c r="AH61" s="530"/>
      <c r="AI61" s="530"/>
      <c r="AJ61" s="530"/>
      <c r="AK61" s="530"/>
      <c r="AL61" s="530"/>
      <c r="AM61" s="529">
        <f t="shared" si="47"/>
        <v>12.208</v>
      </c>
      <c r="AN61" s="537">
        <f t="shared" si="48"/>
        <v>0</v>
      </c>
      <c r="AO61" s="537">
        <f t="shared" si="49"/>
        <v>0</v>
      </c>
      <c r="AP61" s="537">
        <f t="shared" si="50"/>
        <v>0</v>
      </c>
      <c r="AQ61" s="537">
        <f t="shared" si="51"/>
        <v>0</v>
      </c>
      <c r="AR61" s="537">
        <f t="shared" si="52"/>
        <v>0</v>
      </c>
      <c r="AS61" s="537">
        <f t="shared" si="53"/>
        <v>3.84</v>
      </c>
      <c r="AT61" s="537">
        <f t="shared" si="54"/>
        <v>0</v>
      </c>
      <c r="AU61" s="537">
        <f t="shared" si="55"/>
        <v>0</v>
      </c>
      <c r="AV61" s="537">
        <f t="shared" si="56"/>
        <v>0</v>
      </c>
      <c r="AW61" s="537">
        <f t="shared" si="57"/>
        <v>7.968</v>
      </c>
      <c r="AX61" s="537">
        <f t="shared" si="58"/>
        <v>0</v>
      </c>
      <c r="AY61" s="537">
        <f t="shared" si="59"/>
        <v>0</v>
      </c>
      <c r="AZ61" s="537">
        <f t="shared" si="60"/>
        <v>0</v>
      </c>
      <c r="BA61" s="537">
        <f t="shared" si="61"/>
        <v>0</v>
      </c>
      <c r="BB61" s="537">
        <f t="shared" si="62"/>
        <v>0</v>
      </c>
      <c r="BC61" s="537">
        <f t="shared" si="63"/>
        <v>0.4</v>
      </c>
      <c r="BD61" s="374"/>
      <c r="BE61" s="374"/>
      <c r="BF61" s="131"/>
    </row>
    <row r="62" s="508" customFormat="1" ht="20.15" customHeight="1" spans="1:57">
      <c r="A62" s="523"/>
      <c r="B62" s="524"/>
      <c r="C62" s="525" t="s">
        <v>128</v>
      </c>
      <c r="D62" s="526">
        <v>204</v>
      </c>
      <c r="E62" s="527">
        <f t="shared" ref="E62:U62" si="64">SUM(E63:E68)</f>
        <v>618.36</v>
      </c>
      <c r="F62" s="527">
        <f t="shared" si="64"/>
        <v>0</v>
      </c>
      <c r="G62" s="527">
        <f t="shared" si="64"/>
        <v>0</v>
      </c>
      <c r="H62" s="527">
        <f t="shared" si="64"/>
        <v>0</v>
      </c>
      <c r="I62" s="527">
        <f t="shared" si="64"/>
        <v>0</v>
      </c>
      <c r="J62" s="527">
        <f t="shared" si="64"/>
        <v>0</v>
      </c>
      <c r="K62" s="527">
        <f t="shared" si="64"/>
        <v>48.8</v>
      </c>
      <c r="L62" s="527">
        <f t="shared" si="64"/>
        <v>0</v>
      </c>
      <c r="M62" s="527">
        <f t="shared" si="64"/>
        <v>0</v>
      </c>
      <c r="N62" s="527">
        <f t="shared" si="64"/>
        <v>0</v>
      </c>
      <c r="O62" s="527">
        <f t="shared" si="64"/>
        <v>32.4</v>
      </c>
      <c r="P62" s="527">
        <f t="shared" si="64"/>
        <v>0</v>
      </c>
      <c r="Q62" s="527">
        <f t="shared" si="64"/>
        <v>36.01</v>
      </c>
      <c r="R62" s="527">
        <f t="shared" si="64"/>
        <v>366.23</v>
      </c>
      <c r="S62" s="527">
        <f t="shared" si="64"/>
        <v>0</v>
      </c>
      <c r="T62" s="527">
        <f t="shared" si="64"/>
        <v>0</v>
      </c>
      <c r="U62" s="527">
        <f t="shared" si="64"/>
        <v>134.92</v>
      </c>
      <c r="V62" s="527">
        <f t="shared" ref="V62:BC62" si="65">SUM(V63:V68)</f>
        <v>64.57</v>
      </c>
      <c r="W62" s="527">
        <f t="shared" si="65"/>
        <v>0</v>
      </c>
      <c r="X62" s="527">
        <f t="shared" si="65"/>
        <v>0</v>
      </c>
      <c r="Y62" s="527">
        <f t="shared" si="65"/>
        <v>0</v>
      </c>
      <c r="Z62" s="527">
        <f t="shared" si="65"/>
        <v>0</v>
      </c>
      <c r="AA62" s="527">
        <f t="shared" si="65"/>
        <v>0</v>
      </c>
      <c r="AB62" s="527">
        <f t="shared" si="65"/>
        <v>17.79</v>
      </c>
      <c r="AC62" s="527">
        <f t="shared" si="65"/>
        <v>0</v>
      </c>
      <c r="AD62" s="527">
        <f t="shared" si="65"/>
        <v>0</v>
      </c>
      <c r="AE62" s="527">
        <f t="shared" si="65"/>
        <v>0</v>
      </c>
      <c r="AF62" s="527">
        <f t="shared" si="65"/>
        <v>2.83</v>
      </c>
      <c r="AG62" s="527">
        <f t="shared" si="65"/>
        <v>0</v>
      </c>
      <c r="AH62" s="527">
        <f t="shared" si="65"/>
        <v>43.95</v>
      </c>
      <c r="AI62" s="527">
        <f t="shared" si="65"/>
        <v>0</v>
      </c>
      <c r="AJ62" s="527">
        <f t="shared" si="65"/>
        <v>0</v>
      </c>
      <c r="AK62" s="527">
        <f t="shared" si="65"/>
        <v>0</v>
      </c>
      <c r="AL62" s="527">
        <f t="shared" si="65"/>
        <v>0</v>
      </c>
      <c r="AM62" s="527">
        <f t="shared" si="65"/>
        <v>682.93</v>
      </c>
      <c r="AN62" s="536">
        <f t="shared" si="65"/>
        <v>0</v>
      </c>
      <c r="AO62" s="536">
        <f t="shared" si="65"/>
        <v>0</v>
      </c>
      <c r="AP62" s="536">
        <f t="shared" si="65"/>
        <v>0</v>
      </c>
      <c r="AQ62" s="536">
        <f t="shared" si="65"/>
        <v>0</v>
      </c>
      <c r="AR62" s="536">
        <f t="shared" si="65"/>
        <v>0</v>
      </c>
      <c r="AS62" s="536">
        <f t="shared" si="65"/>
        <v>66.59</v>
      </c>
      <c r="AT62" s="536">
        <f t="shared" si="65"/>
        <v>0</v>
      </c>
      <c r="AU62" s="536">
        <f t="shared" si="65"/>
        <v>0</v>
      </c>
      <c r="AV62" s="536">
        <f t="shared" si="65"/>
        <v>0</v>
      </c>
      <c r="AW62" s="536">
        <f t="shared" si="65"/>
        <v>35.23</v>
      </c>
      <c r="AX62" s="536">
        <f t="shared" si="65"/>
        <v>0</v>
      </c>
      <c r="AY62" s="536">
        <f t="shared" si="65"/>
        <v>79.96</v>
      </c>
      <c r="AZ62" s="536">
        <f t="shared" si="65"/>
        <v>366.23</v>
      </c>
      <c r="BA62" s="536">
        <f t="shared" si="65"/>
        <v>0</v>
      </c>
      <c r="BB62" s="536">
        <f t="shared" si="65"/>
        <v>0</v>
      </c>
      <c r="BC62" s="536">
        <f t="shared" si="65"/>
        <v>134.92</v>
      </c>
      <c r="BD62" s="332"/>
      <c r="BE62" s="332"/>
    </row>
    <row r="63" ht="24" spans="1:57">
      <c r="A63" s="528" t="s">
        <v>202</v>
      </c>
      <c r="B63" s="528" t="s">
        <v>203</v>
      </c>
      <c r="C63" s="528" t="s">
        <v>381</v>
      </c>
      <c r="D63" s="528" t="s">
        <v>382</v>
      </c>
      <c r="E63" s="529">
        <f t="shared" ref="E63:E68" si="66">SUM(F63:U63)</f>
        <v>434.04</v>
      </c>
      <c r="F63" s="530"/>
      <c r="G63" s="530"/>
      <c r="H63" s="530"/>
      <c r="I63" s="530"/>
      <c r="J63" s="530"/>
      <c r="K63" s="530">
        <v>37.2</v>
      </c>
      <c r="L63" s="530"/>
      <c r="M63" s="530"/>
      <c r="N63" s="530"/>
      <c r="O63" s="530">
        <v>25.1</v>
      </c>
      <c r="P63" s="530"/>
      <c r="Q63" s="530">
        <v>25.11</v>
      </c>
      <c r="R63" s="530">
        <v>346.63</v>
      </c>
      <c r="S63" s="530"/>
      <c r="T63" s="530"/>
      <c r="U63" s="530"/>
      <c r="V63" s="529">
        <f t="shared" si="46"/>
        <v>17.34</v>
      </c>
      <c r="W63" s="530"/>
      <c r="X63" s="530"/>
      <c r="Y63" s="530"/>
      <c r="Z63" s="530"/>
      <c r="AA63" s="530"/>
      <c r="AB63" s="530">
        <v>13.01</v>
      </c>
      <c r="AC63" s="530"/>
      <c r="AD63" s="530"/>
      <c r="AE63" s="530"/>
      <c r="AF63" s="530">
        <v>2.83</v>
      </c>
      <c r="AG63" s="530"/>
      <c r="AH63" s="530">
        <v>1.5</v>
      </c>
      <c r="AI63" s="530"/>
      <c r="AJ63" s="530"/>
      <c r="AK63" s="530"/>
      <c r="AL63" s="530"/>
      <c r="AM63" s="529">
        <f t="shared" si="47"/>
        <v>451.38</v>
      </c>
      <c r="AN63" s="537">
        <f t="shared" si="48"/>
        <v>0</v>
      </c>
      <c r="AO63" s="537">
        <f t="shared" si="49"/>
        <v>0</v>
      </c>
      <c r="AP63" s="537">
        <f t="shared" si="50"/>
        <v>0</v>
      </c>
      <c r="AQ63" s="537">
        <f t="shared" si="51"/>
        <v>0</v>
      </c>
      <c r="AR63" s="537">
        <f t="shared" si="52"/>
        <v>0</v>
      </c>
      <c r="AS63" s="537">
        <f t="shared" si="53"/>
        <v>50.21</v>
      </c>
      <c r="AT63" s="537">
        <f t="shared" si="54"/>
        <v>0</v>
      </c>
      <c r="AU63" s="537">
        <f t="shared" si="55"/>
        <v>0</v>
      </c>
      <c r="AV63" s="537">
        <f t="shared" si="56"/>
        <v>0</v>
      </c>
      <c r="AW63" s="537">
        <f t="shared" si="57"/>
        <v>27.93</v>
      </c>
      <c r="AX63" s="537">
        <f t="shared" si="58"/>
        <v>0</v>
      </c>
      <c r="AY63" s="537">
        <f t="shared" si="59"/>
        <v>26.61</v>
      </c>
      <c r="AZ63" s="537">
        <f t="shared" si="60"/>
        <v>346.63</v>
      </c>
      <c r="BA63" s="537">
        <f t="shared" si="61"/>
        <v>0</v>
      </c>
      <c r="BB63" s="537">
        <f t="shared" si="62"/>
        <v>0</v>
      </c>
      <c r="BC63" s="537">
        <f t="shared" si="63"/>
        <v>0</v>
      </c>
      <c r="BD63" s="374"/>
      <c r="BE63" s="374" t="s">
        <v>758</v>
      </c>
    </row>
    <row r="64" ht="24" spans="1:57">
      <c r="A64" s="528" t="s">
        <v>202</v>
      </c>
      <c r="B64" s="528" t="s">
        <v>203</v>
      </c>
      <c r="C64" s="528" t="s">
        <v>383</v>
      </c>
      <c r="D64" s="528" t="s">
        <v>382</v>
      </c>
      <c r="E64" s="529">
        <f t="shared" si="66"/>
        <v>31.71</v>
      </c>
      <c r="F64" s="530"/>
      <c r="G64" s="530"/>
      <c r="H64" s="530"/>
      <c r="I64" s="530"/>
      <c r="J64" s="530"/>
      <c r="K64" s="530">
        <v>0.8</v>
      </c>
      <c r="L64" s="530"/>
      <c r="M64" s="530"/>
      <c r="N64" s="530"/>
      <c r="O64" s="530">
        <v>1.99</v>
      </c>
      <c r="P64" s="530"/>
      <c r="Q64" s="530">
        <v>9.32</v>
      </c>
      <c r="R64" s="530">
        <v>19.6</v>
      </c>
      <c r="S64" s="530"/>
      <c r="T64" s="530"/>
      <c r="U64" s="530"/>
      <c r="V64" s="529">
        <f t="shared" si="46"/>
        <v>43.15</v>
      </c>
      <c r="W64" s="530"/>
      <c r="X64" s="530"/>
      <c r="Y64" s="530"/>
      <c r="Z64" s="530"/>
      <c r="AA64" s="530"/>
      <c r="AB64" s="530">
        <v>0.7</v>
      </c>
      <c r="AC64" s="530"/>
      <c r="AD64" s="530"/>
      <c r="AE64" s="530"/>
      <c r="AF64" s="530"/>
      <c r="AG64" s="530"/>
      <c r="AH64" s="530">
        <v>42.45</v>
      </c>
      <c r="AI64" s="530"/>
      <c r="AJ64" s="530"/>
      <c r="AK64" s="530"/>
      <c r="AL64" s="530"/>
      <c r="AM64" s="529">
        <f t="shared" si="47"/>
        <v>74.86</v>
      </c>
      <c r="AN64" s="537">
        <f t="shared" si="48"/>
        <v>0</v>
      </c>
      <c r="AO64" s="537">
        <f t="shared" si="49"/>
        <v>0</v>
      </c>
      <c r="AP64" s="537">
        <f t="shared" si="50"/>
        <v>0</v>
      </c>
      <c r="AQ64" s="537">
        <f t="shared" si="51"/>
        <v>0</v>
      </c>
      <c r="AR64" s="537">
        <f t="shared" si="52"/>
        <v>0</v>
      </c>
      <c r="AS64" s="537">
        <f t="shared" si="53"/>
        <v>1.5</v>
      </c>
      <c r="AT64" s="537">
        <f t="shared" si="54"/>
        <v>0</v>
      </c>
      <c r="AU64" s="537">
        <f t="shared" si="55"/>
        <v>0</v>
      </c>
      <c r="AV64" s="537">
        <f t="shared" si="56"/>
        <v>0</v>
      </c>
      <c r="AW64" s="537">
        <f t="shared" si="57"/>
        <v>1.99</v>
      </c>
      <c r="AX64" s="537">
        <f t="shared" si="58"/>
        <v>0</v>
      </c>
      <c r="AY64" s="537">
        <f t="shared" si="59"/>
        <v>51.77</v>
      </c>
      <c r="AZ64" s="537">
        <f t="shared" si="60"/>
        <v>19.6</v>
      </c>
      <c r="BA64" s="537">
        <f t="shared" si="61"/>
        <v>0</v>
      </c>
      <c r="BB64" s="537">
        <f t="shared" si="62"/>
        <v>0</v>
      </c>
      <c r="BC64" s="537">
        <f t="shared" si="63"/>
        <v>0</v>
      </c>
      <c r="BD64" s="374"/>
      <c r="BE64" s="374" t="s">
        <v>759</v>
      </c>
    </row>
    <row r="65" ht="24" spans="1:57">
      <c r="A65" s="528" t="s">
        <v>202</v>
      </c>
      <c r="B65" s="528" t="s">
        <v>203</v>
      </c>
      <c r="C65" s="528" t="s">
        <v>384</v>
      </c>
      <c r="D65" s="528" t="s">
        <v>382</v>
      </c>
      <c r="E65" s="529">
        <f t="shared" si="66"/>
        <v>134.92</v>
      </c>
      <c r="F65" s="530"/>
      <c r="G65" s="530"/>
      <c r="H65" s="530"/>
      <c r="I65" s="530"/>
      <c r="J65" s="530"/>
      <c r="K65" s="530"/>
      <c r="L65" s="530"/>
      <c r="M65" s="530"/>
      <c r="N65" s="530"/>
      <c r="O65" s="530"/>
      <c r="P65" s="530"/>
      <c r="Q65" s="530"/>
      <c r="R65" s="530"/>
      <c r="S65" s="530"/>
      <c r="T65" s="530"/>
      <c r="U65" s="530">
        <v>134.92</v>
      </c>
      <c r="V65" s="529">
        <f t="shared" si="46"/>
        <v>0</v>
      </c>
      <c r="W65" s="530"/>
      <c r="X65" s="530"/>
      <c r="Y65" s="530"/>
      <c r="Z65" s="530"/>
      <c r="AA65" s="530"/>
      <c r="AB65" s="530"/>
      <c r="AC65" s="530"/>
      <c r="AD65" s="530"/>
      <c r="AE65" s="530"/>
      <c r="AF65" s="530"/>
      <c r="AG65" s="530"/>
      <c r="AH65" s="530"/>
      <c r="AI65" s="530"/>
      <c r="AJ65" s="530"/>
      <c r="AK65" s="530"/>
      <c r="AL65" s="530"/>
      <c r="AM65" s="529">
        <f t="shared" si="47"/>
        <v>134.92</v>
      </c>
      <c r="AN65" s="537">
        <f t="shared" si="48"/>
        <v>0</v>
      </c>
      <c r="AO65" s="537">
        <f t="shared" si="49"/>
        <v>0</v>
      </c>
      <c r="AP65" s="537">
        <f t="shared" si="50"/>
        <v>0</v>
      </c>
      <c r="AQ65" s="537">
        <f t="shared" si="51"/>
        <v>0</v>
      </c>
      <c r="AR65" s="537">
        <f t="shared" si="52"/>
        <v>0</v>
      </c>
      <c r="AS65" s="537">
        <f t="shared" si="53"/>
        <v>0</v>
      </c>
      <c r="AT65" s="537">
        <f t="shared" si="54"/>
        <v>0</v>
      </c>
      <c r="AU65" s="537">
        <f t="shared" si="55"/>
        <v>0</v>
      </c>
      <c r="AV65" s="537">
        <f t="shared" si="56"/>
        <v>0</v>
      </c>
      <c r="AW65" s="537">
        <f t="shared" si="57"/>
        <v>0</v>
      </c>
      <c r="AX65" s="537">
        <f t="shared" si="58"/>
        <v>0</v>
      </c>
      <c r="AY65" s="537">
        <f t="shared" si="59"/>
        <v>0</v>
      </c>
      <c r="AZ65" s="537">
        <f t="shared" si="60"/>
        <v>0</v>
      </c>
      <c r="BA65" s="537">
        <f t="shared" si="61"/>
        <v>0</v>
      </c>
      <c r="BB65" s="537">
        <f t="shared" si="62"/>
        <v>0</v>
      </c>
      <c r="BC65" s="537">
        <f t="shared" si="63"/>
        <v>134.92</v>
      </c>
      <c r="BD65" s="374"/>
      <c r="BE65" s="374" t="s">
        <v>760</v>
      </c>
    </row>
    <row r="66" ht="24" spans="1:57">
      <c r="A66" s="528" t="s">
        <v>202</v>
      </c>
      <c r="B66" s="528" t="s">
        <v>206</v>
      </c>
      <c r="C66" s="528" t="s">
        <v>385</v>
      </c>
      <c r="D66" s="528" t="s">
        <v>386</v>
      </c>
      <c r="E66" s="529">
        <f t="shared" si="66"/>
        <v>1.58</v>
      </c>
      <c r="F66" s="530"/>
      <c r="G66" s="530"/>
      <c r="H66" s="530"/>
      <c r="I66" s="530"/>
      <c r="J66" s="530"/>
      <c r="K66" s="530"/>
      <c r="L66" s="530"/>
      <c r="M66" s="530"/>
      <c r="N66" s="530"/>
      <c r="O66" s="530"/>
      <c r="P66" s="530"/>
      <c r="Q66" s="530">
        <v>1.58</v>
      </c>
      <c r="R66" s="530"/>
      <c r="S66" s="530"/>
      <c r="T66" s="530"/>
      <c r="U66" s="530"/>
      <c r="V66" s="529">
        <f t="shared" si="46"/>
        <v>0</v>
      </c>
      <c r="W66" s="530"/>
      <c r="X66" s="530"/>
      <c r="Y66" s="530"/>
      <c r="Z66" s="530"/>
      <c r="AA66" s="530"/>
      <c r="AB66" s="530"/>
      <c r="AC66" s="530"/>
      <c r="AD66" s="530"/>
      <c r="AE66" s="530"/>
      <c r="AF66" s="530"/>
      <c r="AG66" s="530"/>
      <c r="AH66" s="530"/>
      <c r="AI66" s="530"/>
      <c r="AJ66" s="530"/>
      <c r="AK66" s="530"/>
      <c r="AL66" s="530"/>
      <c r="AM66" s="529">
        <f t="shared" si="47"/>
        <v>1.58</v>
      </c>
      <c r="AN66" s="537">
        <f t="shared" si="48"/>
        <v>0</v>
      </c>
      <c r="AO66" s="537">
        <f t="shared" si="49"/>
        <v>0</v>
      </c>
      <c r="AP66" s="537">
        <f t="shared" si="50"/>
        <v>0</v>
      </c>
      <c r="AQ66" s="537">
        <f t="shared" si="51"/>
        <v>0</v>
      </c>
      <c r="AR66" s="537">
        <f t="shared" si="52"/>
        <v>0</v>
      </c>
      <c r="AS66" s="537">
        <f t="shared" si="53"/>
        <v>0</v>
      </c>
      <c r="AT66" s="537">
        <f t="shared" si="54"/>
        <v>0</v>
      </c>
      <c r="AU66" s="537">
        <f t="shared" si="55"/>
        <v>0</v>
      </c>
      <c r="AV66" s="537">
        <f t="shared" si="56"/>
        <v>0</v>
      </c>
      <c r="AW66" s="537">
        <f t="shared" si="57"/>
        <v>0</v>
      </c>
      <c r="AX66" s="537">
        <f t="shared" si="58"/>
        <v>0</v>
      </c>
      <c r="AY66" s="537">
        <f t="shared" si="59"/>
        <v>1.58</v>
      </c>
      <c r="AZ66" s="537">
        <f t="shared" si="60"/>
        <v>0</v>
      </c>
      <c r="BA66" s="537">
        <f t="shared" si="61"/>
        <v>0</v>
      </c>
      <c r="BB66" s="537">
        <f t="shared" si="62"/>
        <v>0</v>
      </c>
      <c r="BC66" s="537">
        <f t="shared" si="63"/>
        <v>0</v>
      </c>
      <c r="BD66" s="374"/>
      <c r="BE66" s="374" t="s">
        <v>761</v>
      </c>
    </row>
    <row r="67" ht="24" spans="1:57">
      <c r="A67" s="528" t="s">
        <v>202</v>
      </c>
      <c r="B67" s="528" t="s">
        <v>203</v>
      </c>
      <c r="C67" s="528" t="s">
        <v>389</v>
      </c>
      <c r="D67" s="528" t="s">
        <v>390</v>
      </c>
      <c r="E67" s="529">
        <f t="shared" si="66"/>
        <v>14.91</v>
      </c>
      <c r="F67" s="530"/>
      <c r="G67" s="530"/>
      <c r="H67" s="530"/>
      <c r="I67" s="530"/>
      <c r="J67" s="530"/>
      <c r="K67" s="530">
        <v>9.6</v>
      </c>
      <c r="L67" s="530"/>
      <c r="M67" s="530"/>
      <c r="N67" s="530"/>
      <c r="O67" s="530">
        <v>5.31</v>
      </c>
      <c r="P67" s="530"/>
      <c r="Q67" s="530"/>
      <c r="R67" s="530"/>
      <c r="S67" s="530"/>
      <c r="T67" s="530"/>
      <c r="U67" s="530"/>
      <c r="V67" s="529">
        <f t="shared" si="46"/>
        <v>3.32</v>
      </c>
      <c r="W67" s="530"/>
      <c r="X67" s="530"/>
      <c r="Y67" s="530"/>
      <c r="Z67" s="530"/>
      <c r="AA67" s="530"/>
      <c r="AB67" s="530">
        <v>3.32</v>
      </c>
      <c r="AC67" s="530"/>
      <c r="AD67" s="530"/>
      <c r="AE67" s="530"/>
      <c r="AF67" s="530"/>
      <c r="AG67" s="530"/>
      <c r="AH67" s="530"/>
      <c r="AI67" s="530"/>
      <c r="AJ67" s="530"/>
      <c r="AK67" s="530"/>
      <c r="AL67" s="530"/>
      <c r="AM67" s="529">
        <f t="shared" si="47"/>
        <v>18.23</v>
      </c>
      <c r="AN67" s="537">
        <f t="shared" si="48"/>
        <v>0</v>
      </c>
      <c r="AO67" s="537">
        <f t="shared" si="49"/>
        <v>0</v>
      </c>
      <c r="AP67" s="537">
        <f t="shared" si="50"/>
        <v>0</v>
      </c>
      <c r="AQ67" s="537">
        <f t="shared" si="51"/>
        <v>0</v>
      </c>
      <c r="AR67" s="537">
        <f t="shared" si="52"/>
        <v>0</v>
      </c>
      <c r="AS67" s="537">
        <f t="shared" si="53"/>
        <v>12.92</v>
      </c>
      <c r="AT67" s="537">
        <f t="shared" si="54"/>
        <v>0</v>
      </c>
      <c r="AU67" s="537">
        <f t="shared" si="55"/>
        <v>0</v>
      </c>
      <c r="AV67" s="537">
        <f t="shared" si="56"/>
        <v>0</v>
      </c>
      <c r="AW67" s="537">
        <f t="shared" si="57"/>
        <v>5.31</v>
      </c>
      <c r="AX67" s="537">
        <f t="shared" si="58"/>
        <v>0</v>
      </c>
      <c r="AY67" s="537">
        <f t="shared" si="59"/>
        <v>0</v>
      </c>
      <c r="AZ67" s="537">
        <f t="shared" si="60"/>
        <v>0</v>
      </c>
      <c r="BA67" s="537">
        <f t="shared" si="61"/>
        <v>0</v>
      </c>
      <c r="BB67" s="537">
        <f t="shared" si="62"/>
        <v>0</v>
      </c>
      <c r="BC67" s="537">
        <f t="shared" si="63"/>
        <v>0</v>
      </c>
      <c r="BD67" s="374"/>
      <c r="BE67" s="374"/>
    </row>
    <row r="68" ht="24" spans="1:57">
      <c r="A68" s="528" t="s">
        <v>202</v>
      </c>
      <c r="B68" s="528" t="s">
        <v>203</v>
      </c>
      <c r="C68" s="528" t="s">
        <v>396</v>
      </c>
      <c r="D68" s="528" t="s">
        <v>397</v>
      </c>
      <c r="E68" s="529">
        <f t="shared" si="66"/>
        <v>1.2</v>
      </c>
      <c r="F68" s="530"/>
      <c r="G68" s="530"/>
      <c r="H68" s="530"/>
      <c r="I68" s="530"/>
      <c r="J68" s="530"/>
      <c r="K68" s="530">
        <v>1.2</v>
      </c>
      <c r="L68" s="530"/>
      <c r="M68" s="530"/>
      <c r="N68" s="530"/>
      <c r="O68" s="530"/>
      <c r="P68" s="530"/>
      <c r="Q68" s="530"/>
      <c r="R68" s="530"/>
      <c r="S68" s="530"/>
      <c r="T68" s="530"/>
      <c r="U68" s="530"/>
      <c r="V68" s="529">
        <f t="shared" si="46"/>
        <v>0.76</v>
      </c>
      <c r="W68" s="530"/>
      <c r="X68" s="530"/>
      <c r="Y68" s="530"/>
      <c r="Z68" s="530"/>
      <c r="AA68" s="530"/>
      <c r="AB68" s="530">
        <v>0.76</v>
      </c>
      <c r="AC68" s="530"/>
      <c r="AD68" s="530"/>
      <c r="AE68" s="530"/>
      <c r="AF68" s="530"/>
      <c r="AG68" s="530"/>
      <c r="AH68" s="530"/>
      <c r="AI68" s="530"/>
      <c r="AJ68" s="530"/>
      <c r="AK68" s="530"/>
      <c r="AL68" s="530"/>
      <c r="AM68" s="529">
        <f t="shared" si="47"/>
        <v>1.96</v>
      </c>
      <c r="AN68" s="537">
        <f t="shared" si="48"/>
        <v>0</v>
      </c>
      <c r="AO68" s="537">
        <f t="shared" si="49"/>
        <v>0</v>
      </c>
      <c r="AP68" s="537">
        <f t="shared" si="50"/>
        <v>0</v>
      </c>
      <c r="AQ68" s="537">
        <f t="shared" si="51"/>
        <v>0</v>
      </c>
      <c r="AR68" s="537">
        <f t="shared" si="52"/>
        <v>0</v>
      </c>
      <c r="AS68" s="537">
        <f t="shared" si="53"/>
        <v>1.96</v>
      </c>
      <c r="AT68" s="537">
        <f t="shared" si="54"/>
        <v>0</v>
      </c>
      <c r="AU68" s="537">
        <f t="shared" si="55"/>
        <v>0</v>
      </c>
      <c r="AV68" s="537">
        <f t="shared" si="56"/>
        <v>0</v>
      </c>
      <c r="AW68" s="537">
        <f t="shared" si="57"/>
        <v>0</v>
      </c>
      <c r="AX68" s="537">
        <f t="shared" si="58"/>
        <v>0</v>
      </c>
      <c r="AY68" s="537">
        <f t="shared" si="59"/>
        <v>0</v>
      </c>
      <c r="AZ68" s="537">
        <f t="shared" si="60"/>
        <v>0</v>
      </c>
      <c r="BA68" s="537">
        <f t="shared" si="61"/>
        <v>0</v>
      </c>
      <c r="BB68" s="537">
        <f t="shared" si="62"/>
        <v>0</v>
      </c>
      <c r="BC68" s="537">
        <f t="shared" si="63"/>
        <v>0</v>
      </c>
      <c r="BD68" s="374"/>
      <c r="BE68" s="374"/>
    </row>
    <row r="69" s="508" customFormat="1" ht="20.15" customHeight="1" spans="1:57">
      <c r="A69" s="523"/>
      <c r="B69" s="524"/>
      <c r="C69" s="525" t="s">
        <v>129</v>
      </c>
      <c r="D69" s="526">
        <v>205</v>
      </c>
      <c r="E69" s="527">
        <f>SUM(E70:E119)</f>
        <v>1914.3364</v>
      </c>
      <c r="F69" s="527">
        <f t="shared" ref="F69:AK69" si="67">SUM(F70:F119)</f>
        <v>0</v>
      </c>
      <c r="G69" s="527">
        <f t="shared" si="67"/>
        <v>0</v>
      </c>
      <c r="H69" s="527">
        <f t="shared" si="67"/>
        <v>0</v>
      </c>
      <c r="I69" s="527">
        <f t="shared" si="67"/>
        <v>0</v>
      </c>
      <c r="J69" s="527">
        <f t="shared" si="67"/>
        <v>0</v>
      </c>
      <c r="K69" s="527">
        <f t="shared" si="67"/>
        <v>500.64</v>
      </c>
      <c r="L69" s="527">
        <f t="shared" si="67"/>
        <v>0</v>
      </c>
      <c r="M69" s="527">
        <f t="shared" si="67"/>
        <v>0</v>
      </c>
      <c r="N69" s="527">
        <f t="shared" si="67"/>
        <v>0</v>
      </c>
      <c r="O69" s="527">
        <f t="shared" si="67"/>
        <v>0</v>
      </c>
      <c r="P69" s="527">
        <f t="shared" si="67"/>
        <v>760.0264</v>
      </c>
      <c r="Q69" s="527">
        <f t="shared" si="67"/>
        <v>653.67</v>
      </c>
      <c r="R69" s="527">
        <f t="shared" si="67"/>
        <v>0</v>
      </c>
      <c r="S69" s="527">
        <f t="shared" si="67"/>
        <v>0</v>
      </c>
      <c r="T69" s="527">
        <f t="shared" si="67"/>
        <v>0</v>
      </c>
      <c r="U69" s="527">
        <f t="shared" si="67"/>
        <v>0</v>
      </c>
      <c r="V69" s="527">
        <f t="shared" si="67"/>
        <v>327.173</v>
      </c>
      <c r="W69" s="527">
        <f t="shared" si="67"/>
        <v>0</v>
      </c>
      <c r="X69" s="527">
        <f t="shared" si="67"/>
        <v>0</v>
      </c>
      <c r="Y69" s="527">
        <f t="shared" si="67"/>
        <v>0</v>
      </c>
      <c r="Z69" s="527">
        <f t="shared" si="67"/>
        <v>0</v>
      </c>
      <c r="AA69" s="527">
        <f t="shared" si="67"/>
        <v>0</v>
      </c>
      <c r="AB69" s="527">
        <f t="shared" si="67"/>
        <v>146.19</v>
      </c>
      <c r="AC69" s="527">
        <f t="shared" si="67"/>
        <v>0</v>
      </c>
      <c r="AD69" s="527">
        <f t="shared" si="67"/>
        <v>0</v>
      </c>
      <c r="AE69" s="527">
        <f t="shared" si="67"/>
        <v>0</v>
      </c>
      <c r="AF69" s="527">
        <f t="shared" si="67"/>
        <v>1.62</v>
      </c>
      <c r="AG69" s="527">
        <f t="shared" si="67"/>
        <v>-18.507</v>
      </c>
      <c r="AH69" s="527">
        <f t="shared" si="67"/>
        <v>134.59</v>
      </c>
      <c r="AI69" s="527">
        <f t="shared" si="67"/>
        <v>0</v>
      </c>
      <c r="AJ69" s="527">
        <f t="shared" si="67"/>
        <v>0</v>
      </c>
      <c r="AK69" s="527">
        <f t="shared" si="67"/>
        <v>0</v>
      </c>
      <c r="AL69" s="527">
        <f t="shared" ref="AL69:BC69" si="68">SUM(AL70:AL119)</f>
        <v>63.28</v>
      </c>
      <c r="AM69" s="527">
        <f t="shared" si="68"/>
        <v>2241.5094</v>
      </c>
      <c r="AN69" s="527">
        <f t="shared" si="68"/>
        <v>0</v>
      </c>
      <c r="AO69" s="527">
        <f t="shared" si="68"/>
        <v>0</v>
      </c>
      <c r="AP69" s="527">
        <f t="shared" si="68"/>
        <v>0</v>
      </c>
      <c r="AQ69" s="527">
        <f t="shared" si="68"/>
        <v>0</v>
      </c>
      <c r="AR69" s="527">
        <f t="shared" si="68"/>
        <v>0</v>
      </c>
      <c r="AS69" s="527">
        <f t="shared" si="68"/>
        <v>646.83</v>
      </c>
      <c r="AT69" s="527">
        <f t="shared" si="68"/>
        <v>0</v>
      </c>
      <c r="AU69" s="527">
        <f t="shared" si="68"/>
        <v>0</v>
      </c>
      <c r="AV69" s="527">
        <f t="shared" si="68"/>
        <v>0</v>
      </c>
      <c r="AW69" s="527">
        <f t="shared" si="68"/>
        <v>1.62</v>
      </c>
      <c r="AX69" s="527">
        <f t="shared" si="68"/>
        <v>741.5194</v>
      </c>
      <c r="AY69" s="527">
        <f t="shared" si="68"/>
        <v>788.26</v>
      </c>
      <c r="AZ69" s="527">
        <f t="shared" si="68"/>
        <v>0</v>
      </c>
      <c r="BA69" s="527">
        <f t="shared" si="68"/>
        <v>0</v>
      </c>
      <c r="BB69" s="527">
        <f t="shared" si="68"/>
        <v>0</v>
      </c>
      <c r="BC69" s="527">
        <f t="shared" si="68"/>
        <v>63.28</v>
      </c>
      <c r="BD69" s="332"/>
      <c r="BE69" s="332"/>
    </row>
    <row r="70" ht="36" spans="1:57">
      <c r="A70" s="528" t="s">
        <v>202</v>
      </c>
      <c r="B70" s="528" t="s">
        <v>203</v>
      </c>
      <c r="C70" s="528" t="s">
        <v>398</v>
      </c>
      <c r="D70" s="528" t="s">
        <v>399</v>
      </c>
      <c r="E70" s="529">
        <f t="shared" ref="E70:E119" si="69">SUM(F70:U70)</f>
        <v>668.26</v>
      </c>
      <c r="F70" s="530"/>
      <c r="G70" s="530"/>
      <c r="H70" s="530"/>
      <c r="I70" s="530"/>
      <c r="J70" s="530"/>
      <c r="K70" s="530">
        <v>12.72</v>
      </c>
      <c r="L70" s="530"/>
      <c r="M70" s="530"/>
      <c r="N70" s="530"/>
      <c r="O70" s="530"/>
      <c r="P70" s="530">
        <v>1.99</v>
      </c>
      <c r="Q70" s="530">
        <v>653.55</v>
      </c>
      <c r="R70" s="530"/>
      <c r="S70" s="530"/>
      <c r="T70" s="530"/>
      <c r="U70" s="530"/>
      <c r="V70" s="529">
        <f t="shared" ref="V70:V119" si="70">SUM(W70:AL70)</f>
        <v>136.53</v>
      </c>
      <c r="W70" s="530"/>
      <c r="X70" s="530"/>
      <c r="Y70" s="530"/>
      <c r="Z70" s="530"/>
      <c r="AA70" s="530"/>
      <c r="AB70" s="530">
        <v>0.319999999999999</v>
      </c>
      <c r="AC70" s="530"/>
      <c r="AD70" s="530"/>
      <c r="AE70" s="530"/>
      <c r="AF70" s="530">
        <v>1.62</v>
      </c>
      <c r="AG70" s="530"/>
      <c r="AH70" s="530">
        <f>2.64+131.95</f>
        <v>134.59</v>
      </c>
      <c r="AI70" s="530"/>
      <c r="AJ70" s="530"/>
      <c r="AK70" s="530"/>
      <c r="AL70" s="530"/>
      <c r="AM70" s="529">
        <f t="shared" ref="AM70:AM119" si="71">SUM(AN70:BC70)</f>
        <v>804.79</v>
      </c>
      <c r="AN70" s="537">
        <f t="shared" ref="AN70:BC70" si="72">F70+W70</f>
        <v>0</v>
      </c>
      <c r="AO70" s="537">
        <f t="shared" si="72"/>
        <v>0</v>
      </c>
      <c r="AP70" s="537">
        <f t="shared" si="72"/>
        <v>0</v>
      </c>
      <c r="AQ70" s="537">
        <f t="shared" si="72"/>
        <v>0</v>
      </c>
      <c r="AR70" s="537">
        <f t="shared" si="72"/>
        <v>0</v>
      </c>
      <c r="AS70" s="537">
        <f t="shared" si="72"/>
        <v>13.04</v>
      </c>
      <c r="AT70" s="537">
        <f t="shared" si="72"/>
        <v>0</v>
      </c>
      <c r="AU70" s="537">
        <f t="shared" si="72"/>
        <v>0</v>
      </c>
      <c r="AV70" s="537">
        <f t="shared" si="72"/>
        <v>0</v>
      </c>
      <c r="AW70" s="537">
        <f t="shared" si="72"/>
        <v>1.62</v>
      </c>
      <c r="AX70" s="537">
        <f t="shared" si="72"/>
        <v>1.99</v>
      </c>
      <c r="AY70" s="537">
        <f t="shared" si="72"/>
        <v>788.14</v>
      </c>
      <c r="AZ70" s="537">
        <f t="shared" si="72"/>
        <v>0</v>
      </c>
      <c r="BA70" s="537">
        <f t="shared" si="72"/>
        <v>0</v>
      </c>
      <c r="BB70" s="537">
        <f t="shared" si="72"/>
        <v>0</v>
      </c>
      <c r="BC70" s="537">
        <f t="shared" si="72"/>
        <v>0</v>
      </c>
      <c r="BD70" s="374" t="s">
        <v>762</v>
      </c>
      <c r="BE70" s="374" t="s">
        <v>763</v>
      </c>
    </row>
    <row r="71" ht="24" spans="1:57">
      <c r="A71" s="528" t="s">
        <v>202</v>
      </c>
      <c r="B71" s="528" t="s">
        <v>400</v>
      </c>
      <c r="C71" s="528" t="s">
        <v>401</v>
      </c>
      <c r="D71" s="528" t="s">
        <v>402</v>
      </c>
      <c r="E71" s="529">
        <f t="shared" si="69"/>
        <v>41.47</v>
      </c>
      <c r="F71" s="530"/>
      <c r="G71" s="530"/>
      <c r="H71" s="530"/>
      <c r="I71" s="530"/>
      <c r="J71" s="530"/>
      <c r="K71" s="530">
        <v>22.8</v>
      </c>
      <c r="L71" s="530"/>
      <c r="M71" s="530"/>
      <c r="N71" s="530"/>
      <c r="O71" s="530"/>
      <c r="P71" s="530">
        <v>18.55</v>
      </c>
      <c r="Q71" s="530">
        <v>0.12</v>
      </c>
      <c r="R71" s="530"/>
      <c r="S71" s="530"/>
      <c r="T71" s="530"/>
      <c r="U71" s="530"/>
      <c r="V71" s="529">
        <f t="shared" si="70"/>
        <v>20.81</v>
      </c>
      <c r="W71" s="530"/>
      <c r="X71" s="530"/>
      <c r="Y71" s="530"/>
      <c r="Z71" s="530"/>
      <c r="AA71" s="530"/>
      <c r="AB71" s="530">
        <v>6.7</v>
      </c>
      <c r="AC71" s="530"/>
      <c r="AD71" s="530"/>
      <c r="AE71" s="530"/>
      <c r="AF71" s="530"/>
      <c r="AG71" s="530">
        <v>0.42</v>
      </c>
      <c r="AH71" s="530"/>
      <c r="AI71" s="530"/>
      <c r="AJ71" s="530"/>
      <c r="AK71" s="530"/>
      <c r="AL71" s="530">
        <v>13.69</v>
      </c>
      <c r="AM71" s="529">
        <f t="shared" si="71"/>
        <v>62.28</v>
      </c>
      <c r="AN71" s="537">
        <f t="shared" ref="AN71:BC71" si="73">F71+W71</f>
        <v>0</v>
      </c>
      <c r="AO71" s="537">
        <f t="shared" si="73"/>
        <v>0</v>
      </c>
      <c r="AP71" s="537">
        <f t="shared" si="73"/>
        <v>0</v>
      </c>
      <c r="AQ71" s="537">
        <f t="shared" si="73"/>
        <v>0</v>
      </c>
      <c r="AR71" s="537">
        <f t="shared" si="73"/>
        <v>0</v>
      </c>
      <c r="AS71" s="537">
        <f t="shared" si="73"/>
        <v>29.5</v>
      </c>
      <c r="AT71" s="537">
        <f t="shared" si="73"/>
        <v>0</v>
      </c>
      <c r="AU71" s="537">
        <f t="shared" si="73"/>
        <v>0</v>
      </c>
      <c r="AV71" s="537">
        <f t="shared" si="73"/>
        <v>0</v>
      </c>
      <c r="AW71" s="537">
        <f t="shared" si="73"/>
        <v>0</v>
      </c>
      <c r="AX71" s="537">
        <f t="shared" si="73"/>
        <v>18.97</v>
      </c>
      <c r="AY71" s="537">
        <f t="shared" si="73"/>
        <v>0.12</v>
      </c>
      <c r="AZ71" s="537">
        <f t="shared" si="73"/>
        <v>0</v>
      </c>
      <c r="BA71" s="537">
        <f t="shared" si="73"/>
        <v>0</v>
      </c>
      <c r="BB71" s="537">
        <f t="shared" si="73"/>
        <v>0</v>
      </c>
      <c r="BC71" s="537">
        <f t="shared" si="73"/>
        <v>13.69</v>
      </c>
      <c r="BD71" s="374"/>
      <c r="BE71" s="374" t="s">
        <v>764</v>
      </c>
    </row>
    <row r="72" ht="24" spans="1:57">
      <c r="A72" s="528" t="s">
        <v>202</v>
      </c>
      <c r="B72" s="528" t="s">
        <v>400</v>
      </c>
      <c r="C72" s="528" t="s">
        <v>403</v>
      </c>
      <c r="D72" s="528" t="s">
        <v>402</v>
      </c>
      <c r="E72" s="529">
        <f t="shared" si="69"/>
        <v>16.99</v>
      </c>
      <c r="F72" s="530"/>
      <c r="G72" s="530"/>
      <c r="H72" s="530"/>
      <c r="I72" s="530"/>
      <c r="J72" s="530"/>
      <c r="K72" s="530">
        <v>7.2</v>
      </c>
      <c r="L72" s="530"/>
      <c r="M72" s="530"/>
      <c r="N72" s="530"/>
      <c r="O72" s="530"/>
      <c r="P72" s="530">
        <v>9.79</v>
      </c>
      <c r="Q72" s="530"/>
      <c r="R72" s="530"/>
      <c r="S72" s="530"/>
      <c r="T72" s="530"/>
      <c r="U72" s="530"/>
      <c r="V72" s="529">
        <f t="shared" si="70"/>
        <v>18.2</v>
      </c>
      <c r="W72" s="530"/>
      <c r="X72" s="530"/>
      <c r="Y72" s="530"/>
      <c r="Z72" s="530"/>
      <c r="AA72" s="530"/>
      <c r="AB72" s="530">
        <v>3</v>
      </c>
      <c r="AC72" s="530"/>
      <c r="AD72" s="530"/>
      <c r="AE72" s="530"/>
      <c r="AF72" s="530"/>
      <c r="AG72" s="530">
        <v>-0.33</v>
      </c>
      <c r="AH72" s="530"/>
      <c r="AI72" s="530"/>
      <c r="AJ72" s="530"/>
      <c r="AK72" s="530"/>
      <c r="AL72" s="530">
        <v>15.53</v>
      </c>
      <c r="AM72" s="529">
        <f t="shared" si="71"/>
        <v>35.19</v>
      </c>
      <c r="AN72" s="537">
        <f t="shared" ref="AN72:BC72" si="74">F72+W72</f>
        <v>0</v>
      </c>
      <c r="AO72" s="537">
        <f t="shared" si="74"/>
        <v>0</v>
      </c>
      <c r="AP72" s="537">
        <f t="shared" si="74"/>
        <v>0</v>
      </c>
      <c r="AQ72" s="537">
        <f t="shared" si="74"/>
        <v>0</v>
      </c>
      <c r="AR72" s="537">
        <f t="shared" si="74"/>
        <v>0</v>
      </c>
      <c r="AS72" s="537">
        <f t="shared" si="74"/>
        <v>10.2</v>
      </c>
      <c r="AT72" s="537">
        <f t="shared" si="74"/>
        <v>0</v>
      </c>
      <c r="AU72" s="537">
        <f t="shared" si="74"/>
        <v>0</v>
      </c>
      <c r="AV72" s="537">
        <f t="shared" si="74"/>
        <v>0</v>
      </c>
      <c r="AW72" s="537">
        <f t="shared" si="74"/>
        <v>0</v>
      </c>
      <c r="AX72" s="537">
        <f t="shared" si="74"/>
        <v>9.46</v>
      </c>
      <c r="AY72" s="537">
        <f t="shared" si="74"/>
        <v>0</v>
      </c>
      <c r="AZ72" s="537">
        <f t="shared" si="74"/>
        <v>0</v>
      </c>
      <c r="BA72" s="537">
        <f t="shared" si="74"/>
        <v>0</v>
      </c>
      <c r="BB72" s="537">
        <f t="shared" si="74"/>
        <v>0</v>
      </c>
      <c r="BC72" s="537">
        <f t="shared" si="74"/>
        <v>15.53</v>
      </c>
      <c r="BD72" s="374"/>
      <c r="BE72" s="374"/>
    </row>
    <row r="73" ht="24" spans="1:57">
      <c r="A73" s="528" t="s">
        <v>202</v>
      </c>
      <c r="B73" s="528" t="s">
        <v>404</v>
      </c>
      <c r="C73" s="528" t="s">
        <v>405</v>
      </c>
      <c r="D73" s="528" t="s">
        <v>406</v>
      </c>
      <c r="E73" s="529">
        <f t="shared" si="69"/>
        <v>15.06</v>
      </c>
      <c r="F73" s="530"/>
      <c r="G73" s="530"/>
      <c r="H73" s="530"/>
      <c r="I73" s="530"/>
      <c r="J73" s="530"/>
      <c r="K73" s="530">
        <v>10.08</v>
      </c>
      <c r="L73" s="530"/>
      <c r="M73" s="530"/>
      <c r="N73" s="530"/>
      <c r="O73" s="530"/>
      <c r="P73" s="530">
        <v>4.98</v>
      </c>
      <c r="Q73" s="530"/>
      <c r="R73" s="530"/>
      <c r="S73" s="530"/>
      <c r="T73" s="530"/>
      <c r="U73" s="530"/>
      <c r="V73" s="529">
        <f t="shared" si="70"/>
        <v>3.15</v>
      </c>
      <c r="W73" s="530"/>
      <c r="X73" s="530"/>
      <c r="Y73" s="530"/>
      <c r="Z73" s="530"/>
      <c r="AA73" s="530"/>
      <c r="AB73" s="530">
        <v>3.15</v>
      </c>
      <c r="AC73" s="530"/>
      <c r="AD73" s="530"/>
      <c r="AE73" s="530"/>
      <c r="AF73" s="530"/>
      <c r="AG73" s="530"/>
      <c r="AH73" s="530"/>
      <c r="AI73" s="530"/>
      <c r="AJ73" s="530"/>
      <c r="AK73" s="530"/>
      <c r="AL73" s="530"/>
      <c r="AM73" s="529">
        <f t="shared" si="71"/>
        <v>18.21</v>
      </c>
      <c r="AN73" s="537">
        <f t="shared" ref="AN73:BC73" si="75">F73+W73</f>
        <v>0</v>
      </c>
      <c r="AO73" s="537">
        <f t="shared" si="75"/>
        <v>0</v>
      </c>
      <c r="AP73" s="537">
        <f t="shared" si="75"/>
        <v>0</v>
      </c>
      <c r="AQ73" s="537">
        <f t="shared" si="75"/>
        <v>0</v>
      </c>
      <c r="AR73" s="537">
        <f t="shared" si="75"/>
        <v>0</v>
      </c>
      <c r="AS73" s="537">
        <f t="shared" si="75"/>
        <v>13.23</v>
      </c>
      <c r="AT73" s="537">
        <f t="shared" si="75"/>
        <v>0</v>
      </c>
      <c r="AU73" s="537">
        <f t="shared" si="75"/>
        <v>0</v>
      </c>
      <c r="AV73" s="537">
        <f t="shared" si="75"/>
        <v>0</v>
      </c>
      <c r="AW73" s="537">
        <f t="shared" si="75"/>
        <v>0</v>
      </c>
      <c r="AX73" s="537">
        <f t="shared" si="75"/>
        <v>4.98</v>
      </c>
      <c r="AY73" s="537">
        <f t="shared" si="75"/>
        <v>0</v>
      </c>
      <c r="AZ73" s="537">
        <f t="shared" si="75"/>
        <v>0</v>
      </c>
      <c r="BA73" s="537">
        <f t="shared" si="75"/>
        <v>0</v>
      </c>
      <c r="BB73" s="537">
        <f t="shared" si="75"/>
        <v>0</v>
      </c>
      <c r="BC73" s="537">
        <f t="shared" si="75"/>
        <v>0</v>
      </c>
      <c r="BD73" s="374"/>
      <c r="BE73" s="374"/>
    </row>
    <row r="74" ht="24" spans="1:57">
      <c r="A74" s="528" t="s">
        <v>202</v>
      </c>
      <c r="B74" s="528" t="s">
        <v>404</v>
      </c>
      <c r="C74" s="528" t="s">
        <v>407</v>
      </c>
      <c r="D74" s="528" t="s">
        <v>406</v>
      </c>
      <c r="E74" s="529">
        <f t="shared" si="69"/>
        <v>4.08</v>
      </c>
      <c r="F74" s="530"/>
      <c r="G74" s="530"/>
      <c r="H74" s="530"/>
      <c r="I74" s="530"/>
      <c r="J74" s="530"/>
      <c r="K74" s="530">
        <v>4.08</v>
      </c>
      <c r="L74" s="530"/>
      <c r="M74" s="530"/>
      <c r="N74" s="530"/>
      <c r="O74" s="530"/>
      <c r="P74" s="530"/>
      <c r="Q74" s="530"/>
      <c r="R74" s="530"/>
      <c r="S74" s="530"/>
      <c r="T74" s="530"/>
      <c r="U74" s="530"/>
      <c r="V74" s="529">
        <f t="shared" si="70"/>
        <v>2.4</v>
      </c>
      <c r="W74" s="530"/>
      <c r="X74" s="530"/>
      <c r="Y74" s="530"/>
      <c r="Z74" s="530"/>
      <c r="AA74" s="530"/>
      <c r="AB74" s="530">
        <v>2.4</v>
      </c>
      <c r="AC74" s="530"/>
      <c r="AD74" s="530"/>
      <c r="AE74" s="530"/>
      <c r="AF74" s="530"/>
      <c r="AG74" s="530"/>
      <c r="AH74" s="530"/>
      <c r="AI74" s="530"/>
      <c r="AJ74" s="530"/>
      <c r="AK74" s="530"/>
      <c r="AL74" s="530"/>
      <c r="AM74" s="529">
        <f t="shared" si="71"/>
        <v>6.48</v>
      </c>
      <c r="AN74" s="537">
        <f t="shared" ref="AN74:BC74" si="76">F74+W74</f>
        <v>0</v>
      </c>
      <c r="AO74" s="537">
        <f t="shared" si="76"/>
        <v>0</v>
      </c>
      <c r="AP74" s="537">
        <f t="shared" si="76"/>
        <v>0</v>
      </c>
      <c r="AQ74" s="537">
        <f t="shared" si="76"/>
        <v>0</v>
      </c>
      <c r="AR74" s="537">
        <f t="shared" si="76"/>
        <v>0</v>
      </c>
      <c r="AS74" s="537">
        <f t="shared" si="76"/>
        <v>6.48</v>
      </c>
      <c r="AT74" s="537">
        <f t="shared" si="76"/>
        <v>0</v>
      </c>
      <c r="AU74" s="537">
        <f t="shared" si="76"/>
        <v>0</v>
      </c>
      <c r="AV74" s="537">
        <f t="shared" si="76"/>
        <v>0</v>
      </c>
      <c r="AW74" s="537">
        <f t="shared" si="76"/>
        <v>0</v>
      </c>
      <c r="AX74" s="537">
        <f t="shared" si="76"/>
        <v>0</v>
      </c>
      <c r="AY74" s="537">
        <f t="shared" si="76"/>
        <v>0</v>
      </c>
      <c r="AZ74" s="537">
        <f t="shared" si="76"/>
        <v>0</v>
      </c>
      <c r="BA74" s="537">
        <f t="shared" si="76"/>
        <v>0</v>
      </c>
      <c r="BB74" s="537">
        <f t="shared" si="76"/>
        <v>0</v>
      </c>
      <c r="BC74" s="537">
        <f t="shared" si="76"/>
        <v>0</v>
      </c>
      <c r="BD74" s="374"/>
      <c r="BE74" s="374"/>
    </row>
    <row r="75" ht="24" spans="1:57">
      <c r="A75" s="528" t="s">
        <v>202</v>
      </c>
      <c r="B75" s="528" t="s">
        <v>206</v>
      </c>
      <c r="C75" s="528" t="s">
        <v>408</v>
      </c>
      <c r="D75" s="528" t="s">
        <v>409</v>
      </c>
      <c r="E75" s="529">
        <f t="shared" si="69"/>
        <v>17.09</v>
      </c>
      <c r="F75" s="530"/>
      <c r="G75" s="530"/>
      <c r="H75" s="530"/>
      <c r="I75" s="530"/>
      <c r="J75" s="530"/>
      <c r="K75" s="530">
        <v>9.12</v>
      </c>
      <c r="L75" s="530"/>
      <c r="M75" s="530"/>
      <c r="N75" s="530"/>
      <c r="O75" s="530"/>
      <c r="P75" s="530">
        <v>7.97</v>
      </c>
      <c r="Q75" s="530"/>
      <c r="R75" s="530"/>
      <c r="S75" s="530"/>
      <c r="T75" s="530"/>
      <c r="U75" s="530"/>
      <c r="V75" s="529">
        <f t="shared" si="70"/>
        <v>3.81</v>
      </c>
      <c r="W75" s="530"/>
      <c r="X75" s="530"/>
      <c r="Y75" s="530"/>
      <c r="Z75" s="530"/>
      <c r="AA75" s="530"/>
      <c r="AB75" s="530">
        <v>3.81</v>
      </c>
      <c r="AC75" s="530"/>
      <c r="AD75" s="530"/>
      <c r="AE75" s="530"/>
      <c r="AF75" s="530"/>
      <c r="AG75" s="530"/>
      <c r="AH75" s="530"/>
      <c r="AI75" s="530"/>
      <c r="AJ75" s="530"/>
      <c r="AK75" s="530"/>
      <c r="AL75" s="530"/>
      <c r="AM75" s="529">
        <f t="shared" si="71"/>
        <v>20.9</v>
      </c>
      <c r="AN75" s="537">
        <f t="shared" ref="AN75:BC75" si="77">F75+W75</f>
        <v>0</v>
      </c>
      <c r="AO75" s="537">
        <f t="shared" si="77"/>
        <v>0</v>
      </c>
      <c r="AP75" s="537">
        <f t="shared" si="77"/>
        <v>0</v>
      </c>
      <c r="AQ75" s="537">
        <f t="shared" si="77"/>
        <v>0</v>
      </c>
      <c r="AR75" s="537">
        <f t="shared" si="77"/>
        <v>0</v>
      </c>
      <c r="AS75" s="537">
        <f t="shared" si="77"/>
        <v>12.93</v>
      </c>
      <c r="AT75" s="537">
        <f t="shared" si="77"/>
        <v>0</v>
      </c>
      <c r="AU75" s="537">
        <f t="shared" si="77"/>
        <v>0</v>
      </c>
      <c r="AV75" s="537">
        <f t="shared" si="77"/>
        <v>0</v>
      </c>
      <c r="AW75" s="537">
        <f t="shared" si="77"/>
        <v>0</v>
      </c>
      <c r="AX75" s="537">
        <f t="shared" si="77"/>
        <v>7.97</v>
      </c>
      <c r="AY75" s="537">
        <f t="shared" si="77"/>
        <v>0</v>
      </c>
      <c r="AZ75" s="537">
        <f t="shared" si="77"/>
        <v>0</v>
      </c>
      <c r="BA75" s="537">
        <f t="shared" si="77"/>
        <v>0</v>
      </c>
      <c r="BB75" s="537">
        <f t="shared" si="77"/>
        <v>0</v>
      </c>
      <c r="BC75" s="537">
        <f t="shared" si="77"/>
        <v>0</v>
      </c>
      <c r="BD75" s="374"/>
      <c r="BE75" s="374"/>
    </row>
    <row r="76" ht="24" spans="1:57">
      <c r="A76" s="528" t="s">
        <v>202</v>
      </c>
      <c r="B76" s="528" t="s">
        <v>400</v>
      </c>
      <c r="C76" s="528" t="s">
        <v>410</v>
      </c>
      <c r="D76" s="528" t="s">
        <v>411</v>
      </c>
      <c r="E76" s="529">
        <f t="shared" si="69"/>
        <v>2.2</v>
      </c>
      <c r="F76" s="530"/>
      <c r="G76" s="530"/>
      <c r="H76" s="530"/>
      <c r="I76" s="530"/>
      <c r="J76" s="530"/>
      <c r="K76" s="530">
        <v>1.2</v>
      </c>
      <c r="L76" s="530"/>
      <c r="M76" s="530"/>
      <c r="N76" s="530"/>
      <c r="O76" s="530"/>
      <c r="P76" s="530">
        <v>1</v>
      </c>
      <c r="Q76" s="530"/>
      <c r="R76" s="530"/>
      <c r="S76" s="530"/>
      <c r="T76" s="530"/>
      <c r="U76" s="530"/>
      <c r="V76" s="529">
        <f t="shared" si="70"/>
        <v>0.3</v>
      </c>
      <c r="W76" s="530"/>
      <c r="X76" s="530"/>
      <c r="Y76" s="530"/>
      <c r="Z76" s="530"/>
      <c r="AA76" s="530"/>
      <c r="AB76" s="530">
        <v>0.3</v>
      </c>
      <c r="AC76" s="530"/>
      <c r="AD76" s="530"/>
      <c r="AE76" s="530"/>
      <c r="AF76" s="530"/>
      <c r="AG76" s="530"/>
      <c r="AH76" s="530"/>
      <c r="AI76" s="530"/>
      <c r="AJ76" s="530"/>
      <c r="AK76" s="530"/>
      <c r="AL76" s="530"/>
      <c r="AM76" s="529">
        <f t="shared" si="71"/>
        <v>2.5</v>
      </c>
      <c r="AN76" s="537">
        <f t="shared" ref="AN76:BC76" si="78">F76+W76</f>
        <v>0</v>
      </c>
      <c r="AO76" s="537">
        <f t="shared" si="78"/>
        <v>0</v>
      </c>
      <c r="AP76" s="537">
        <f t="shared" si="78"/>
        <v>0</v>
      </c>
      <c r="AQ76" s="537">
        <f t="shared" si="78"/>
        <v>0</v>
      </c>
      <c r="AR76" s="537">
        <f t="shared" si="78"/>
        <v>0</v>
      </c>
      <c r="AS76" s="537">
        <f t="shared" si="78"/>
        <v>1.5</v>
      </c>
      <c r="AT76" s="537">
        <f t="shared" si="78"/>
        <v>0</v>
      </c>
      <c r="AU76" s="537">
        <f t="shared" si="78"/>
        <v>0</v>
      </c>
      <c r="AV76" s="537">
        <f t="shared" si="78"/>
        <v>0</v>
      </c>
      <c r="AW76" s="537">
        <f t="shared" si="78"/>
        <v>0</v>
      </c>
      <c r="AX76" s="537">
        <f t="shared" si="78"/>
        <v>1</v>
      </c>
      <c r="AY76" s="537">
        <f t="shared" si="78"/>
        <v>0</v>
      </c>
      <c r="AZ76" s="537">
        <f t="shared" si="78"/>
        <v>0</v>
      </c>
      <c r="BA76" s="537">
        <f t="shared" si="78"/>
        <v>0</v>
      </c>
      <c r="BB76" s="537">
        <f t="shared" si="78"/>
        <v>0</v>
      </c>
      <c r="BC76" s="537">
        <f t="shared" si="78"/>
        <v>0</v>
      </c>
      <c r="BD76" s="374"/>
      <c r="BE76" s="374"/>
    </row>
    <row r="77" ht="24" spans="1:57">
      <c r="A77" s="528" t="s">
        <v>202</v>
      </c>
      <c r="B77" s="528" t="s">
        <v>404</v>
      </c>
      <c r="C77" s="528" t="s">
        <v>412</v>
      </c>
      <c r="D77" s="528" t="s">
        <v>406</v>
      </c>
      <c r="E77" s="529">
        <f t="shared" si="69"/>
        <v>24.4896</v>
      </c>
      <c r="F77" s="530"/>
      <c r="G77" s="530"/>
      <c r="H77" s="530"/>
      <c r="I77" s="530"/>
      <c r="J77" s="530"/>
      <c r="K77" s="530">
        <v>6.96</v>
      </c>
      <c r="L77" s="530"/>
      <c r="M77" s="530"/>
      <c r="N77" s="530"/>
      <c r="O77" s="530"/>
      <c r="P77" s="530">
        <v>17.5296</v>
      </c>
      <c r="Q77" s="530"/>
      <c r="R77" s="530"/>
      <c r="S77" s="530"/>
      <c r="T77" s="530"/>
      <c r="U77" s="530"/>
      <c r="V77" s="529">
        <f t="shared" si="70"/>
        <v>2.64</v>
      </c>
      <c r="W77" s="530"/>
      <c r="X77" s="530"/>
      <c r="Y77" s="530"/>
      <c r="Z77" s="530"/>
      <c r="AA77" s="530"/>
      <c r="AB77" s="530">
        <v>1.64</v>
      </c>
      <c r="AC77" s="530"/>
      <c r="AD77" s="530"/>
      <c r="AE77" s="530"/>
      <c r="AF77" s="530"/>
      <c r="AG77" s="530">
        <v>1</v>
      </c>
      <c r="AH77" s="530"/>
      <c r="AI77" s="530"/>
      <c r="AJ77" s="530"/>
      <c r="AK77" s="530"/>
      <c r="AL77" s="530"/>
      <c r="AM77" s="529">
        <f t="shared" si="71"/>
        <v>27.1296</v>
      </c>
      <c r="AN77" s="537">
        <f t="shared" ref="AN77:BC77" si="79">F77+W77</f>
        <v>0</v>
      </c>
      <c r="AO77" s="537">
        <f t="shared" si="79"/>
        <v>0</v>
      </c>
      <c r="AP77" s="537">
        <f t="shared" si="79"/>
        <v>0</v>
      </c>
      <c r="AQ77" s="537">
        <f t="shared" si="79"/>
        <v>0</v>
      </c>
      <c r="AR77" s="537">
        <f t="shared" si="79"/>
        <v>0</v>
      </c>
      <c r="AS77" s="537">
        <f t="shared" si="79"/>
        <v>8.6</v>
      </c>
      <c r="AT77" s="537">
        <f t="shared" si="79"/>
        <v>0</v>
      </c>
      <c r="AU77" s="537">
        <f t="shared" si="79"/>
        <v>0</v>
      </c>
      <c r="AV77" s="537">
        <f t="shared" si="79"/>
        <v>0</v>
      </c>
      <c r="AW77" s="537">
        <f t="shared" si="79"/>
        <v>0</v>
      </c>
      <c r="AX77" s="537">
        <f t="shared" si="79"/>
        <v>18.5296</v>
      </c>
      <c r="AY77" s="537">
        <f t="shared" si="79"/>
        <v>0</v>
      </c>
      <c r="AZ77" s="537">
        <f t="shared" si="79"/>
        <v>0</v>
      </c>
      <c r="BA77" s="537">
        <f t="shared" si="79"/>
        <v>0</v>
      </c>
      <c r="BB77" s="537">
        <f t="shared" si="79"/>
        <v>0</v>
      </c>
      <c r="BC77" s="537">
        <f t="shared" si="79"/>
        <v>0</v>
      </c>
      <c r="BD77" s="374"/>
      <c r="BE77" s="374"/>
    </row>
    <row r="78" ht="24" spans="1:57">
      <c r="A78" s="528" t="s">
        <v>202</v>
      </c>
      <c r="B78" s="528" t="s">
        <v>400</v>
      </c>
      <c r="C78" s="528" t="s">
        <v>413</v>
      </c>
      <c r="D78" s="528" t="s">
        <v>414</v>
      </c>
      <c r="E78" s="529">
        <f t="shared" si="69"/>
        <v>7.2</v>
      </c>
      <c r="F78" s="530"/>
      <c r="G78" s="530"/>
      <c r="H78" s="530"/>
      <c r="I78" s="530"/>
      <c r="J78" s="530"/>
      <c r="K78" s="530">
        <v>7.2</v>
      </c>
      <c r="L78" s="530"/>
      <c r="M78" s="530"/>
      <c r="N78" s="530"/>
      <c r="O78" s="530"/>
      <c r="P78" s="530"/>
      <c r="Q78" s="530"/>
      <c r="R78" s="530"/>
      <c r="S78" s="530"/>
      <c r="T78" s="530"/>
      <c r="U78" s="530"/>
      <c r="V78" s="529">
        <f t="shared" si="70"/>
        <v>2.8</v>
      </c>
      <c r="W78" s="530"/>
      <c r="X78" s="530"/>
      <c r="Y78" s="530"/>
      <c r="Z78" s="530"/>
      <c r="AA78" s="530"/>
      <c r="AB78" s="530">
        <v>2.8</v>
      </c>
      <c r="AC78" s="530"/>
      <c r="AD78" s="530"/>
      <c r="AE78" s="530"/>
      <c r="AF78" s="530"/>
      <c r="AG78" s="530"/>
      <c r="AH78" s="530"/>
      <c r="AI78" s="530"/>
      <c r="AJ78" s="530"/>
      <c r="AK78" s="530"/>
      <c r="AL78" s="530"/>
      <c r="AM78" s="529">
        <f t="shared" si="71"/>
        <v>10</v>
      </c>
      <c r="AN78" s="537">
        <f t="shared" ref="AN78:BC78" si="80">F78+W78</f>
        <v>0</v>
      </c>
      <c r="AO78" s="537">
        <f t="shared" si="80"/>
        <v>0</v>
      </c>
      <c r="AP78" s="537">
        <f t="shared" si="80"/>
        <v>0</v>
      </c>
      <c r="AQ78" s="537">
        <f t="shared" si="80"/>
        <v>0</v>
      </c>
      <c r="AR78" s="537">
        <f t="shared" si="80"/>
        <v>0</v>
      </c>
      <c r="AS78" s="537">
        <f t="shared" si="80"/>
        <v>10</v>
      </c>
      <c r="AT78" s="537">
        <f t="shared" si="80"/>
        <v>0</v>
      </c>
      <c r="AU78" s="537">
        <f t="shared" si="80"/>
        <v>0</v>
      </c>
      <c r="AV78" s="537">
        <f t="shared" si="80"/>
        <v>0</v>
      </c>
      <c r="AW78" s="537">
        <f t="shared" si="80"/>
        <v>0</v>
      </c>
      <c r="AX78" s="537">
        <f t="shared" si="80"/>
        <v>0</v>
      </c>
      <c r="AY78" s="537">
        <f t="shared" si="80"/>
        <v>0</v>
      </c>
      <c r="AZ78" s="537">
        <f t="shared" si="80"/>
        <v>0</v>
      </c>
      <c r="BA78" s="537">
        <f t="shared" si="80"/>
        <v>0</v>
      </c>
      <c r="BB78" s="537">
        <f t="shared" si="80"/>
        <v>0</v>
      </c>
      <c r="BC78" s="537">
        <f t="shared" si="80"/>
        <v>0</v>
      </c>
      <c r="BD78" s="374"/>
      <c r="BE78" s="374"/>
    </row>
    <row r="79" ht="24" spans="1:57">
      <c r="A79" s="528" t="s">
        <v>202</v>
      </c>
      <c r="B79" s="528" t="s">
        <v>404</v>
      </c>
      <c r="C79" s="528" t="s">
        <v>415</v>
      </c>
      <c r="D79" s="528" t="s">
        <v>416</v>
      </c>
      <c r="E79" s="529">
        <f t="shared" si="69"/>
        <v>6.91</v>
      </c>
      <c r="F79" s="530"/>
      <c r="G79" s="530"/>
      <c r="H79" s="530"/>
      <c r="I79" s="530"/>
      <c r="J79" s="530"/>
      <c r="K79" s="530">
        <v>1.68</v>
      </c>
      <c r="L79" s="530"/>
      <c r="M79" s="530"/>
      <c r="N79" s="530"/>
      <c r="O79" s="530"/>
      <c r="P79" s="530">
        <v>5.23</v>
      </c>
      <c r="Q79" s="530"/>
      <c r="R79" s="530"/>
      <c r="S79" s="530"/>
      <c r="T79" s="530"/>
      <c r="U79" s="530"/>
      <c r="V79" s="529">
        <f t="shared" si="70"/>
        <v>0.62</v>
      </c>
      <c r="W79" s="530"/>
      <c r="X79" s="530"/>
      <c r="Y79" s="530"/>
      <c r="Z79" s="530"/>
      <c r="AA79" s="530"/>
      <c r="AB79" s="530">
        <v>0.62</v>
      </c>
      <c r="AC79" s="530"/>
      <c r="AD79" s="530"/>
      <c r="AE79" s="530"/>
      <c r="AF79" s="530"/>
      <c r="AG79" s="530"/>
      <c r="AH79" s="530"/>
      <c r="AI79" s="530"/>
      <c r="AJ79" s="530"/>
      <c r="AK79" s="530"/>
      <c r="AL79" s="530"/>
      <c r="AM79" s="529">
        <f t="shared" si="71"/>
        <v>7.53</v>
      </c>
      <c r="AN79" s="537">
        <f t="shared" ref="AN79:BC79" si="81">F79+W79</f>
        <v>0</v>
      </c>
      <c r="AO79" s="537">
        <f t="shared" si="81"/>
        <v>0</v>
      </c>
      <c r="AP79" s="537">
        <f t="shared" si="81"/>
        <v>0</v>
      </c>
      <c r="AQ79" s="537">
        <f t="shared" si="81"/>
        <v>0</v>
      </c>
      <c r="AR79" s="537">
        <f t="shared" si="81"/>
        <v>0</v>
      </c>
      <c r="AS79" s="537">
        <f t="shared" si="81"/>
        <v>2.3</v>
      </c>
      <c r="AT79" s="537">
        <f t="shared" si="81"/>
        <v>0</v>
      </c>
      <c r="AU79" s="537">
        <f t="shared" si="81"/>
        <v>0</v>
      </c>
      <c r="AV79" s="537">
        <f t="shared" si="81"/>
        <v>0</v>
      </c>
      <c r="AW79" s="537">
        <f t="shared" si="81"/>
        <v>0</v>
      </c>
      <c r="AX79" s="537">
        <f t="shared" si="81"/>
        <v>5.23</v>
      </c>
      <c r="AY79" s="537">
        <f t="shared" si="81"/>
        <v>0</v>
      </c>
      <c r="AZ79" s="537">
        <f t="shared" si="81"/>
        <v>0</v>
      </c>
      <c r="BA79" s="537">
        <f t="shared" si="81"/>
        <v>0</v>
      </c>
      <c r="BB79" s="537">
        <f t="shared" si="81"/>
        <v>0</v>
      </c>
      <c r="BC79" s="537">
        <f t="shared" si="81"/>
        <v>0</v>
      </c>
      <c r="BD79" s="374"/>
      <c r="BE79" s="374"/>
    </row>
    <row r="80" ht="24" spans="1:57">
      <c r="A80" s="528" t="s">
        <v>202</v>
      </c>
      <c r="B80" s="528" t="s">
        <v>404</v>
      </c>
      <c r="C80" s="528" t="s">
        <v>417</v>
      </c>
      <c r="D80" s="528" t="s">
        <v>406</v>
      </c>
      <c r="E80" s="529">
        <f t="shared" si="69"/>
        <v>26.11</v>
      </c>
      <c r="F80" s="530"/>
      <c r="G80" s="530"/>
      <c r="H80" s="530"/>
      <c r="I80" s="530"/>
      <c r="J80" s="530"/>
      <c r="K80" s="530">
        <v>14.16</v>
      </c>
      <c r="L80" s="530"/>
      <c r="M80" s="530"/>
      <c r="N80" s="530"/>
      <c r="O80" s="530"/>
      <c r="P80" s="530">
        <v>11.95</v>
      </c>
      <c r="Q80" s="530"/>
      <c r="R80" s="530"/>
      <c r="S80" s="530"/>
      <c r="T80" s="530"/>
      <c r="U80" s="530"/>
      <c r="V80" s="529">
        <f t="shared" si="70"/>
        <v>4.88</v>
      </c>
      <c r="W80" s="530"/>
      <c r="X80" s="530"/>
      <c r="Y80" s="530"/>
      <c r="Z80" s="530"/>
      <c r="AA80" s="530"/>
      <c r="AB80" s="530">
        <v>3.14</v>
      </c>
      <c r="AC80" s="530"/>
      <c r="AD80" s="530"/>
      <c r="AE80" s="530"/>
      <c r="AF80" s="530"/>
      <c r="AG80" s="530">
        <v>1.74</v>
      </c>
      <c r="AH80" s="530"/>
      <c r="AI80" s="530"/>
      <c r="AJ80" s="530"/>
      <c r="AK80" s="530"/>
      <c r="AL80" s="530"/>
      <c r="AM80" s="529">
        <f t="shared" si="71"/>
        <v>30.99</v>
      </c>
      <c r="AN80" s="537">
        <f t="shared" ref="AN80:BC80" si="82">F80+W80</f>
        <v>0</v>
      </c>
      <c r="AO80" s="537">
        <f t="shared" si="82"/>
        <v>0</v>
      </c>
      <c r="AP80" s="537">
        <f t="shared" si="82"/>
        <v>0</v>
      </c>
      <c r="AQ80" s="537">
        <f t="shared" si="82"/>
        <v>0</v>
      </c>
      <c r="AR80" s="537">
        <f t="shared" si="82"/>
        <v>0</v>
      </c>
      <c r="AS80" s="537">
        <f t="shared" si="82"/>
        <v>17.3</v>
      </c>
      <c r="AT80" s="537">
        <f t="shared" si="82"/>
        <v>0</v>
      </c>
      <c r="AU80" s="537">
        <f t="shared" si="82"/>
        <v>0</v>
      </c>
      <c r="AV80" s="537">
        <f t="shared" si="82"/>
        <v>0</v>
      </c>
      <c r="AW80" s="537">
        <f t="shared" si="82"/>
        <v>0</v>
      </c>
      <c r="AX80" s="537">
        <f t="shared" si="82"/>
        <v>13.69</v>
      </c>
      <c r="AY80" s="537">
        <f t="shared" si="82"/>
        <v>0</v>
      </c>
      <c r="AZ80" s="537">
        <f t="shared" si="82"/>
        <v>0</v>
      </c>
      <c r="BA80" s="537">
        <f t="shared" si="82"/>
        <v>0</v>
      </c>
      <c r="BB80" s="537">
        <f t="shared" si="82"/>
        <v>0</v>
      </c>
      <c r="BC80" s="537">
        <f t="shared" si="82"/>
        <v>0</v>
      </c>
      <c r="BD80" s="374"/>
      <c r="BE80" s="374"/>
    </row>
    <row r="81" ht="24" spans="1:57">
      <c r="A81" s="528" t="s">
        <v>202</v>
      </c>
      <c r="B81" s="528" t="s">
        <v>206</v>
      </c>
      <c r="C81" s="528" t="s">
        <v>418</v>
      </c>
      <c r="D81" s="528" t="s">
        <v>419</v>
      </c>
      <c r="E81" s="529">
        <f t="shared" si="69"/>
        <v>2.68</v>
      </c>
      <c r="F81" s="530"/>
      <c r="G81" s="530"/>
      <c r="H81" s="530"/>
      <c r="I81" s="530"/>
      <c r="J81" s="530"/>
      <c r="K81" s="530">
        <v>1.68</v>
      </c>
      <c r="L81" s="530"/>
      <c r="M81" s="530"/>
      <c r="N81" s="530"/>
      <c r="O81" s="530"/>
      <c r="P81" s="530">
        <v>1</v>
      </c>
      <c r="Q81" s="530"/>
      <c r="R81" s="530"/>
      <c r="S81" s="530"/>
      <c r="T81" s="530"/>
      <c r="U81" s="530"/>
      <c r="V81" s="529">
        <f t="shared" si="70"/>
        <v>0.52</v>
      </c>
      <c r="W81" s="530"/>
      <c r="X81" s="530"/>
      <c r="Y81" s="530"/>
      <c r="Z81" s="530"/>
      <c r="AA81" s="530"/>
      <c r="AB81" s="530">
        <v>0.52</v>
      </c>
      <c r="AC81" s="530"/>
      <c r="AD81" s="530"/>
      <c r="AE81" s="530"/>
      <c r="AF81" s="530"/>
      <c r="AG81" s="530"/>
      <c r="AH81" s="530"/>
      <c r="AI81" s="530"/>
      <c r="AJ81" s="530"/>
      <c r="AK81" s="530"/>
      <c r="AL81" s="530"/>
      <c r="AM81" s="529">
        <f t="shared" si="71"/>
        <v>3.2</v>
      </c>
      <c r="AN81" s="537">
        <f t="shared" ref="AN81:BC81" si="83">F81+W81</f>
        <v>0</v>
      </c>
      <c r="AO81" s="537">
        <f t="shared" si="83"/>
        <v>0</v>
      </c>
      <c r="AP81" s="537">
        <f t="shared" si="83"/>
        <v>0</v>
      </c>
      <c r="AQ81" s="537">
        <f t="shared" si="83"/>
        <v>0</v>
      </c>
      <c r="AR81" s="537">
        <f t="shared" si="83"/>
        <v>0</v>
      </c>
      <c r="AS81" s="537">
        <f t="shared" si="83"/>
        <v>2.2</v>
      </c>
      <c r="AT81" s="537">
        <f t="shared" si="83"/>
        <v>0</v>
      </c>
      <c r="AU81" s="537">
        <f t="shared" si="83"/>
        <v>0</v>
      </c>
      <c r="AV81" s="537">
        <f t="shared" si="83"/>
        <v>0</v>
      </c>
      <c r="AW81" s="537">
        <f t="shared" si="83"/>
        <v>0</v>
      </c>
      <c r="AX81" s="537">
        <f t="shared" si="83"/>
        <v>1</v>
      </c>
      <c r="AY81" s="537">
        <f t="shared" si="83"/>
        <v>0</v>
      </c>
      <c r="AZ81" s="537">
        <f t="shared" si="83"/>
        <v>0</v>
      </c>
      <c r="BA81" s="537">
        <f t="shared" si="83"/>
        <v>0</v>
      </c>
      <c r="BB81" s="537">
        <f t="shared" si="83"/>
        <v>0</v>
      </c>
      <c r="BC81" s="537">
        <f t="shared" si="83"/>
        <v>0</v>
      </c>
      <c r="BD81" s="374"/>
      <c r="BE81" s="374"/>
    </row>
    <row r="82" ht="24" spans="1:57">
      <c r="A82" s="528" t="s">
        <v>202</v>
      </c>
      <c r="B82" s="528" t="s">
        <v>404</v>
      </c>
      <c r="C82" s="528" t="s">
        <v>420</v>
      </c>
      <c r="D82" s="528" t="s">
        <v>416</v>
      </c>
      <c r="E82" s="529">
        <f t="shared" si="69"/>
        <v>5.39</v>
      </c>
      <c r="F82" s="530"/>
      <c r="G82" s="530"/>
      <c r="H82" s="530"/>
      <c r="I82" s="530"/>
      <c r="J82" s="530"/>
      <c r="K82" s="530">
        <v>2.4</v>
      </c>
      <c r="L82" s="530"/>
      <c r="M82" s="530"/>
      <c r="N82" s="530"/>
      <c r="O82" s="530"/>
      <c r="P82" s="530">
        <v>2.99</v>
      </c>
      <c r="Q82" s="530"/>
      <c r="R82" s="530"/>
      <c r="S82" s="530"/>
      <c r="T82" s="530"/>
      <c r="U82" s="530"/>
      <c r="V82" s="529">
        <f t="shared" si="70"/>
        <v>0.9</v>
      </c>
      <c r="W82" s="530"/>
      <c r="X82" s="530"/>
      <c r="Y82" s="530"/>
      <c r="Z82" s="530"/>
      <c r="AA82" s="530"/>
      <c r="AB82" s="530">
        <v>0.9</v>
      </c>
      <c r="AC82" s="530"/>
      <c r="AD82" s="530"/>
      <c r="AE82" s="530"/>
      <c r="AF82" s="530"/>
      <c r="AG82" s="530"/>
      <c r="AH82" s="530"/>
      <c r="AI82" s="530"/>
      <c r="AJ82" s="530"/>
      <c r="AK82" s="530"/>
      <c r="AL82" s="530"/>
      <c r="AM82" s="529">
        <f t="shared" si="71"/>
        <v>6.29</v>
      </c>
      <c r="AN82" s="537">
        <f t="shared" ref="AN82:BC82" si="84">F82+W82</f>
        <v>0</v>
      </c>
      <c r="AO82" s="537">
        <f t="shared" si="84"/>
        <v>0</v>
      </c>
      <c r="AP82" s="537">
        <f t="shared" si="84"/>
        <v>0</v>
      </c>
      <c r="AQ82" s="537">
        <f t="shared" si="84"/>
        <v>0</v>
      </c>
      <c r="AR82" s="537">
        <f t="shared" si="84"/>
        <v>0</v>
      </c>
      <c r="AS82" s="537">
        <f t="shared" si="84"/>
        <v>3.3</v>
      </c>
      <c r="AT82" s="537">
        <f t="shared" si="84"/>
        <v>0</v>
      </c>
      <c r="AU82" s="537">
        <f t="shared" si="84"/>
        <v>0</v>
      </c>
      <c r="AV82" s="537">
        <f t="shared" si="84"/>
        <v>0</v>
      </c>
      <c r="AW82" s="537">
        <f t="shared" si="84"/>
        <v>0</v>
      </c>
      <c r="AX82" s="537">
        <f t="shared" si="84"/>
        <v>2.99</v>
      </c>
      <c r="AY82" s="537">
        <f t="shared" si="84"/>
        <v>0</v>
      </c>
      <c r="AZ82" s="537">
        <f t="shared" si="84"/>
        <v>0</v>
      </c>
      <c r="BA82" s="537">
        <f t="shared" si="84"/>
        <v>0</v>
      </c>
      <c r="BB82" s="537">
        <f t="shared" si="84"/>
        <v>0</v>
      </c>
      <c r="BC82" s="537">
        <f t="shared" si="84"/>
        <v>0</v>
      </c>
      <c r="BD82" s="374"/>
      <c r="BE82" s="374"/>
    </row>
    <row r="83" ht="24" spans="1:57">
      <c r="A83" s="528" t="s">
        <v>202</v>
      </c>
      <c r="B83" s="528" t="s">
        <v>404</v>
      </c>
      <c r="C83" s="528" t="s">
        <v>421</v>
      </c>
      <c r="D83" s="528" t="s">
        <v>406</v>
      </c>
      <c r="E83" s="529">
        <f t="shared" si="69"/>
        <v>20.41</v>
      </c>
      <c r="F83" s="530"/>
      <c r="G83" s="530"/>
      <c r="H83" s="530"/>
      <c r="I83" s="530"/>
      <c r="J83" s="530"/>
      <c r="K83" s="530">
        <v>9.12</v>
      </c>
      <c r="L83" s="530"/>
      <c r="M83" s="530"/>
      <c r="N83" s="530"/>
      <c r="O83" s="530"/>
      <c r="P83" s="530">
        <v>11.29</v>
      </c>
      <c r="Q83" s="530"/>
      <c r="R83" s="530"/>
      <c r="S83" s="530"/>
      <c r="T83" s="530"/>
      <c r="U83" s="530"/>
      <c r="V83" s="529">
        <f t="shared" si="70"/>
        <v>2.99</v>
      </c>
      <c r="W83" s="530"/>
      <c r="X83" s="530"/>
      <c r="Y83" s="530"/>
      <c r="Z83" s="530"/>
      <c r="AA83" s="530"/>
      <c r="AB83" s="530">
        <v>2.99</v>
      </c>
      <c r="AC83" s="530"/>
      <c r="AD83" s="530"/>
      <c r="AE83" s="530"/>
      <c r="AF83" s="530"/>
      <c r="AG83" s="530"/>
      <c r="AH83" s="530"/>
      <c r="AI83" s="530"/>
      <c r="AJ83" s="530"/>
      <c r="AK83" s="530"/>
      <c r="AL83" s="530"/>
      <c r="AM83" s="529">
        <f t="shared" si="71"/>
        <v>23.4</v>
      </c>
      <c r="AN83" s="537">
        <f t="shared" ref="AN83:BC83" si="85">F83+W83</f>
        <v>0</v>
      </c>
      <c r="AO83" s="537">
        <f t="shared" si="85"/>
        <v>0</v>
      </c>
      <c r="AP83" s="537">
        <f t="shared" si="85"/>
        <v>0</v>
      </c>
      <c r="AQ83" s="537">
        <f t="shared" si="85"/>
        <v>0</v>
      </c>
      <c r="AR83" s="537">
        <f t="shared" si="85"/>
        <v>0</v>
      </c>
      <c r="AS83" s="537">
        <f t="shared" si="85"/>
        <v>12.11</v>
      </c>
      <c r="AT83" s="537">
        <f t="shared" si="85"/>
        <v>0</v>
      </c>
      <c r="AU83" s="537">
        <f t="shared" si="85"/>
        <v>0</v>
      </c>
      <c r="AV83" s="537">
        <f t="shared" si="85"/>
        <v>0</v>
      </c>
      <c r="AW83" s="537">
        <f t="shared" si="85"/>
        <v>0</v>
      </c>
      <c r="AX83" s="537">
        <f t="shared" si="85"/>
        <v>11.29</v>
      </c>
      <c r="AY83" s="537">
        <f t="shared" si="85"/>
        <v>0</v>
      </c>
      <c r="AZ83" s="537">
        <f t="shared" si="85"/>
        <v>0</v>
      </c>
      <c r="BA83" s="537">
        <f t="shared" si="85"/>
        <v>0</v>
      </c>
      <c r="BB83" s="537">
        <f t="shared" si="85"/>
        <v>0</v>
      </c>
      <c r="BC83" s="537">
        <f t="shared" si="85"/>
        <v>0</v>
      </c>
      <c r="BD83" s="374"/>
      <c r="BE83" s="374"/>
    </row>
    <row r="84" ht="24" spans="1:57">
      <c r="A84" s="528" t="s">
        <v>202</v>
      </c>
      <c r="B84" s="528" t="s">
        <v>404</v>
      </c>
      <c r="C84" s="528" t="s">
        <v>422</v>
      </c>
      <c r="D84" s="528" t="s">
        <v>416</v>
      </c>
      <c r="E84" s="529">
        <f t="shared" si="69"/>
        <v>26.364</v>
      </c>
      <c r="F84" s="530"/>
      <c r="G84" s="530"/>
      <c r="H84" s="530"/>
      <c r="I84" s="530"/>
      <c r="J84" s="530"/>
      <c r="K84" s="530">
        <v>7.44</v>
      </c>
      <c r="L84" s="530"/>
      <c r="M84" s="530"/>
      <c r="N84" s="530"/>
      <c r="O84" s="530"/>
      <c r="P84" s="530">
        <v>18.924</v>
      </c>
      <c r="Q84" s="530"/>
      <c r="R84" s="530"/>
      <c r="S84" s="530"/>
      <c r="T84" s="530"/>
      <c r="U84" s="530"/>
      <c r="V84" s="529">
        <f t="shared" si="70"/>
        <v>2.76</v>
      </c>
      <c r="W84" s="530"/>
      <c r="X84" s="530"/>
      <c r="Y84" s="530"/>
      <c r="Z84" s="530"/>
      <c r="AA84" s="530"/>
      <c r="AB84" s="530">
        <v>2.34</v>
      </c>
      <c r="AC84" s="530"/>
      <c r="AD84" s="530"/>
      <c r="AE84" s="530"/>
      <c r="AF84" s="530"/>
      <c r="AG84" s="530">
        <v>0.42</v>
      </c>
      <c r="AH84" s="530"/>
      <c r="AI84" s="530"/>
      <c r="AJ84" s="530"/>
      <c r="AK84" s="530"/>
      <c r="AL84" s="530"/>
      <c r="AM84" s="529">
        <f t="shared" si="71"/>
        <v>29.124</v>
      </c>
      <c r="AN84" s="537">
        <f t="shared" ref="AN84:BC84" si="86">F84+W84</f>
        <v>0</v>
      </c>
      <c r="AO84" s="537">
        <f t="shared" si="86"/>
        <v>0</v>
      </c>
      <c r="AP84" s="537">
        <f t="shared" si="86"/>
        <v>0</v>
      </c>
      <c r="AQ84" s="537">
        <f t="shared" si="86"/>
        <v>0</v>
      </c>
      <c r="AR84" s="537">
        <f t="shared" si="86"/>
        <v>0</v>
      </c>
      <c r="AS84" s="537">
        <f t="shared" si="86"/>
        <v>9.78</v>
      </c>
      <c r="AT84" s="537">
        <f t="shared" si="86"/>
        <v>0</v>
      </c>
      <c r="AU84" s="537">
        <f t="shared" si="86"/>
        <v>0</v>
      </c>
      <c r="AV84" s="537">
        <f t="shared" si="86"/>
        <v>0</v>
      </c>
      <c r="AW84" s="537">
        <f t="shared" si="86"/>
        <v>0</v>
      </c>
      <c r="AX84" s="537">
        <f t="shared" si="86"/>
        <v>19.344</v>
      </c>
      <c r="AY84" s="537">
        <f t="shared" si="86"/>
        <v>0</v>
      </c>
      <c r="AZ84" s="537">
        <f t="shared" si="86"/>
        <v>0</v>
      </c>
      <c r="BA84" s="537">
        <f t="shared" si="86"/>
        <v>0</v>
      </c>
      <c r="BB84" s="537">
        <f t="shared" si="86"/>
        <v>0</v>
      </c>
      <c r="BC84" s="537">
        <f t="shared" si="86"/>
        <v>0</v>
      </c>
      <c r="BD84" s="374"/>
      <c r="BE84" s="374"/>
    </row>
    <row r="85" ht="24" spans="1:57">
      <c r="A85" s="528" t="s">
        <v>202</v>
      </c>
      <c r="B85" s="528" t="s">
        <v>404</v>
      </c>
      <c r="C85" s="528" t="s">
        <v>423</v>
      </c>
      <c r="D85" s="528" t="s">
        <v>416</v>
      </c>
      <c r="E85" s="529">
        <f t="shared" si="69"/>
        <v>3.95</v>
      </c>
      <c r="F85" s="530"/>
      <c r="G85" s="530"/>
      <c r="H85" s="530"/>
      <c r="I85" s="530"/>
      <c r="J85" s="530"/>
      <c r="K85" s="530">
        <v>0.96</v>
      </c>
      <c r="L85" s="530"/>
      <c r="M85" s="530"/>
      <c r="N85" s="530"/>
      <c r="O85" s="530"/>
      <c r="P85" s="530">
        <v>2.99</v>
      </c>
      <c r="Q85" s="530"/>
      <c r="R85" s="530"/>
      <c r="S85" s="530"/>
      <c r="T85" s="530"/>
      <c r="U85" s="530"/>
      <c r="V85" s="529">
        <f t="shared" si="70"/>
        <v>0.24</v>
      </c>
      <c r="W85" s="530"/>
      <c r="X85" s="530"/>
      <c r="Y85" s="530"/>
      <c r="Z85" s="530"/>
      <c r="AA85" s="530"/>
      <c r="AB85" s="530">
        <v>0.24</v>
      </c>
      <c r="AC85" s="530"/>
      <c r="AD85" s="530"/>
      <c r="AE85" s="530"/>
      <c r="AF85" s="530"/>
      <c r="AG85" s="530"/>
      <c r="AH85" s="530"/>
      <c r="AI85" s="530"/>
      <c r="AJ85" s="530"/>
      <c r="AK85" s="530"/>
      <c r="AL85" s="530"/>
      <c r="AM85" s="529">
        <f t="shared" si="71"/>
        <v>4.19</v>
      </c>
      <c r="AN85" s="537">
        <f t="shared" ref="AN85:BC85" si="87">F85+W85</f>
        <v>0</v>
      </c>
      <c r="AO85" s="537">
        <f t="shared" si="87"/>
        <v>0</v>
      </c>
      <c r="AP85" s="537">
        <f t="shared" si="87"/>
        <v>0</v>
      </c>
      <c r="AQ85" s="537">
        <f t="shared" si="87"/>
        <v>0</v>
      </c>
      <c r="AR85" s="537">
        <f t="shared" si="87"/>
        <v>0</v>
      </c>
      <c r="AS85" s="537">
        <f t="shared" si="87"/>
        <v>1.2</v>
      </c>
      <c r="AT85" s="537">
        <f t="shared" si="87"/>
        <v>0</v>
      </c>
      <c r="AU85" s="537">
        <f t="shared" si="87"/>
        <v>0</v>
      </c>
      <c r="AV85" s="537">
        <f t="shared" si="87"/>
        <v>0</v>
      </c>
      <c r="AW85" s="537">
        <f t="shared" si="87"/>
        <v>0</v>
      </c>
      <c r="AX85" s="537">
        <f t="shared" si="87"/>
        <v>2.99</v>
      </c>
      <c r="AY85" s="537">
        <f t="shared" si="87"/>
        <v>0</v>
      </c>
      <c r="AZ85" s="537">
        <f t="shared" si="87"/>
        <v>0</v>
      </c>
      <c r="BA85" s="537">
        <f t="shared" si="87"/>
        <v>0</v>
      </c>
      <c r="BB85" s="537">
        <f t="shared" si="87"/>
        <v>0</v>
      </c>
      <c r="BC85" s="537">
        <f t="shared" si="87"/>
        <v>0</v>
      </c>
      <c r="BD85" s="374"/>
      <c r="BE85" s="374"/>
    </row>
    <row r="86" ht="24" spans="1:57">
      <c r="A86" s="528" t="s">
        <v>202</v>
      </c>
      <c r="B86" s="528" t="s">
        <v>404</v>
      </c>
      <c r="C86" s="528" t="s">
        <v>424</v>
      </c>
      <c r="D86" s="528" t="s">
        <v>406</v>
      </c>
      <c r="E86" s="529">
        <f t="shared" si="69"/>
        <v>7.88</v>
      </c>
      <c r="F86" s="530"/>
      <c r="G86" s="530"/>
      <c r="H86" s="530"/>
      <c r="I86" s="530"/>
      <c r="J86" s="530"/>
      <c r="K86" s="530">
        <v>4.56</v>
      </c>
      <c r="L86" s="530"/>
      <c r="M86" s="530"/>
      <c r="N86" s="530"/>
      <c r="O86" s="530"/>
      <c r="P86" s="530">
        <v>3.32</v>
      </c>
      <c r="Q86" s="530"/>
      <c r="R86" s="530"/>
      <c r="S86" s="530"/>
      <c r="T86" s="530"/>
      <c r="U86" s="530"/>
      <c r="V86" s="529">
        <f t="shared" si="70"/>
        <v>1.44</v>
      </c>
      <c r="W86" s="530"/>
      <c r="X86" s="530"/>
      <c r="Y86" s="530"/>
      <c r="Z86" s="530"/>
      <c r="AA86" s="530"/>
      <c r="AB86" s="530">
        <v>1.44</v>
      </c>
      <c r="AC86" s="530"/>
      <c r="AD86" s="530"/>
      <c r="AE86" s="530"/>
      <c r="AF86" s="530"/>
      <c r="AG86" s="530"/>
      <c r="AH86" s="530"/>
      <c r="AI86" s="530"/>
      <c r="AJ86" s="530"/>
      <c r="AK86" s="530"/>
      <c r="AL86" s="530"/>
      <c r="AM86" s="529">
        <f t="shared" si="71"/>
        <v>9.32</v>
      </c>
      <c r="AN86" s="537">
        <f t="shared" ref="AN86:BC86" si="88">F86+W86</f>
        <v>0</v>
      </c>
      <c r="AO86" s="537">
        <f t="shared" si="88"/>
        <v>0</v>
      </c>
      <c r="AP86" s="537">
        <f t="shared" si="88"/>
        <v>0</v>
      </c>
      <c r="AQ86" s="537">
        <f t="shared" si="88"/>
        <v>0</v>
      </c>
      <c r="AR86" s="537">
        <f t="shared" si="88"/>
        <v>0</v>
      </c>
      <c r="AS86" s="537">
        <f t="shared" si="88"/>
        <v>6</v>
      </c>
      <c r="AT86" s="537">
        <f t="shared" si="88"/>
        <v>0</v>
      </c>
      <c r="AU86" s="537">
        <f t="shared" si="88"/>
        <v>0</v>
      </c>
      <c r="AV86" s="537">
        <f t="shared" si="88"/>
        <v>0</v>
      </c>
      <c r="AW86" s="537">
        <f t="shared" si="88"/>
        <v>0</v>
      </c>
      <c r="AX86" s="537">
        <f t="shared" si="88"/>
        <v>3.32</v>
      </c>
      <c r="AY86" s="537">
        <f t="shared" si="88"/>
        <v>0</v>
      </c>
      <c r="AZ86" s="537">
        <f t="shared" si="88"/>
        <v>0</v>
      </c>
      <c r="BA86" s="537">
        <f t="shared" si="88"/>
        <v>0</v>
      </c>
      <c r="BB86" s="537">
        <f t="shared" si="88"/>
        <v>0</v>
      </c>
      <c r="BC86" s="537">
        <f t="shared" si="88"/>
        <v>0</v>
      </c>
      <c r="BD86" s="374"/>
      <c r="BE86" s="374"/>
    </row>
    <row r="87" ht="24" spans="1:57">
      <c r="A87" s="528" t="s">
        <v>202</v>
      </c>
      <c r="B87" s="528" t="s">
        <v>404</v>
      </c>
      <c r="C87" s="528" t="s">
        <v>425</v>
      </c>
      <c r="D87" s="528" t="s">
        <v>406</v>
      </c>
      <c r="E87" s="529">
        <f t="shared" si="69"/>
        <v>58.71</v>
      </c>
      <c r="F87" s="530"/>
      <c r="G87" s="530"/>
      <c r="H87" s="530"/>
      <c r="I87" s="530"/>
      <c r="J87" s="530"/>
      <c r="K87" s="530">
        <v>26.64</v>
      </c>
      <c r="L87" s="530"/>
      <c r="M87" s="530"/>
      <c r="N87" s="530"/>
      <c r="O87" s="530"/>
      <c r="P87" s="530">
        <v>32.07</v>
      </c>
      <c r="Q87" s="530"/>
      <c r="R87" s="530"/>
      <c r="S87" s="530"/>
      <c r="T87" s="530"/>
      <c r="U87" s="530"/>
      <c r="V87" s="529">
        <f t="shared" si="70"/>
        <v>7.18</v>
      </c>
      <c r="W87" s="530"/>
      <c r="X87" s="530"/>
      <c r="Y87" s="530"/>
      <c r="Z87" s="530"/>
      <c r="AA87" s="530"/>
      <c r="AB87" s="530">
        <v>7.34</v>
      </c>
      <c r="AC87" s="530"/>
      <c r="AD87" s="530"/>
      <c r="AE87" s="530"/>
      <c r="AF87" s="530"/>
      <c r="AG87" s="530">
        <v>-0.16</v>
      </c>
      <c r="AH87" s="530"/>
      <c r="AI87" s="530"/>
      <c r="AJ87" s="530"/>
      <c r="AK87" s="530"/>
      <c r="AL87" s="530"/>
      <c r="AM87" s="529">
        <f t="shared" si="71"/>
        <v>65.89</v>
      </c>
      <c r="AN87" s="537">
        <f t="shared" ref="AN87:BC87" si="89">F87+W87</f>
        <v>0</v>
      </c>
      <c r="AO87" s="537">
        <f t="shared" si="89"/>
        <v>0</v>
      </c>
      <c r="AP87" s="537">
        <f t="shared" si="89"/>
        <v>0</v>
      </c>
      <c r="AQ87" s="537">
        <f t="shared" si="89"/>
        <v>0</v>
      </c>
      <c r="AR87" s="537">
        <f t="shared" si="89"/>
        <v>0</v>
      </c>
      <c r="AS87" s="537">
        <f t="shared" si="89"/>
        <v>33.98</v>
      </c>
      <c r="AT87" s="537">
        <f t="shared" si="89"/>
        <v>0</v>
      </c>
      <c r="AU87" s="537">
        <f t="shared" si="89"/>
        <v>0</v>
      </c>
      <c r="AV87" s="537">
        <f t="shared" si="89"/>
        <v>0</v>
      </c>
      <c r="AW87" s="537">
        <f t="shared" si="89"/>
        <v>0</v>
      </c>
      <c r="AX87" s="537">
        <f t="shared" si="89"/>
        <v>31.91</v>
      </c>
      <c r="AY87" s="537">
        <f t="shared" si="89"/>
        <v>0</v>
      </c>
      <c r="AZ87" s="537">
        <f t="shared" si="89"/>
        <v>0</v>
      </c>
      <c r="BA87" s="537">
        <f t="shared" si="89"/>
        <v>0</v>
      </c>
      <c r="BB87" s="537">
        <f t="shared" si="89"/>
        <v>0</v>
      </c>
      <c r="BC87" s="537">
        <f t="shared" si="89"/>
        <v>0</v>
      </c>
      <c r="BD87" s="374"/>
      <c r="BE87" s="374"/>
    </row>
    <row r="88" ht="24" spans="1:57">
      <c r="A88" s="528" t="s">
        <v>202</v>
      </c>
      <c r="B88" s="528" t="s">
        <v>404</v>
      </c>
      <c r="C88" s="528" t="s">
        <v>426</v>
      </c>
      <c r="D88" s="528" t="s">
        <v>406</v>
      </c>
      <c r="E88" s="529">
        <f t="shared" si="69"/>
        <v>122.0652</v>
      </c>
      <c r="F88" s="530"/>
      <c r="G88" s="530"/>
      <c r="H88" s="530"/>
      <c r="I88" s="530"/>
      <c r="J88" s="530"/>
      <c r="K88" s="530">
        <v>41.04</v>
      </c>
      <c r="L88" s="530"/>
      <c r="M88" s="530"/>
      <c r="N88" s="530"/>
      <c r="O88" s="530"/>
      <c r="P88" s="530">
        <v>81.0252</v>
      </c>
      <c r="Q88" s="530"/>
      <c r="R88" s="530"/>
      <c r="S88" s="530"/>
      <c r="T88" s="530"/>
      <c r="U88" s="530"/>
      <c r="V88" s="529">
        <f t="shared" si="70"/>
        <v>16.27</v>
      </c>
      <c r="W88" s="530"/>
      <c r="X88" s="530"/>
      <c r="Y88" s="530"/>
      <c r="Z88" s="530"/>
      <c r="AA88" s="530"/>
      <c r="AB88" s="530">
        <v>12.29</v>
      </c>
      <c r="AC88" s="530"/>
      <c r="AD88" s="530"/>
      <c r="AE88" s="530"/>
      <c r="AF88" s="530"/>
      <c r="AG88" s="530">
        <v>3.98</v>
      </c>
      <c r="AH88" s="530"/>
      <c r="AI88" s="530"/>
      <c r="AJ88" s="530"/>
      <c r="AK88" s="530"/>
      <c r="AL88" s="530"/>
      <c r="AM88" s="529">
        <f t="shared" si="71"/>
        <v>138.3352</v>
      </c>
      <c r="AN88" s="537">
        <f t="shared" ref="AN88:BC88" si="90">F88+W88</f>
        <v>0</v>
      </c>
      <c r="AO88" s="537">
        <f t="shared" si="90"/>
        <v>0</v>
      </c>
      <c r="AP88" s="537">
        <f t="shared" si="90"/>
        <v>0</v>
      </c>
      <c r="AQ88" s="537">
        <f t="shared" si="90"/>
        <v>0</v>
      </c>
      <c r="AR88" s="537">
        <f t="shared" si="90"/>
        <v>0</v>
      </c>
      <c r="AS88" s="537">
        <f t="shared" si="90"/>
        <v>53.33</v>
      </c>
      <c r="AT88" s="537">
        <f t="shared" si="90"/>
        <v>0</v>
      </c>
      <c r="AU88" s="537">
        <f t="shared" si="90"/>
        <v>0</v>
      </c>
      <c r="AV88" s="537">
        <f t="shared" si="90"/>
        <v>0</v>
      </c>
      <c r="AW88" s="537">
        <f t="shared" si="90"/>
        <v>0</v>
      </c>
      <c r="AX88" s="537">
        <f t="shared" si="90"/>
        <v>85.0052</v>
      </c>
      <c r="AY88" s="537">
        <f t="shared" si="90"/>
        <v>0</v>
      </c>
      <c r="AZ88" s="537">
        <f t="shared" si="90"/>
        <v>0</v>
      </c>
      <c r="BA88" s="537">
        <f t="shared" si="90"/>
        <v>0</v>
      </c>
      <c r="BB88" s="537">
        <f t="shared" si="90"/>
        <v>0</v>
      </c>
      <c r="BC88" s="537">
        <f t="shared" si="90"/>
        <v>0</v>
      </c>
      <c r="BD88" s="374"/>
      <c r="BE88" s="374"/>
    </row>
    <row r="89" ht="24" spans="1:57">
      <c r="A89" s="528" t="s">
        <v>202</v>
      </c>
      <c r="B89" s="528" t="s">
        <v>404</v>
      </c>
      <c r="C89" s="528" t="s">
        <v>427</v>
      </c>
      <c r="D89" s="528" t="s">
        <v>416</v>
      </c>
      <c r="E89" s="529">
        <f t="shared" si="69"/>
        <v>57.19</v>
      </c>
      <c r="F89" s="530"/>
      <c r="G89" s="530"/>
      <c r="H89" s="530"/>
      <c r="I89" s="530"/>
      <c r="J89" s="530"/>
      <c r="K89" s="530">
        <v>15.36</v>
      </c>
      <c r="L89" s="530"/>
      <c r="M89" s="530"/>
      <c r="N89" s="530"/>
      <c r="O89" s="530"/>
      <c r="P89" s="530">
        <v>41.83</v>
      </c>
      <c r="Q89" s="530"/>
      <c r="R89" s="530"/>
      <c r="S89" s="530"/>
      <c r="T89" s="530"/>
      <c r="U89" s="530"/>
      <c r="V89" s="529">
        <f t="shared" si="70"/>
        <v>6.28</v>
      </c>
      <c r="W89" s="530"/>
      <c r="X89" s="530"/>
      <c r="Y89" s="530"/>
      <c r="Z89" s="530"/>
      <c r="AA89" s="530"/>
      <c r="AB89" s="530">
        <v>4.54</v>
      </c>
      <c r="AC89" s="530"/>
      <c r="AD89" s="530"/>
      <c r="AE89" s="530"/>
      <c r="AF89" s="530"/>
      <c r="AG89" s="530">
        <v>1.74</v>
      </c>
      <c r="AH89" s="530"/>
      <c r="AI89" s="530"/>
      <c r="AJ89" s="530"/>
      <c r="AK89" s="530"/>
      <c r="AL89" s="530"/>
      <c r="AM89" s="529">
        <f t="shared" si="71"/>
        <v>63.47</v>
      </c>
      <c r="AN89" s="537">
        <f t="shared" ref="AN89:BC89" si="91">F89+W89</f>
        <v>0</v>
      </c>
      <c r="AO89" s="537">
        <f t="shared" si="91"/>
        <v>0</v>
      </c>
      <c r="AP89" s="537">
        <f t="shared" si="91"/>
        <v>0</v>
      </c>
      <c r="AQ89" s="537">
        <f t="shared" si="91"/>
        <v>0</v>
      </c>
      <c r="AR89" s="537">
        <f t="shared" si="91"/>
        <v>0</v>
      </c>
      <c r="AS89" s="537">
        <f t="shared" si="91"/>
        <v>19.9</v>
      </c>
      <c r="AT89" s="537">
        <f t="shared" si="91"/>
        <v>0</v>
      </c>
      <c r="AU89" s="537">
        <f t="shared" si="91"/>
        <v>0</v>
      </c>
      <c r="AV89" s="537">
        <f t="shared" si="91"/>
        <v>0</v>
      </c>
      <c r="AW89" s="537">
        <f t="shared" si="91"/>
        <v>0</v>
      </c>
      <c r="AX89" s="537">
        <f t="shared" si="91"/>
        <v>43.57</v>
      </c>
      <c r="AY89" s="537">
        <f t="shared" si="91"/>
        <v>0</v>
      </c>
      <c r="AZ89" s="537">
        <f t="shared" si="91"/>
        <v>0</v>
      </c>
      <c r="BA89" s="537">
        <f t="shared" si="91"/>
        <v>0</v>
      </c>
      <c r="BB89" s="537">
        <f t="shared" si="91"/>
        <v>0</v>
      </c>
      <c r="BC89" s="537">
        <f t="shared" si="91"/>
        <v>0</v>
      </c>
      <c r="BD89" s="374"/>
      <c r="BE89" s="374"/>
    </row>
    <row r="90" ht="24" spans="1:57">
      <c r="A90" s="528" t="s">
        <v>202</v>
      </c>
      <c r="B90" s="528" t="s">
        <v>404</v>
      </c>
      <c r="C90" s="528" t="s">
        <v>428</v>
      </c>
      <c r="D90" s="528" t="s">
        <v>416</v>
      </c>
      <c r="E90" s="529">
        <f t="shared" si="69"/>
        <v>6.48</v>
      </c>
      <c r="F90" s="530"/>
      <c r="G90" s="530"/>
      <c r="H90" s="530"/>
      <c r="I90" s="530"/>
      <c r="J90" s="530"/>
      <c r="K90" s="530">
        <v>2.16</v>
      </c>
      <c r="L90" s="530"/>
      <c r="M90" s="530"/>
      <c r="N90" s="530"/>
      <c r="O90" s="530"/>
      <c r="P90" s="530">
        <v>4.32</v>
      </c>
      <c r="Q90" s="530"/>
      <c r="R90" s="530"/>
      <c r="S90" s="530"/>
      <c r="T90" s="530"/>
      <c r="U90" s="530"/>
      <c r="V90" s="529">
        <f t="shared" si="70"/>
        <v>0.77</v>
      </c>
      <c r="W90" s="530"/>
      <c r="X90" s="530"/>
      <c r="Y90" s="530"/>
      <c r="Z90" s="530"/>
      <c r="AA90" s="530"/>
      <c r="AB90" s="530">
        <v>0.77</v>
      </c>
      <c r="AC90" s="530"/>
      <c r="AD90" s="530"/>
      <c r="AE90" s="530"/>
      <c r="AF90" s="530"/>
      <c r="AG90" s="530"/>
      <c r="AH90" s="530"/>
      <c r="AI90" s="530"/>
      <c r="AJ90" s="530"/>
      <c r="AK90" s="530"/>
      <c r="AL90" s="530"/>
      <c r="AM90" s="529">
        <f t="shared" si="71"/>
        <v>7.25</v>
      </c>
      <c r="AN90" s="537">
        <f t="shared" ref="AN90:BC90" si="92">F90+W90</f>
        <v>0</v>
      </c>
      <c r="AO90" s="537">
        <f t="shared" si="92"/>
        <v>0</v>
      </c>
      <c r="AP90" s="537">
        <f t="shared" si="92"/>
        <v>0</v>
      </c>
      <c r="AQ90" s="537">
        <f t="shared" si="92"/>
        <v>0</v>
      </c>
      <c r="AR90" s="537">
        <f t="shared" si="92"/>
        <v>0</v>
      </c>
      <c r="AS90" s="537">
        <f t="shared" si="92"/>
        <v>2.93</v>
      </c>
      <c r="AT90" s="537">
        <f t="shared" si="92"/>
        <v>0</v>
      </c>
      <c r="AU90" s="537">
        <f t="shared" si="92"/>
        <v>0</v>
      </c>
      <c r="AV90" s="537">
        <f t="shared" si="92"/>
        <v>0</v>
      </c>
      <c r="AW90" s="537">
        <f t="shared" si="92"/>
        <v>0</v>
      </c>
      <c r="AX90" s="537">
        <f t="shared" si="92"/>
        <v>4.32</v>
      </c>
      <c r="AY90" s="537">
        <f t="shared" si="92"/>
        <v>0</v>
      </c>
      <c r="AZ90" s="537">
        <f t="shared" si="92"/>
        <v>0</v>
      </c>
      <c r="BA90" s="537">
        <f t="shared" si="92"/>
        <v>0</v>
      </c>
      <c r="BB90" s="537">
        <f t="shared" si="92"/>
        <v>0</v>
      </c>
      <c r="BC90" s="537">
        <f t="shared" si="92"/>
        <v>0</v>
      </c>
      <c r="BD90" s="374"/>
      <c r="BE90" s="374"/>
    </row>
    <row r="91" ht="24" spans="1:57">
      <c r="A91" s="528" t="s">
        <v>202</v>
      </c>
      <c r="B91" s="528" t="s">
        <v>404</v>
      </c>
      <c r="C91" s="528" t="s">
        <v>765</v>
      </c>
      <c r="D91" s="528" t="s">
        <v>416</v>
      </c>
      <c r="E91" s="529">
        <f t="shared" si="69"/>
        <v>3.65</v>
      </c>
      <c r="F91" s="530"/>
      <c r="G91" s="530"/>
      <c r="H91" s="530"/>
      <c r="I91" s="530"/>
      <c r="J91" s="530"/>
      <c r="K91" s="530">
        <v>2.16</v>
      </c>
      <c r="L91" s="530"/>
      <c r="M91" s="530"/>
      <c r="N91" s="530"/>
      <c r="O91" s="530"/>
      <c r="P91" s="530">
        <v>1.49</v>
      </c>
      <c r="Q91" s="530"/>
      <c r="R91" s="530"/>
      <c r="S91" s="530"/>
      <c r="T91" s="530"/>
      <c r="U91" s="530"/>
      <c r="V91" s="529">
        <f t="shared" si="70"/>
        <v>0.24</v>
      </c>
      <c r="W91" s="530"/>
      <c r="X91" s="530"/>
      <c r="Y91" s="530"/>
      <c r="Z91" s="530"/>
      <c r="AA91" s="530"/>
      <c r="AB91" s="530">
        <v>0.24</v>
      </c>
      <c r="AC91" s="530"/>
      <c r="AD91" s="530"/>
      <c r="AE91" s="530"/>
      <c r="AF91" s="530"/>
      <c r="AG91" s="530"/>
      <c r="AH91" s="530"/>
      <c r="AI91" s="530"/>
      <c r="AJ91" s="530"/>
      <c r="AK91" s="530"/>
      <c r="AL91" s="530"/>
      <c r="AM91" s="529">
        <f t="shared" si="71"/>
        <v>3.89</v>
      </c>
      <c r="AN91" s="537">
        <f t="shared" ref="AN91:BC91" si="93">F91+W91</f>
        <v>0</v>
      </c>
      <c r="AO91" s="537">
        <f t="shared" si="93"/>
        <v>0</v>
      </c>
      <c r="AP91" s="537">
        <f t="shared" si="93"/>
        <v>0</v>
      </c>
      <c r="AQ91" s="537">
        <f t="shared" si="93"/>
        <v>0</v>
      </c>
      <c r="AR91" s="537">
        <f t="shared" si="93"/>
        <v>0</v>
      </c>
      <c r="AS91" s="537">
        <f t="shared" si="93"/>
        <v>2.4</v>
      </c>
      <c r="AT91" s="537">
        <f t="shared" si="93"/>
        <v>0</v>
      </c>
      <c r="AU91" s="537">
        <f t="shared" si="93"/>
        <v>0</v>
      </c>
      <c r="AV91" s="537">
        <f t="shared" si="93"/>
        <v>0</v>
      </c>
      <c r="AW91" s="537">
        <f t="shared" si="93"/>
        <v>0</v>
      </c>
      <c r="AX91" s="537">
        <f t="shared" si="93"/>
        <v>1.49</v>
      </c>
      <c r="AY91" s="537">
        <f t="shared" si="93"/>
        <v>0</v>
      </c>
      <c r="AZ91" s="537">
        <f t="shared" si="93"/>
        <v>0</v>
      </c>
      <c r="BA91" s="537">
        <f t="shared" si="93"/>
        <v>0</v>
      </c>
      <c r="BB91" s="537">
        <f t="shared" si="93"/>
        <v>0</v>
      </c>
      <c r="BC91" s="537">
        <f t="shared" si="93"/>
        <v>0</v>
      </c>
      <c r="BD91" s="374"/>
      <c r="BE91" s="374"/>
    </row>
    <row r="92" ht="24" spans="1:57">
      <c r="A92" s="528" t="s">
        <v>202</v>
      </c>
      <c r="B92" s="528" t="s">
        <v>404</v>
      </c>
      <c r="C92" s="528" t="s">
        <v>430</v>
      </c>
      <c r="D92" s="528" t="s">
        <v>406</v>
      </c>
      <c r="E92" s="529">
        <f t="shared" si="69"/>
        <v>51.29</v>
      </c>
      <c r="F92" s="530"/>
      <c r="G92" s="530"/>
      <c r="H92" s="530"/>
      <c r="I92" s="530"/>
      <c r="J92" s="530"/>
      <c r="K92" s="530">
        <v>13.44</v>
      </c>
      <c r="L92" s="530"/>
      <c r="M92" s="530"/>
      <c r="N92" s="530"/>
      <c r="O92" s="530"/>
      <c r="P92" s="530">
        <v>37.85</v>
      </c>
      <c r="Q92" s="530"/>
      <c r="R92" s="530"/>
      <c r="S92" s="530"/>
      <c r="T92" s="530"/>
      <c r="U92" s="530"/>
      <c r="V92" s="529">
        <f t="shared" si="70"/>
        <v>-20.24</v>
      </c>
      <c r="W92" s="530"/>
      <c r="X92" s="530"/>
      <c r="Y92" s="530"/>
      <c r="Z92" s="530"/>
      <c r="AA92" s="530"/>
      <c r="AB92" s="530">
        <v>4.16</v>
      </c>
      <c r="AC92" s="530"/>
      <c r="AD92" s="530"/>
      <c r="AE92" s="530"/>
      <c r="AF92" s="530"/>
      <c r="AG92" s="530">
        <v>-24.4</v>
      </c>
      <c r="AH92" s="530"/>
      <c r="AI92" s="530"/>
      <c r="AJ92" s="530"/>
      <c r="AK92" s="530"/>
      <c r="AL92" s="530"/>
      <c r="AM92" s="529">
        <f t="shared" si="71"/>
        <v>31.05</v>
      </c>
      <c r="AN92" s="537">
        <f t="shared" ref="AN92:BC92" si="94">F92+W92</f>
        <v>0</v>
      </c>
      <c r="AO92" s="537">
        <f t="shared" si="94"/>
        <v>0</v>
      </c>
      <c r="AP92" s="537">
        <f t="shared" si="94"/>
        <v>0</v>
      </c>
      <c r="AQ92" s="537">
        <f t="shared" si="94"/>
        <v>0</v>
      </c>
      <c r="AR92" s="537">
        <f t="shared" si="94"/>
        <v>0</v>
      </c>
      <c r="AS92" s="537">
        <f t="shared" si="94"/>
        <v>17.6</v>
      </c>
      <c r="AT92" s="537">
        <f t="shared" si="94"/>
        <v>0</v>
      </c>
      <c r="AU92" s="537">
        <f t="shared" si="94"/>
        <v>0</v>
      </c>
      <c r="AV92" s="537">
        <f t="shared" si="94"/>
        <v>0</v>
      </c>
      <c r="AW92" s="537">
        <f t="shared" si="94"/>
        <v>0</v>
      </c>
      <c r="AX92" s="537">
        <f t="shared" si="94"/>
        <v>13.45</v>
      </c>
      <c r="AY92" s="537">
        <f t="shared" si="94"/>
        <v>0</v>
      </c>
      <c r="AZ92" s="537">
        <f t="shared" si="94"/>
        <v>0</v>
      </c>
      <c r="BA92" s="537">
        <f t="shared" si="94"/>
        <v>0</v>
      </c>
      <c r="BB92" s="537">
        <f t="shared" si="94"/>
        <v>0</v>
      </c>
      <c r="BC92" s="537">
        <f t="shared" si="94"/>
        <v>0</v>
      </c>
      <c r="BD92" s="374"/>
      <c r="BE92" s="374"/>
    </row>
    <row r="93" ht="24" spans="1:57">
      <c r="A93" s="528" t="s">
        <v>202</v>
      </c>
      <c r="B93" s="528" t="s">
        <v>404</v>
      </c>
      <c r="C93" s="541" t="s">
        <v>431</v>
      </c>
      <c r="D93" s="528" t="s">
        <v>416</v>
      </c>
      <c r="E93" s="529">
        <f t="shared" si="69"/>
        <v>14.388</v>
      </c>
      <c r="F93" s="530"/>
      <c r="G93" s="530"/>
      <c r="H93" s="530"/>
      <c r="I93" s="530"/>
      <c r="J93" s="530"/>
      <c r="K93" s="530">
        <v>1.44</v>
      </c>
      <c r="L93" s="530"/>
      <c r="M93" s="530"/>
      <c r="N93" s="530"/>
      <c r="O93" s="530"/>
      <c r="P93" s="530">
        <v>12.948</v>
      </c>
      <c r="Q93" s="530"/>
      <c r="R93" s="530"/>
      <c r="S93" s="530"/>
      <c r="T93" s="530"/>
      <c r="U93" s="530"/>
      <c r="V93" s="529">
        <f t="shared" si="70"/>
        <v>-6.21</v>
      </c>
      <c r="W93" s="530"/>
      <c r="X93" s="530"/>
      <c r="Y93" s="530"/>
      <c r="Z93" s="530"/>
      <c r="AA93" s="530"/>
      <c r="AB93" s="530">
        <v>0.56</v>
      </c>
      <c r="AC93" s="530"/>
      <c r="AD93" s="530"/>
      <c r="AE93" s="530"/>
      <c r="AF93" s="530"/>
      <c r="AG93" s="530">
        <v>-6.77</v>
      </c>
      <c r="AH93" s="530"/>
      <c r="AI93" s="530"/>
      <c r="AJ93" s="530"/>
      <c r="AK93" s="530"/>
      <c r="AL93" s="530"/>
      <c r="AM93" s="529">
        <f t="shared" si="71"/>
        <v>8.178</v>
      </c>
      <c r="AN93" s="537">
        <f t="shared" ref="AN93:BC93" si="95">F93+W93</f>
        <v>0</v>
      </c>
      <c r="AO93" s="537">
        <f t="shared" si="95"/>
        <v>0</v>
      </c>
      <c r="AP93" s="537">
        <f t="shared" si="95"/>
        <v>0</v>
      </c>
      <c r="AQ93" s="537">
        <f t="shared" si="95"/>
        <v>0</v>
      </c>
      <c r="AR93" s="537">
        <f t="shared" si="95"/>
        <v>0</v>
      </c>
      <c r="AS93" s="537">
        <f t="shared" si="95"/>
        <v>2</v>
      </c>
      <c r="AT93" s="537">
        <f t="shared" si="95"/>
        <v>0</v>
      </c>
      <c r="AU93" s="537">
        <f t="shared" si="95"/>
        <v>0</v>
      </c>
      <c r="AV93" s="537">
        <f t="shared" si="95"/>
        <v>0</v>
      </c>
      <c r="AW93" s="537">
        <f t="shared" si="95"/>
        <v>0</v>
      </c>
      <c r="AX93" s="537">
        <f t="shared" si="95"/>
        <v>6.178</v>
      </c>
      <c r="AY93" s="537">
        <f t="shared" si="95"/>
        <v>0</v>
      </c>
      <c r="AZ93" s="537">
        <f t="shared" si="95"/>
        <v>0</v>
      </c>
      <c r="BA93" s="537">
        <f t="shared" si="95"/>
        <v>0</v>
      </c>
      <c r="BB93" s="537">
        <f t="shared" si="95"/>
        <v>0</v>
      </c>
      <c r="BC93" s="537">
        <f t="shared" si="95"/>
        <v>0</v>
      </c>
      <c r="BD93" s="374"/>
      <c r="BE93" s="374"/>
    </row>
    <row r="94" ht="24" spans="1:57">
      <c r="A94" s="528" t="s">
        <v>202</v>
      </c>
      <c r="B94" s="528" t="s">
        <v>404</v>
      </c>
      <c r="C94" s="528" t="s">
        <v>432</v>
      </c>
      <c r="D94" s="528" t="s">
        <v>416</v>
      </c>
      <c r="E94" s="529">
        <f t="shared" si="69"/>
        <v>26.38</v>
      </c>
      <c r="F94" s="530"/>
      <c r="G94" s="530"/>
      <c r="H94" s="530"/>
      <c r="I94" s="530"/>
      <c r="J94" s="530"/>
      <c r="K94" s="530">
        <v>6.96</v>
      </c>
      <c r="L94" s="530"/>
      <c r="M94" s="530"/>
      <c r="N94" s="530"/>
      <c r="O94" s="530"/>
      <c r="P94" s="530">
        <v>19.42</v>
      </c>
      <c r="Q94" s="530"/>
      <c r="R94" s="530"/>
      <c r="S94" s="530"/>
      <c r="T94" s="530"/>
      <c r="U94" s="530"/>
      <c r="V94" s="529">
        <f t="shared" si="70"/>
        <v>1.74</v>
      </c>
      <c r="W94" s="530"/>
      <c r="X94" s="530"/>
      <c r="Y94" s="530"/>
      <c r="Z94" s="530"/>
      <c r="AA94" s="530"/>
      <c r="AB94" s="530">
        <v>1.74</v>
      </c>
      <c r="AC94" s="530"/>
      <c r="AD94" s="530"/>
      <c r="AE94" s="530"/>
      <c r="AF94" s="530"/>
      <c r="AG94" s="530"/>
      <c r="AH94" s="530"/>
      <c r="AI94" s="530"/>
      <c r="AJ94" s="530"/>
      <c r="AK94" s="530"/>
      <c r="AL94" s="530"/>
      <c r="AM94" s="529">
        <f t="shared" si="71"/>
        <v>28.12</v>
      </c>
      <c r="AN94" s="537">
        <f t="shared" ref="AN94:BC94" si="96">F94+W94</f>
        <v>0</v>
      </c>
      <c r="AO94" s="537">
        <f t="shared" si="96"/>
        <v>0</v>
      </c>
      <c r="AP94" s="537">
        <f t="shared" si="96"/>
        <v>0</v>
      </c>
      <c r="AQ94" s="537">
        <f t="shared" si="96"/>
        <v>0</v>
      </c>
      <c r="AR94" s="537">
        <f t="shared" si="96"/>
        <v>0</v>
      </c>
      <c r="AS94" s="537">
        <f t="shared" si="96"/>
        <v>8.7</v>
      </c>
      <c r="AT94" s="537">
        <f t="shared" si="96"/>
        <v>0</v>
      </c>
      <c r="AU94" s="537">
        <f t="shared" si="96"/>
        <v>0</v>
      </c>
      <c r="AV94" s="537">
        <f t="shared" si="96"/>
        <v>0</v>
      </c>
      <c r="AW94" s="537">
        <f t="shared" si="96"/>
        <v>0</v>
      </c>
      <c r="AX94" s="537">
        <f t="shared" si="96"/>
        <v>19.42</v>
      </c>
      <c r="AY94" s="537">
        <f t="shared" si="96"/>
        <v>0</v>
      </c>
      <c r="AZ94" s="537">
        <f t="shared" si="96"/>
        <v>0</v>
      </c>
      <c r="BA94" s="537">
        <f t="shared" si="96"/>
        <v>0</v>
      </c>
      <c r="BB94" s="537">
        <f t="shared" si="96"/>
        <v>0</v>
      </c>
      <c r="BC94" s="537">
        <f t="shared" si="96"/>
        <v>0</v>
      </c>
      <c r="BD94" s="374"/>
      <c r="BE94" s="374"/>
    </row>
    <row r="95" ht="24" spans="1:57">
      <c r="A95" s="528" t="s">
        <v>202</v>
      </c>
      <c r="B95" s="528" t="s">
        <v>404</v>
      </c>
      <c r="C95" s="528" t="s">
        <v>433</v>
      </c>
      <c r="D95" s="528" t="s">
        <v>406</v>
      </c>
      <c r="E95" s="529">
        <f t="shared" si="69"/>
        <v>89.24</v>
      </c>
      <c r="F95" s="530"/>
      <c r="G95" s="530"/>
      <c r="H95" s="530"/>
      <c r="I95" s="530"/>
      <c r="J95" s="530"/>
      <c r="K95" s="530">
        <v>30.72</v>
      </c>
      <c r="L95" s="530"/>
      <c r="M95" s="530"/>
      <c r="N95" s="530"/>
      <c r="O95" s="530"/>
      <c r="P95" s="530">
        <v>58.52</v>
      </c>
      <c r="Q95" s="530"/>
      <c r="R95" s="530"/>
      <c r="S95" s="530"/>
      <c r="T95" s="530"/>
      <c r="U95" s="530"/>
      <c r="V95" s="529">
        <f t="shared" si="70"/>
        <v>9.87</v>
      </c>
      <c r="W95" s="530"/>
      <c r="X95" s="530"/>
      <c r="Y95" s="530"/>
      <c r="Z95" s="530"/>
      <c r="AA95" s="530"/>
      <c r="AB95" s="530">
        <v>8.71</v>
      </c>
      <c r="AC95" s="530"/>
      <c r="AD95" s="530"/>
      <c r="AE95" s="530"/>
      <c r="AF95" s="530"/>
      <c r="AG95" s="530">
        <v>1.16</v>
      </c>
      <c r="AH95" s="530"/>
      <c r="AI95" s="530"/>
      <c r="AJ95" s="530"/>
      <c r="AK95" s="530"/>
      <c r="AL95" s="530"/>
      <c r="AM95" s="529">
        <f t="shared" si="71"/>
        <v>99.11</v>
      </c>
      <c r="AN95" s="537">
        <f t="shared" ref="AN95:BC95" si="97">F95+W95</f>
        <v>0</v>
      </c>
      <c r="AO95" s="537">
        <f t="shared" si="97"/>
        <v>0</v>
      </c>
      <c r="AP95" s="537">
        <f t="shared" si="97"/>
        <v>0</v>
      </c>
      <c r="AQ95" s="537">
        <f t="shared" si="97"/>
        <v>0</v>
      </c>
      <c r="AR95" s="537">
        <f t="shared" si="97"/>
        <v>0</v>
      </c>
      <c r="AS95" s="537">
        <f t="shared" si="97"/>
        <v>39.43</v>
      </c>
      <c r="AT95" s="537">
        <f t="shared" si="97"/>
        <v>0</v>
      </c>
      <c r="AU95" s="537">
        <f t="shared" si="97"/>
        <v>0</v>
      </c>
      <c r="AV95" s="537">
        <f t="shared" si="97"/>
        <v>0</v>
      </c>
      <c r="AW95" s="537">
        <f t="shared" si="97"/>
        <v>0</v>
      </c>
      <c r="AX95" s="537">
        <f t="shared" si="97"/>
        <v>59.68</v>
      </c>
      <c r="AY95" s="537">
        <f t="shared" si="97"/>
        <v>0</v>
      </c>
      <c r="AZ95" s="537">
        <f t="shared" si="97"/>
        <v>0</v>
      </c>
      <c r="BA95" s="537">
        <f t="shared" si="97"/>
        <v>0</v>
      </c>
      <c r="BB95" s="537">
        <f t="shared" si="97"/>
        <v>0</v>
      </c>
      <c r="BC95" s="537">
        <f t="shared" si="97"/>
        <v>0</v>
      </c>
      <c r="BD95" s="374"/>
      <c r="BE95" s="374"/>
    </row>
    <row r="96" ht="24" spans="1:57">
      <c r="A96" s="528" t="s">
        <v>202</v>
      </c>
      <c r="B96" s="528" t="s">
        <v>404</v>
      </c>
      <c r="C96" s="528" t="s">
        <v>766</v>
      </c>
      <c r="D96" s="528" t="s">
        <v>406</v>
      </c>
      <c r="E96" s="529">
        <f t="shared" si="69"/>
        <v>77</v>
      </c>
      <c r="F96" s="530"/>
      <c r="G96" s="530"/>
      <c r="H96" s="530"/>
      <c r="I96" s="530"/>
      <c r="J96" s="530"/>
      <c r="K96" s="530">
        <v>29.52</v>
      </c>
      <c r="L96" s="530"/>
      <c r="M96" s="530"/>
      <c r="N96" s="530"/>
      <c r="O96" s="530"/>
      <c r="P96" s="530">
        <v>47.48</v>
      </c>
      <c r="Q96" s="530"/>
      <c r="R96" s="530"/>
      <c r="S96" s="530"/>
      <c r="T96" s="530"/>
      <c r="U96" s="530"/>
      <c r="V96" s="529">
        <f t="shared" si="70"/>
        <v>3.21</v>
      </c>
      <c r="W96" s="530"/>
      <c r="X96" s="530"/>
      <c r="Y96" s="530"/>
      <c r="Z96" s="530"/>
      <c r="AA96" s="530"/>
      <c r="AB96" s="530">
        <v>7.61</v>
      </c>
      <c r="AC96" s="530"/>
      <c r="AD96" s="530"/>
      <c r="AE96" s="530"/>
      <c r="AF96" s="530"/>
      <c r="AG96" s="530">
        <v>-4.4</v>
      </c>
      <c r="AH96" s="530"/>
      <c r="AI96" s="530"/>
      <c r="AJ96" s="530"/>
      <c r="AK96" s="530"/>
      <c r="AL96" s="530"/>
      <c r="AM96" s="529">
        <f t="shared" si="71"/>
        <v>80.21</v>
      </c>
      <c r="AN96" s="537">
        <f t="shared" ref="AN96:BC96" si="98">F96+W96</f>
        <v>0</v>
      </c>
      <c r="AO96" s="537">
        <f t="shared" si="98"/>
        <v>0</v>
      </c>
      <c r="AP96" s="537">
        <f t="shared" si="98"/>
        <v>0</v>
      </c>
      <c r="AQ96" s="537">
        <f t="shared" si="98"/>
        <v>0</v>
      </c>
      <c r="AR96" s="537">
        <f t="shared" si="98"/>
        <v>0</v>
      </c>
      <c r="AS96" s="537">
        <f t="shared" si="98"/>
        <v>37.13</v>
      </c>
      <c r="AT96" s="537">
        <f t="shared" si="98"/>
        <v>0</v>
      </c>
      <c r="AU96" s="537">
        <f t="shared" si="98"/>
        <v>0</v>
      </c>
      <c r="AV96" s="537">
        <f t="shared" si="98"/>
        <v>0</v>
      </c>
      <c r="AW96" s="537">
        <f t="shared" si="98"/>
        <v>0</v>
      </c>
      <c r="AX96" s="537">
        <f t="shared" si="98"/>
        <v>43.08</v>
      </c>
      <c r="AY96" s="537">
        <f t="shared" si="98"/>
        <v>0</v>
      </c>
      <c r="AZ96" s="537">
        <f t="shared" si="98"/>
        <v>0</v>
      </c>
      <c r="BA96" s="537">
        <f t="shared" si="98"/>
        <v>0</v>
      </c>
      <c r="BB96" s="537">
        <f t="shared" si="98"/>
        <v>0</v>
      </c>
      <c r="BC96" s="537">
        <f t="shared" si="98"/>
        <v>0</v>
      </c>
      <c r="BD96" s="374"/>
      <c r="BE96" s="374"/>
    </row>
    <row r="97" ht="24" spans="1:57">
      <c r="A97" s="528" t="s">
        <v>202</v>
      </c>
      <c r="B97" s="528" t="s">
        <v>404</v>
      </c>
      <c r="C97" s="528" t="s">
        <v>435</v>
      </c>
      <c r="D97" s="528" t="s">
        <v>406</v>
      </c>
      <c r="E97" s="529">
        <f t="shared" si="69"/>
        <v>33.09</v>
      </c>
      <c r="F97" s="530"/>
      <c r="G97" s="530"/>
      <c r="H97" s="530"/>
      <c r="I97" s="530"/>
      <c r="J97" s="530"/>
      <c r="K97" s="530">
        <v>20.64</v>
      </c>
      <c r="L97" s="530"/>
      <c r="M97" s="530"/>
      <c r="N97" s="530"/>
      <c r="O97" s="530"/>
      <c r="P97" s="530">
        <v>12.45</v>
      </c>
      <c r="Q97" s="530"/>
      <c r="R97" s="530"/>
      <c r="S97" s="530"/>
      <c r="T97" s="530"/>
      <c r="U97" s="530"/>
      <c r="V97" s="529">
        <f t="shared" si="70"/>
        <v>4.3</v>
      </c>
      <c r="W97" s="530"/>
      <c r="X97" s="530"/>
      <c r="Y97" s="530"/>
      <c r="Z97" s="530"/>
      <c r="AA97" s="530"/>
      <c r="AB97" s="530">
        <v>4.96</v>
      </c>
      <c r="AC97" s="530"/>
      <c r="AD97" s="530"/>
      <c r="AE97" s="530"/>
      <c r="AF97" s="530"/>
      <c r="AG97" s="530">
        <v>-0.66</v>
      </c>
      <c r="AH97" s="530"/>
      <c r="AI97" s="530"/>
      <c r="AJ97" s="530"/>
      <c r="AK97" s="530"/>
      <c r="AL97" s="530"/>
      <c r="AM97" s="529">
        <f t="shared" si="71"/>
        <v>37.39</v>
      </c>
      <c r="AN97" s="537">
        <f t="shared" ref="AN97:BC97" si="99">F97+W97</f>
        <v>0</v>
      </c>
      <c r="AO97" s="537">
        <f t="shared" si="99"/>
        <v>0</v>
      </c>
      <c r="AP97" s="537">
        <f t="shared" si="99"/>
        <v>0</v>
      </c>
      <c r="AQ97" s="537">
        <f t="shared" si="99"/>
        <v>0</v>
      </c>
      <c r="AR97" s="537">
        <f t="shared" si="99"/>
        <v>0</v>
      </c>
      <c r="AS97" s="537">
        <f t="shared" si="99"/>
        <v>25.6</v>
      </c>
      <c r="AT97" s="537">
        <f t="shared" si="99"/>
        <v>0</v>
      </c>
      <c r="AU97" s="537">
        <f t="shared" si="99"/>
        <v>0</v>
      </c>
      <c r="AV97" s="537">
        <f t="shared" si="99"/>
        <v>0</v>
      </c>
      <c r="AW97" s="537">
        <f t="shared" si="99"/>
        <v>0</v>
      </c>
      <c r="AX97" s="537">
        <f t="shared" si="99"/>
        <v>11.79</v>
      </c>
      <c r="AY97" s="537">
        <f t="shared" si="99"/>
        <v>0</v>
      </c>
      <c r="AZ97" s="537">
        <f t="shared" si="99"/>
        <v>0</v>
      </c>
      <c r="BA97" s="537">
        <f t="shared" si="99"/>
        <v>0</v>
      </c>
      <c r="BB97" s="537">
        <f t="shared" si="99"/>
        <v>0</v>
      </c>
      <c r="BC97" s="537">
        <f t="shared" si="99"/>
        <v>0</v>
      </c>
      <c r="BD97" s="374"/>
      <c r="BE97" s="374"/>
    </row>
    <row r="98" ht="24" spans="1:57">
      <c r="A98" s="528" t="s">
        <v>202</v>
      </c>
      <c r="B98" s="528" t="s">
        <v>404</v>
      </c>
      <c r="C98" s="528" t="s">
        <v>436</v>
      </c>
      <c r="D98" s="528" t="s">
        <v>416</v>
      </c>
      <c r="E98" s="529">
        <f t="shared" si="69"/>
        <v>10.536</v>
      </c>
      <c r="F98" s="530"/>
      <c r="G98" s="530"/>
      <c r="H98" s="530"/>
      <c r="I98" s="530"/>
      <c r="J98" s="530"/>
      <c r="K98" s="530">
        <v>4.56</v>
      </c>
      <c r="L98" s="530"/>
      <c r="M98" s="530"/>
      <c r="N98" s="530"/>
      <c r="O98" s="530"/>
      <c r="P98" s="530">
        <v>5.976</v>
      </c>
      <c r="Q98" s="530"/>
      <c r="R98" s="530"/>
      <c r="S98" s="530"/>
      <c r="T98" s="530"/>
      <c r="U98" s="530"/>
      <c r="V98" s="529">
        <f t="shared" si="70"/>
        <v>0.87</v>
      </c>
      <c r="W98" s="530"/>
      <c r="X98" s="530"/>
      <c r="Y98" s="530"/>
      <c r="Z98" s="530"/>
      <c r="AA98" s="530"/>
      <c r="AB98" s="530">
        <v>0.87</v>
      </c>
      <c r="AC98" s="530"/>
      <c r="AD98" s="530"/>
      <c r="AE98" s="530"/>
      <c r="AF98" s="530"/>
      <c r="AG98" s="530"/>
      <c r="AH98" s="530"/>
      <c r="AI98" s="530"/>
      <c r="AJ98" s="530"/>
      <c r="AK98" s="530"/>
      <c r="AL98" s="530"/>
      <c r="AM98" s="529">
        <f t="shared" si="71"/>
        <v>11.406</v>
      </c>
      <c r="AN98" s="537">
        <f t="shared" ref="AN98:BC98" si="100">F98+W98</f>
        <v>0</v>
      </c>
      <c r="AO98" s="537">
        <f t="shared" si="100"/>
        <v>0</v>
      </c>
      <c r="AP98" s="537">
        <f t="shared" si="100"/>
        <v>0</v>
      </c>
      <c r="AQ98" s="537">
        <f t="shared" si="100"/>
        <v>0</v>
      </c>
      <c r="AR98" s="537">
        <f t="shared" si="100"/>
        <v>0</v>
      </c>
      <c r="AS98" s="537">
        <f t="shared" si="100"/>
        <v>5.43</v>
      </c>
      <c r="AT98" s="537">
        <f t="shared" si="100"/>
        <v>0</v>
      </c>
      <c r="AU98" s="537">
        <f t="shared" si="100"/>
        <v>0</v>
      </c>
      <c r="AV98" s="537">
        <f t="shared" si="100"/>
        <v>0</v>
      </c>
      <c r="AW98" s="537">
        <f t="shared" si="100"/>
        <v>0</v>
      </c>
      <c r="AX98" s="537">
        <f t="shared" si="100"/>
        <v>5.976</v>
      </c>
      <c r="AY98" s="537">
        <f t="shared" si="100"/>
        <v>0</v>
      </c>
      <c r="AZ98" s="537">
        <f t="shared" si="100"/>
        <v>0</v>
      </c>
      <c r="BA98" s="537">
        <f t="shared" si="100"/>
        <v>0</v>
      </c>
      <c r="BB98" s="537">
        <f t="shared" si="100"/>
        <v>0</v>
      </c>
      <c r="BC98" s="537">
        <f t="shared" si="100"/>
        <v>0</v>
      </c>
      <c r="BD98" s="374"/>
      <c r="BE98" s="374"/>
    </row>
    <row r="99" ht="24" spans="1:57">
      <c r="A99" s="528" t="s">
        <v>202</v>
      </c>
      <c r="B99" s="528" t="s">
        <v>404</v>
      </c>
      <c r="C99" s="528" t="s">
        <v>437</v>
      </c>
      <c r="D99" s="528" t="s">
        <v>406</v>
      </c>
      <c r="E99" s="529">
        <f t="shared" si="69"/>
        <v>37.2816</v>
      </c>
      <c r="F99" s="530"/>
      <c r="G99" s="530"/>
      <c r="H99" s="530"/>
      <c r="I99" s="530"/>
      <c r="J99" s="530"/>
      <c r="K99" s="530">
        <v>15.12</v>
      </c>
      <c r="L99" s="530"/>
      <c r="M99" s="530"/>
      <c r="N99" s="530"/>
      <c r="O99" s="530"/>
      <c r="P99" s="530">
        <v>22.1616</v>
      </c>
      <c r="Q99" s="530"/>
      <c r="R99" s="530"/>
      <c r="S99" s="530"/>
      <c r="T99" s="530"/>
      <c r="U99" s="530"/>
      <c r="V99" s="529">
        <f t="shared" si="70"/>
        <v>4.8</v>
      </c>
      <c r="W99" s="530"/>
      <c r="X99" s="530"/>
      <c r="Y99" s="530"/>
      <c r="Z99" s="530"/>
      <c r="AA99" s="530"/>
      <c r="AB99" s="530">
        <v>5.21</v>
      </c>
      <c r="AC99" s="530"/>
      <c r="AD99" s="530"/>
      <c r="AE99" s="530"/>
      <c r="AF99" s="530"/>
      <c r="AG99" s="530">
        <v>-0.41</v>
      </c>
      <c r="AH99" s="530"/>
      <c r="AI99" s="530"/>
      <c r="AJ99" s="530"/>
      <c r="AK99" s="530"/>
      <c r="AL99" s="530"/>
      <c r="AM99" s="529">
        <f t="shared" si="71"/>
        <v>42.0816</v>
      </c>
      <c r="AN99" s="537">
        <f t="shared" ref="AN99:BC99" si="101">F99+W99</f>
        <v>0</v>
      </c>
      <c r="AO99" s="537">
        <f t="shared" si="101"/>
        <v>0</v>
      </c>
      <c r="AP99" s="537">
        <f t="shared" si="101"/>
        <v>0</v>
      </c>
      <c r="AQ99" s="537">
        <f t="shared" si="101"/>
        <v>0</v>
      </c>
      <c r="AR99" s="537">
        <f t="shared" si="101"/>
        <v>0</v>
      </c>
      <c r="AS99" s="537">
        <f t="shared" si="101"/>
        <v>20.33</v>
      </c>
      <c r="AT99" s="537">
        <f t="shared" si="101"/>
        <v>0</v>
      </c>
      <c r="AU99" s="537">
        <f t="shared" si="101"/>
        <v>0</v>
      </c>
      <c r="AV99" s="537">
        <f t="shared" si="101"/>
        <v>0</v>
      </c>
      <c r="AW99" s="537">
        <f t="shared" si="101"/>
        <v>0</v>
      </c>
      <c r="AX99" s="537">
        <f t="shared" si="101"/>
        <v>21.7516</v>
      </c>
      <c r="AY99" s="537">
        <f t="shared" si="101"/>
        <v>0</v>
      </c>
      <c r="AZ99" s="537">
        <f t="shared" si="101"/>
        <v>0</v>
      </c>
      <c r="BA99" s="537">
        <f t="shared" si="101"/>
        <v>0</v>
      </c>
      <c r="BB99" s="537">
        <f t="shared" si="101"/>
        <v>0</v>
      </c>
      <c r="BC99" s="537">
        <f t="shared" si="101"/>
        <v>0</v>
      </c>
      <c r="BD99" s="374"/>
      <c r="BE99" s="374"/>
    </row>
    <row r="100" ht="24" spans="1:57">
      <c r="A100" s="528" t="s">
        <v>202</v>
      </c>
      <c r="B100" s="528" t="s">
        <v>404</v>
      </c>
      <c r="C100" s="528" t="s">
        <v>438</v>
      </c>
      <c r="D100" s="528" t="s">
        <v>416</v>
      </c>
      <c r="E100" s="529">
        <f t="shared" si="69"/>
        <v>14.2</v>
      </c>
      <c r="F100" s="530"/>
      <c r="G100" s="530"/>
      <c r="H100" s="530"/>
      <c r="I100" s="530"/>
      <c r="J100" s="530"/>
      <c r="K100" s="530">
        <v>5.04</v>
      </c>
      <c r="L100" s="530"/>
      <c r="M100" s="530"/>
      <c r="N100" s="530"/>
      <c r="O100" s="530"/>
      <c r="P100" s="530">
        <v>9.16</v>
      </c>
      <c r="Q100" s="530"/>
      <c r="R100" s="530"/>
      <c r="S100" s="530"/>
      <c r="T100" s="530"/>
      <c r="U100" s="530"/>
      <c r="V100" s="529">
        <f t="shared" si="70"/>
        <v>1.09</v>
      </c>
      <c r="W100" s="530"/>
      <c r="X100" s="530"/>
      <c r="Y100" s="530"/>
      <c r="Z100" s="530"/>
      <c r="AA100" s="530"/>
      <c r="AB100" s="530">
        <v>1.09</v>
      </c>
      <c r="AC100" s="530"/>
      <c r="AD100" s="530"/>
      <c r="AE100" s="530"/>
      <c r="AF100" s="530"/>
      <c r="AG100" s="530"/>
      <c r="AH100" s="530"/>
      <c r="AI100" s="530"/>
      <c r="AJ100" s="530"/>
      <c r="AK100" s="530"/>
      <c r="AL100" s="530"/>
      <c r="AM100" s="529">
        <f t="shared" si="71"/>
        <v>15.29</v>
      </c>
      <c r="AN100" s="537">
        <f t="shared" ref="AN100:BC100" si="102">F100+W100</f>
        <v>0</v>
      </c>
      <c r="AO100" s="537">
        <f t="shared" si="102"/>
        <v>0</v>
      </c>
      <c r="AP100" s="537">
        <f t="shared" si="102"/>
        <v>0</v>
      </c>
      <c r="AQ100" s="537">
        <f t="shared" si="102"/>
        <v>0</v>
      </c>
      <c r="AR100" s="537">
        <f t="shared" si="102"/>
        <v>0</v>
      </c>
      <c r="AS100" s="537">
        <f t="shared" si="102"/>
        <v>6.13</v>
      </c>
      <c r="AT100" s="537">
        <f t="shared" si="102"/>
        <v>0</v>
      </c>
      <c r="AU100" s="537">
        <f t="shared" si="102"/>
        <v>0</v>
      </c>
      <c r="AV100" s="537">
        <f t="shared" si="102"/>
        <v>0</v>
      </c>
      <c r="AW100" s="537">
        <f t="shared" si="102"/>
        <v>0</v>
      </c>
      <c r="AX100" s="537">
        <f t="shared" si="102"/>
        <v>9.16</v>
      </c>
      <c r="AY100" s="537">
        <f t="shared" si="102"/>
        <v>0</v>
      </c>
      <c r="AZ100" s="537">
        <f t="shared" si="102"/>
        <v>0</v>
      </c>
      <c r="BA100" s="537">
        <f t="shared" si="102"/>
        <v>0</v>
      </c>
      <c r="BB100" s="537">
        <f t="shared" si="102"/>
        <v>0</v>
      </c>
      <c r="BC100" s="537">
        <f t="shared" si="102"/>
        <v>0</v>
      </c>
      <c r="BD100" s="374"/>
      <c r="BE100" s="374"/>
    </row>
    <row r="101" ht="24" spans="1:57">
      <c r="A101" s="528" t="s">
        <v>202</v>
      </c>
      <c r="B101" s="528" t="s">
        <v>404</v>
      </c>
      <c r="C101" s="528" t="s">
        <v>439</v>
      </c>
      <c r="D101" s="528" t="s">
        <v>406</v>
      </c>
      <c r="E101" s="529">
        <f t="shared" si="69"/>
        <v>86.76</v>
      </c>
      <c r="F101" s="530"/>
      <c r="G101" s="530"/>
      <c r="H101" s="530"/>
      <c r="I101" s="530"/>
      <c r="J101" s="530"/>
      <c r="K101" s="530">
        <v>17.52</v>
      </c>
      <c r="L101" s="530"/>
      <c r="M101" s="530"/>
      <c r="N101" s="530"/>
      <c r="O101" s="530"/>
      <c r="P101" s="530">
        <v>69.24</v>
      </c>
      <c r="Q101" s="530"/>
      <c r="R101" s="530"/>
      <c r="S101" s="530"/>
      <c r="T101" s="530"/>
      <c r="U101" s="530"/>
      <c r="V101" s="529">
        <f t="shared" si="70"/>
        <v>7.29</v>
      </c>
      <c r="W101" s="530"/>
      <c r="X101" s="530"/>
      <c r="Y101" s="530"/>
      <c r="Z101" s="530"/>
      <c r="AA101" s="530"/>
      <c r="AB101" s="530">
        <v>5.46</v>
      </c>
      <c r="AC101" s="530"/>
      <c r="AD101" s="530"/>
      <c r="AE101" s="530"/>
      <c r="AF101" s="530"/>
      <c r="AG101" s="530">
        <v>1.83</v>
      </c>
      <c r="AH101" s="530"/>
      <c r="AI101" s="530"/>
      <c r="AJ101" s="530"/>
      <c r="AK101" s="530"/>
      <c r="AL101" s="530"/>
      <c r="AM101" s="529">
        <f t="shared" si="71"/>
        <v>94.05</v>
      </c>
      <c r="AN101" s="537">
        <f t="shared" ref="AN101:BC101" si="103">F101+W101</f>
        <v>0</v>
      </c>
      <c r="AO101" s="537">
        <f t="shared" si="103"/>
        <v>0</v>
      </c>
      <c r="AP101" s="537">
        <f t="shared" si="103"/>
        <v>0</v>
      </c>
      <c r="AQ101" s="537">
        <f t="shared" si="103"/>
        <v>0</v>
      </c>
      <c r="AR101" s="537">
        <f t="shared" si="103"/>
        <v>0</v>
      </c>
      <c r="AS101" s="537">
        <f t="shared" si="103"/>
        <v>22.98</v>
      </c>
      <c r="AT101" s="537">
        <f t="shared" si="103"/>
        <v>0</v>
      </c>
      <c r="AU101" s="537">
        <f t="shared" si="103"/>
        <v>0</v>
      </c>
      <c r="AV101" s="537">
        <f t="shared" si="103"/>
        <v>0</v>
      </c>
      <c r="AW101" s="537">
        <f t="shared" si="103"/>
        <v>0</v>
      </c>
      <c r="AX101" s="537">
        <f t="shared" si="103"/>
        <v>71.07</v>
      </c>
      <c r="AY101" s="537">
        <f t="shared" si="103"/>
        <v>0</v>
      </c>
      <c r="AZ101" s="537">
        <f t="shared" si="103"/>
        <v>0</v>
      </c>
      <c r="BA101" s="537">
        <f t="shared" si="103"/>
        <v>0</v>
      </c>
      <c r="BB101" s="537">
        <f t="shared" si="103"/>
        <v>0</v>
      </c>
      <c r="BC101" s="537">
        <f t="shared" si="103"/>
        <v>0</v>
      </c>
      <c r="BD101" s="374"/>
      <c r="BE101" s="374"/>
    </row>
    <row r="102" ht="24" spans="1:57">
      <c r="A102" s="528" t="s">
        <v>202</v>
      </c>
      <c r="B102" s="528" t="s">
        <v>400</v>
      </c>
      <c r="C102" s="528" t="s">
        <v>440</v>
      </c>
      <c r="D102" s="528" t="s">
        <v>441</v>
      </c>
      <c r="E102" s="529">
        <f t="shared" si="69"/>
        <v>10.08</v>
      </c>
      <c r="F102" s="530"/>
      <c r="G102" s="530"/>
      <c r="H102" s="530"/>
      <c r="I102" s="530"/>
      <c r="J102" s="530"/>
      <c r="K102" s="530">
        <v>10.08</v>
      </c>
      <c r="L102" s="530"/>
      <c r="M102" s="530"/>
      <c r="N102" s="530"/>
      <c r="O102" s="530"/>
      <c r="P102" s="530"/>
      <c r="Q102" s="530"/>
      <c r="R102" s="530"/>
      <c r="S102" s="530"/>
      <c r="T102" s="530"/>
      <c r="U102" s="530"/>
      <c r="V102" s="529">
        <f t="shared" si="70"/>
        <v>3.02</v>
      </c>
      <c r="W102" s="530"/>
      <c r="X102" s="530"/>
      <c r="Y102" s="530"/>
      <c r="Z102" s="530"/>
      <c r="AA102" s="530"/>
      <c r="AB102" s="530">
        <v>3.02</v>
      </c>
      <c r="AC102" s="530"/>
      <c r="AD102" s="530"/>
      <c r="AE102" s="530"/>
      <c r="AF102" s="530"/>
      <c r="AG102" s="530"/>
      <c r="AH102" s="530"/>
      <c r="AI102" s="530"/>
      <c r="AJ102" s="530"/>
      <c r="AK102" s="530"/>
      <c r="AL102" s="530"/>
      <c r="AM102" s="529">
        <f t="shared" si="71"/>
        <v>13.1</v>
      </c>
      <c r="AN102" s="537">
        <f t="shared" ref="AN102:BC102" si="104">F102+W102</f>
        <v>0</v>
      </c>
      <c r="AO102" s="537">
        <f t="shared" si="104"/>
        <v>0</v>
      </c>
      <c r="AP102" s="537">
        <f t="shared" si="104"/>
        <v>0</v>
      </c>
      <c r="AQ102" s="537">
        <f t="shared" si="104"/>
        <v>0</v>
      </c>
      <c r="AR102" s="537">
        <f t="shared" si="104"/>
        <v>0</v>
      </c>
      <c r="AS102" s="537">
        <f t="shared" si="104"/>
        <v>13.1</v>
      </c>
      <c r="AT102" s="537">
        <f t="shared" si="104"/>
        <v>0</v>
      </c>
      <c r="AU102" s="537">
        <f t="shared" si="104"/>
        <v>0</v>
      </c>
      <c r="AV102" s="537">
        <f t="shared" si="104"/>
        <v>0</v>
      </c>
      <c r="AW102" s="537">
        <f t="shared" si="104"/>
        <v>0</v>
      </c>
      <c r="AX102" s="537">
        <f t="shared" si="104"/>
        <v>0</v>
      </c>
      <c r="AY102" s="537">
        <f t="shared" si="104"/>
        <v>0</v>
      </c>
      <c r="AZ102" s="537">
        <f t="shared" si="104"/>
        <v>0</v>
      </c>
      <c r="BA102" s="537">
        <f t="shared" si="104"/>
        <v>0</v>
      </c>
      <c r="BB102" s="537">
        <f t="shared" si="104"/>
        <v>0</v>
      </c>
      <c r="BC102" s="537">
        <f t="shared" si="104"/>
        <v>0</v>
      </c>
      <c r="BD102" s="374"/>
      <c r="BE102" s="374"/>
    </row>
    <row r="103" ht="24" spans="1:57">
      <c r="A103" s="528" t="s">
        <v>202</v>
      </c>
      <c r="B103" s="528" t="s">
        <v>404</v>
      </c>
      <c r="C103" s="528" t="s">
        <v>442</v>
      </c>
      <c r="D103" s="528" t="s">
        <v>416</v>
      </c>
      <c r="E103" s="529">
        <f t="shared" si="69"/>
        <v>6.45</v>
      </c>
      <c r="F103" s="530"/>
      <c r="G103" s="530"/>
      <c r="H103" s="530"/>
      <c r="I103" s="530"/>
      <c r="J103" s="530"/>
      <c r="K103" s="530">
        <v>4.56</v>
      </c>
      <c r="L103" s="530"/>
      <c r="M103" s="530"/>
      <c r="N103" s="530"/>
      <c r="O103" s="530"/>
      <c r="P103" s="530">
        <v>1.89</v>
      </c>
      <c r="Q103" s="530"/>
      <c r="R103" s="530"/>
      <c r="S103" s="530"/>
      <c r="T103" s="530"/>
      <c r="U103" s="530"/>
      <c r="V103" s="529">
        <f t="shared" si="70"/>
        <v>25.55</v>
      </c>
      <c r="W103" s="530"/>
      <c r="X103" s="530"/>
      <c r="Y103" s="530"/>
      <c r="Z103" s="530"/>
      <c r="AA103" s="530"/>
      <c r="AB103" s="530">
        <v>3.27</v>
      </c>
      <c r="AC103" s="530"/>
      <c r="AD103" s="530"/>
      <c r="AE103" s="530"/>
      <c r="AF103" s="530"/>
      <c r="AG103" s="530">
        <v>1.04</v>
      </c>
      <c r="AH103" s="530"/>
      <c r="AI103" s="530"/>
      <c r="AJ103" s="530"/>
      <c r="AK103" s="530"/>
      <c r="AL103" s="530">
        <v>21.24</v>
      </c>
      <c r="AM103" s="529">
        <f t="shared" si="71"/>
        <v>32</v>
      </c>
      <c r="AN103" s="537">
        <f t="shared" ref="AN103:BC103" si="105">F103+W103</f>
        <v>0</v>
      </c>
      <c r="AO103" s="537">
        <f t="shared" si="105"/>
        <v>0</v>
      </c>
      <c r="AP103" s="537">
        <f t="shared" si="105"/>
        <v>0</v>
      </c>
      <c r="AQ103" s="537">
        <f t="shared" si="105"/>
        <v>0</v>
      </c>
      <c r="AR103" s="537">
        <f t="shared" si="105"/>
        <v>0</v>
      </c>
      <c r="AS103" s="537">
        <f t="shared" si="105"/>
        <v>7.83</v>
      </c>
      <c r="AT103" s="537">
        <f t="shared" si="105"/>
        <v>0</v>
      </c>
      <c r="AU103" s="537">
        <f t="shared" si="105"/>
        <v>0</v>
      </c>
      <c r="AV103" s="537">
        <f t="shared" si="105"/>
        <v>0</v>
      </c>
      <c r="AW103" s="537">
        <f t="shared" si="105"/>
        <v>0</v>
      </c>
      <c r="AX103" s="537">
        <f t="shared" si="105"/>
        <v>2.93</v>
      </c>
      <c r="AY103" s="537">
        <f t="shared" si="105"/>
        <v>0</v>
      </c>
      <c r="AZ103" s="537">
        <f t="shared" si="105"/>
        <v>0</v>
      </c>
      <c r="BA103" s="537">
        <f t="shared" si="105"/>
        <v>0</v>
      </c>
      <c r="BB103" s="537">
        <f t="shared" si="105"/>
        <v>0</v>
      </c>
      <c r="BC103" s="537">
        <f t="shared" si="105"/>
        <v>21.24</v>
      </c>
      <c r="BD103" s="374"/>
      <c r="BE103" s="374"/>
    </row>
    <row r="104" ht="24" spans="1:57">
      <c r="A104" s="528" t="s">
        <v>202</v>
      </c>
      <c r="B104" s="528" t="s">
        <v>404</v>
      </c>
      <c r="C104" s="528" t="s">
        <v>443</v>
      </c>
      <c r="D104" s="528" t="s">
        <v>406</v>
      </c>
      <c r="E104" s="529">
        <f t="shared" si="69"/>
        <v>22.01</v>
      </c>
      <c r="F104" s="530"/>
      <c r="G104" s="530"/>
      <c r="H104" s="530"/>
      <c r="I104" s="530"/>
      <c r="J104" s="530"/>
      <c r="K104" s="530">
        <v>10.56</v>
      </c>
      <c r="L104" s="530"/>
      <c r="M104" s="530"/>
      <c r="N104" s="530"/>
      <c r="O104" s="530"/>
      <c r="P104" s="530">
        <v>11.45</v>
      </c>
      <c r="Q104" s="530"/>
      <c r="R104" s="530"/>
      <c r="S104" s="530"/>
      <c r="T104" s="530"/>
      <c r="U104" s="530"/>
      <c r="V104" s="529">
        <f t="shared" si="70"/>
        <v>2.06</v>
      </c>
      <c r="W104" s="530"/>
      <c r="X104" s="530"/>
      <c r="Y104" s="530"/>
      <c r="Z104" s="530"/>
      <c r="AA104" s="530"/>
      <c r="AB104" s="530">
        <v>2.97</v>
      </c>
      <c r="AC104" s="530"/>
      <c r="AD104" s="530"/>
      <c r="AE104" s="530"/>
      <c r="AF104" s="530"/>
      <c r="AG104" s="530">
        <v>-0.91</v>
      </c>
      <c r="AH104" s="530"/>
      <c r="AI104" s="530"/>
      <c r="AJ104" s="530"/>
      <c r="AK104" s="530"/>
      <c r="AL104" s="530"/>
      <c r="AM104" s="529">
        <f t="shared" si="71"/>
        <v>24.07</v>
      </c>
      <c r="AN104" s="537">
        <f t="shared" ref="AN104:BC104" si="106">F104+W104</f>
        <v>0</v>
      </c>
      <c r="AO104" s="537">
        <f t="shared" si="106"/>
        <v>0</v>
      </c>
      <c r="AP104" s="537">
        <f t="shared" si="106"/>
        <v>0</v>
      </c>
      <c r="AQ104" s="537">
        <f t="shared" si="106"/>
        <v>0</v>
      </c>
      <c r="AR104" s="537">
        <f t="shared" si="106"/>
        <v>0</v>
      </c>
      <c r="AS104" s="537">
        <f t="shared" si="106"/>
        <v>13.53</v>
      </c>
      <c r="AT104" s="537">
        <f t="shared" si="106"/>
        <v>0</v>
      </c>
      <c r="AU104" s="537">
        <f t="shared" si="106"/>
        <v>0</v>
      </c>
      <c r="AV104" s="537">
        <f t="shared" si="106"/>
        <v>0</v>
      </c>
      <c r="AW104" s="537">
        <f t="shared" si="106"/>
        <v>0</v>
      </c>
      <c r="AX104" s="537">
        <f t="shared" si="106"/>
        <v>10.54</v>
      </c>
      <c r="AY104" s="537">
        <f t="shared" si="106"/>
        <v>0</v>
      </c>
      <c r="AZ104" s="537">
        <f t="shared" si="106"/>
        <v>0</v>
      </c>
      <c r="BA104" s="537">
        <f t="shared" si="106"/>
        <v>0</v>
      </c>
      <c r="BB104" s="537">
        <f t="shared" si="106"/>
        <v>0</v>
      </c>
      <c r="BC104" s="537">
        <f t="shared" si="106"/>
        <v>0</v>
      </c>
      <c r="BD104" s="374"/>
      <c r="BE104" s="374"/>
    </row>
    <row r="105" ht="24" spans="1:57">
      <c r="A105" s="528" t="s">
        <v>202</v>
      </c>
      <c r="B105" s="528" t="s">
        <v>404</v>
      </c>
      <c r="C105" s="528" t="s">
        <v>444</v>
      </c>
      <c r="D105" s="528" t="s">
        <v>406</v>
      </c>
      <c r="E105" s="529">
        <f t="shared" si="69"/>
        <v>36.552</v>
      </c>
      <c r="F105" s="530"/>
      <c r="G105" s="530"/>
      <c r="H105" s="530"/>
      <c r="I105" s="530"/>
      <c r="J105" s="530"/>
      <c r="K105" s="530">
        <v>14.64</v>
      </c>
      <c r="L105" s="530"/>
      <c r="M105" s="530"/>
      <c r="N105" s="530"/>
      <c r="O105" s="530"/>
      <c r="P105" s="530">
        <v>21.912</v>
      </c>
      <c r="Q105" s="530"/>
      <c r="R105" s="530"/>
      <c r="S105" s="530"/>
      <c r="T105" s="530"/>
      <c r="U105" s="530"/>
      <c r="V105" s="529">
        <f t="shared" si="70"/>
        <v>4.25</v>
      </c>
      <c r="W105" s="530"/>
      <c r="X105" s="530"/>
      <c r="Y105" s="530"/>
      <c r="Z105" s="530"/>
      <c r="AA105" s="530"/>
      <c r="AB105" s="530">
        <v>4.49</v>
      </c>
      <c r="AC105" s="530"/>
      <c r="AD105" s="530"/>
      <c r="AE105" s="530"/>
      <c r="AF105" s="530"/>
      <c r="AG105" s="530">
        <v>-0.24</v>
      </c>
      <c r="AH105" s="530"/>
      <c r="AI105" s="530"/>
      <c r="AJ105" s="530"/>
      <c r="AK105" s="530"/>
      <c r="AL105" s="530"/>
      <c r="AM105" s="529">
        <f t="shared" si="71"/>
        <v>40.802</v>
      </c>
      <c r="AN105" s="537">
        <f t="shared" ref="AN105:BC105" si="107">F105+W105</f>
        <v>0</v>
      </c>
      <c r="AO105" s="537">
        <f t="shared" si="107"/>
        <v>0</v>
      </c>
      <c r="AP105" s="537">
        <f t="shared" si="107"/>
        <v>0</v>
      </c>
      <c r="AQ105" s="537">
        <f t="shared" si="107"/>
        <v>0</v>
      </c>
      <c r="AR105" s="537">
        <f t="shared" si="107"/>
        <v>0</v>
      </c>
      <c r="AS105" s="537">
        <f t="shared" si="107"/>
        <v>19.13</v>
      </c>
      <c r="AT105" s="537">
        <f t="shared" si="107"/>
        <v>0</v>
      </c>
      <c r="AU105" s="537">
        <f t="shared" si="107"/>
        <v>0</v>
      </c>
      <c r="AV105" s="537">
        <f t="shared" si="107"/>
        <v>0</v>
      </c>
      <c r="AW105" s="537">
        <f t="shared" si="107"/>
        <v>0</v>
      </c>
      <c r="AX105" s="537">
        <f t="shared" si="107"/>
        <v>21.672</v>
      </c>
      <c r="AY105" s="537">
        <f t="shared" si="107"/>
        <v>0</v>
      </c>
      <c r="AZ105" s="537">
        <f t="shared" si="107"/>
        <v>0</v>
      </c>
      <c r="BA105" s="537">
        <f t="shared" si="107"/>
        <v>0</v>
      </c>
      <c r="BB105" s="537">
        <f t="shared" si="107"/>
        <v>0</v>
      </c>
      <c r="BC105" s="537">
        <f t="shared" si="107"/>
        <v>0</v>
      </c>
      <c r="BD105" s="374"/>
      <c r="BE105" s="374"/>
    </row>
    <row r="106" ht="24" spans="1:57">
      <c r="A106" s="528" t="s">
        <v>202</v>
      </c>
      <c r="B106" s="528" t="s">
        <v>404</v>
      </c>
      <c r="C106" s="1" t="s">
        <v>445</v>
      </c>
      <c r="D106" s="528" t="s">
        <v>416</v>
      </c>
      <c r="E106" s="529">
        <f t="shared" si="69"/>
        <v>9.8</v>
      </c>
      <c r="F106" s="530"/>
      <c r="G106" s="530"/>
      <c r="H106" s="530"/>
      <c r="I106" s="530"/>
      <c r="J106" s="530"/>
      <c r="K106" s="530">
        <v>4.32</v>
      </c>
      <c r="L106" s="530"/>
      <c r="M106" s="530"/>
      <c r="N106" s="530"/>
      <c r="O106" s="530"/>
      <c r="P106" s="530">
        <v>5.48</v>
      </c>
      <c r="Q106" s="530"/>
      <c r="R106" s="530"/>
      <c r="S106" s="530"/>
      <c r="T106" s="530"/>
      <c r="U106" s="530"/>
      <c r="V106" s="529">
        <f t="shared" si="70"/>
        <v>1.353</v>
      </c>
      <c r="W106" s="530"/>
      <c r="X106" s="530"/>
      <c r="Y106" s="530"/>
      <c r="Z106" s="530"/>
      <c r="AA106" s="530"/>
      <c r="AB106" s="530">
        <v>0.68</v>
      </c>
      <c r="AC106" s="530"/>
      <c r="AD106" s="530"/>
      <c r="AE106" s="530"/>
      <c r="AF106" s="530"/>
      <c r="AG106" s="530">
        <v>0.673</v>
      </c>
      <c r="AH106" s="530"/>
      <c r="AI106" s="530"/>
      <c r="AJ106" s="530"/>
      <c r="AK106" s="530"/>
      <c r="AL106" s="530"/>
      <c r="AM106" s="529">
        <f t="shared" si="71"/>
        <v>11.153</v>
      </c>
      <c r="AN106" s="537">
        <f t="shared" ref="AN106:BC106" si="108">F106+W106</f>
        <v>0</v>
      </c>
      <c r="AO106" s="537">
        <f t="shared" si="108"/>
        <v>0</v>
      </c>
      <c r="AP106" s="537">
        <f t="shared" si="108"/>
        <v>0</v>
      </c>
      <c r="AQ106" s="537">
        <f t="shared" si="108"/>
        <v>0</v>
      </c>
      <c r="AR106" s="537">
        <f t="shared" si="108"/>
        <v>0</v>
      </c>
      <c r="AS106" s="537">
        <f t="shared" si="108"/>
        <v>5</v>
      </c>
      <c r="AT106" s="537">
        <f t="shared" si="108"/>
        <v>0</v>
      </c>
      <c r="AU106" s="537">
        <f t="shared" si="108"/>
        <v>0</v>
      </c>
      <c r="AV106" s="537">
        <f t="shared" si="108"/>
        <v>0</v>
      </c>
      <c r="AW106" s="537">
        <f t="shared" si="108"/>
        <v>0</v>
      </c>
      <c r="AX106" s="537">
        <f t="shared" si="108"/>
        <v>6.153</v>
      </c>
      <c r="AY106" s="537">
        <f t="shared" si="108"/>
        <v>0</v>
      </c>
      <c r="AZ106" s="537">
        <f t="shared" si="108"/>
        <v>0</v>
      </c>
      <c r="BA106" s="537">
        <f t="shared" si="108"/>
        <v>0</v>
      </c>
      <c r="BB106" s="537">
        <f t="shared" si="108"/>
        <v>0</v>
      </c>
      <c r="BC106" s="537">
        <f t="shared" si="108"/>
        <v>0</v>
      </c>
      <c r="BD106" s="374"/>
      <c r="BE106" s="374"/>
    </row>
    <row r="107" ht="24" spans="1:57">
      <c r="A107" s="528" t="s">
        <v>202</v>
      </c>
      <c r="B107" s="528" t="s">
        <v>404</v>
      </c>
      <c r="C107" s="1" t="s">
        <v>446</v>
      </c>
      <c r="D107" s="528" t="s">
        <v>416</v>
      </c>
      <c r="E107" s="529">
        <f t="shared" si="69"/>
        <v>21.37</v>
      </c>
      <c r="F107" s="530"/>
      <c r="G107" s="530"/>
      <c r="H107" s="530"/>
      <c r="I107" s="530"/>
      <c r="J107" s="530"/>
      <c r="K107" s="530">
        <v>7.92</v>
      </c>
      <c r="L107" s="530"/>
      <c r="M107" s="530"/>
      <c r="N107" s="530"/>
      <c r="O107" s="530"/>
      <c r="P107" s="530">
        <v>13.45</v>
      </c>
      <c r="Q107" s="530"/>
      <c r="R107" s="530"/>
      <c r="S107" s="530"/>
      <c r="T107" s="530"/>
      <c r="U107" s="530"/>
      <c r="V107" s="529">
        <f t="shared" si="70"/>
        <v>3.38</v>
      </c>
      <c r="W107" s="530"/>
      <c r="X107" s="530"/>
      <c r="Y107" s="530"/>
      <c r="Z107" s="530"/>
      <c r="AA107" s="530"/>
      <c r="AB107" s="530">
        <v>1.47</v>
      </c>
      <c r="AC107" s="530"/>
      <c r="AD107" s="530"/>
      <c r="AE107" s="530"/>
      <c r="AF107" s="530"/>
      <c r="AG107" s="530">
        <v>1.91</v>
      </c>
      <c r="AH107" s="530"/>
      <c r="AI107" s="530"/>
      <c r="AJ107" s="530"/>
      <c r="AK107" s="530"/>
      <c r="AL107" s="530"/>
      <c r="AM107" s="529">
        <f t="shared" si="71"/>
        <v>24.75</v>
      </c>
      <c r="AN107" s="537">
        <f t="shared" ref="AN107:BC107" si="109">F107+W107</f>
        <v>0</v>
      </c>
      <c r="AO107" s="537">
        <f t="shared" si="109"/>
        <v>0</v>
      </c>
      <c r="AP107" s="537">
        <f t="shared" si="109"/>
        <v>0</v>
      </c>
      <c r="AQ107" s="537">
        <f t="shared" si="109"/>
        <v>0</v>
      </c>
      <c r="AR107" s="537">
        <f t="shared" si="109"/>
        <v>0</v>
      </c>
      <c r="AS107" s="537">
        <f t="shared" si="109"/>
        <v>9.39</v>
      </c>
      <c r="AT107" s="537">
        <f t="shared" si="109"/>
        <v>0</v>
      </c>
      <c r="AU107" s="537">
        <f t="shared" si="109"/>
        <v>0</v>
      </c>
      <c r="AV107" s="537">
        <f t="shared" si="109"/>
        <v>0</v>
      </c>
      <c r="AW107" s="537">
        <f t="shared" si="109"/>
        <v>0</v>
      </c>
      <c r="AX107" s="537">
        <f t="shared" si="109"/>
        <v>15.36</v>
      </c>
      <c r="AY107" s="537">
        <f t="shared" si="109"/>
        <v>0</v>
      </c>
      <c r="AZ107" s="537">
        <f t="shared" si="109"/>
        <v>0</v>
      </c>
      <c r="BA107" s="537">
        <f t="shared" si="109"/>
        <v>0</v>
      </c>
      <c r="BB107" s="537">
        <f t="shared" si="109"/>
        <v>0</v>
      </c>
      <c r="BC107" s="537">
        <f t="shared" si="109"/>
        <v>0</v>
      </c>
      <c r="BD107" s="374"/>
      <c r="BE107" s="374"/>
    </row>
    <row r="108" ht="24" spans="1:57">
      <c r="A108" s="528" t="s">
        <v>202</v>
      </c>
      <c r="B108" s="528" t="s">
        <v>404</v>
      </c>
      <c r="C108" s="528" t="s">
        <v>447</v>
      </c>
      <c r="D108" s="528" t="s">
        <v>406</v>
      </c>
      <c r="E108" s="529">
        <f t="shared" si="69"/>
        <v>34.62</v>
      </c>
      <c r="F108" s="530"/>
      <c r="G108" s="530"/>
      <c r="H108" s="530"/>
      <c r="I108" s="530"/>
      <c r="J108" s="530"/>
      <c r="K108" s="530">
        <v>19.68</v>
      </c>
      <c r="L108" s="530"/>
      <c r="M108" s="530"/>
      <c r="N108" s="530"/>
      <c r="O108" s="530"/>
      <c r="P108" s="530">
        <v>14.94</v>
      </c>
      <c r="Q108" s="530"/>
      <c r="R108" s="530"/>
      <c r="S108" s="530"/>
      <c r="T108" s="530"/>
      <c r="U108" s="530"/>
      <c r="V108" s="529">
        <f t="shared" si="70"/>
        <v>23.62</v>
      </c>
      <c r="W108" s="530"/>
      <c r="X108" s="530"/>
      <c r="Y108" s="530"/>
      <c r="Z108" s="530"/>
      <c r="AA108" s="530"/>
      <c r="AB108" s="530">
        <v>5.85</v>
      </c>
      <c r="AC108" s="530"/>
      <c r="AD108" s="530"/>
      <c r="AE108" s="530"/>
      <c r="AF108" s="530"/>
      <c r="AG108" s="530">
        <v>4.95</v>
      </c>
      <c r="AH108" s="530"/>
      <c r="AI108" s="530"/>
      <c r="AJ108" s="530"/>
      <c r="AK108" s="530"/>
      <c r="AL108" s="530">
        <v>12.82</v>
      </c>
      <c r="AM108" s="529">
        <f t="shared" si="71"/>
        <v>58.24</v>
      </c>
      <c r="AN108" s="537">
        <f t="shared" ref="AN108:BC108" si="110">F108+W108</f>
        <v>0</v>
      </c>
      <c r="AO108" s="537">
        <f t="shared" si="110"/>
        <v>0</v>
      </c>
      <c r="AP108" s="537">
        <f t="shared" si="110"/>
        <v>0</v>
      </c>
      <c r="AQ108" s="537">
        <f t="shared" si="110"/>
        <v>0</v>
      </c>
      <c r="AR108" s="537">
        <f t="shared" si="110"/>
        <v>0</v>
      </c>
      <c r="AS108" s="537">
        <f t="shared" si="110"/>
        <v>25.53</v>
      </c>
      <c r="AT108" s="537">
        <f t="shared" si="110"/>
        <v>0</v>
      </c>
      <c r="AU108" s="537">
        <f t="shared" si="110"/>
        <v>0</v>
      </c>
      <c r="AV108" s="537">
        <f t="shared" si="110"/>
        <v>0</v>
      </c>
      <c r="AW108" s="537">
        <f t="shared" si="110"/>
        <v>0</v>
      </c>
      <c r="AX108" s="537">
        <f t="shared" si="110"/>
        <v>19.89</v>
      </c>
      <c r="AY108" s="537">
        <f t="shared" si="110"/>
        <v>0</v>
      </c>
      <c r="AZ108" s="537">
        <f t="shared" si="110"/>
        <v>0</v>
      </c>
      <c r="BA108" s="537">
        <f t="shared" si="110"/>
        <v>0</v>
      </c>
      <c r="BB108" s="537">
        <f t="shared" si="110"/>
        <v>0</v>
      </c>
      <c r="BC108" s="537">
        <f t="shared" si="110"/>
        <v>12.82</v>
      </c>
      <c r="BD108" s="374"/>
      <c r="BE108" s="374"/>
    </row>
    <row r="109" ht="24" spans="1:57">
      <c r="A109" s="528" t="s">
        <v>202</v>
      </c>
      <c r="B109" s="528" t="s">
        <v>404</v>
      </c>
      <c r="C109" s="528" t="s">
        <v>448</v>
      </c>
      <c r="D109" s="528" t="s">
        <v>416</v>
      </c>
      <c r="E109" s="529">
        <f t="shared" si="69"/>
        <v>9.66</v>
      </c>
      <c r="F109" s="530"/>
      <c r="G109" s="530"/>
      <c r="H109" s="530"/>
      <c r="I109" s="530"/>
      <c r="J109" s="530"/>
      <c r="K109" s="530">
        <v>3.84</v>
      </c>
      <c r="L109" s="530"/>
      <c r="M109" s="530"/>
      <c r="N109" s="530"/>
      <c r="O109" s="530"/>
      <c r="P109" s="530">
        <v>5.82</v>
      </c>
      <c r="Q109" s="530"/>
      <c r="R109" s="530"/>
      <c r="S109" s="530"/>
      <c r="T109" s="530"/>
      <c r="U109" s="530"/>
      <c r="V109" s="529">
        <f t="shared" si="70"/>
        <v>1.03</v>
      </c>
      <c r="W109" s="530"/>
      <c r="X109" s="530"/>
      <c r="Y109" s="530"/>
      <c r="Z109" s="530"/>
      <c r="AA109" s="530"/>
      <c r="AB109" s="530">
        <v>0.96</v>
      </c>
      <c r="AC109" s="530"/>
      <c r="AD109" s="530"/>
      <c r="AE109" s="530"/>
      <c r="AF109" s="530"/>
      <c r="AG109" s="530">
        <v>0.07</v>
      </c>
      <c r="AH109" s="530"/>
      <c r="AI109" s="530"/>
      <c r="AJ109" s="530"/>
      <c r="AK109" s="530"/>
      <c r="AL109" s="530"/>
      <c r="AM109" s="529">
        <f t="shared" si="71"/>
        <v>10.69</v>
      </c>
      <c r="AN109" s="537">
        <f t="shared" ref="AN109:BC109" si="111">F109+W109</f>
        <v>0</v>
      </c>
      <c r="AO109" s="537">
        <f t="shared" si="111"/>
        <v>0</v>
      </c>
      <c r="AP109" s="537">
        <f t="shared" si="111"/>
        <v>0</v>
      </c>
      <c r="AQ109" s="537">
        <f t="shared" si="111"/>
        <v>0</v>
      </c>
      <c r="AR109" s="537">
        <f t="shared" si="111"/>
        <v>0</v>
      </c>
      <c r="AS109" s="537">
        <f t="shared" si="111"/>
        <v>4.8</v>
      </c>
      <c r="AT109" s="537">
        <f t="shared" si="111"/>
        <v>0</v>
      </c>
      <c r="AU109" s="537">
        <f t="shared" si="111"/>
        <v>0</v>
      </c>
      <c r="AV109" s="537">
        <f t="shared" si="111"/>
        <v>0</v>
      </c>
      <c r="AW109" s="537">
        <f t="shared" si="111"/>
        <v>0</v>
      </c>
      <c r="AX109" s="537">
        <f t="shared" si="111"/>
        <v>5.89</v>
      </c>
      <c r="AY109" s="537">
        <f t="shared" si="111"/>
        <v>0</v>
      </c>
      <c r="AZ109" s="537">
        <f t="shared" si="111"/>
        <v>0</v>
      </c>
      <c r="BA109" s="537">
        <f t="shared" si="111"/>
        <v>0</v>
      </c>
      <c r="BB109" s="537">
        <f t="shared" si="111"/>
        <v>0</v>
      </c>
      <c r="BC109" s="537">
        <f t="shared" si="111"/>
        <v>0</v>
      </c>
      <c r="BD109" s="374"/>
      <c r="BE109" s="374"/>
    </row>
    <row r="110" ht="24" spans="1:57">
      <c r="A110" s="528" t="s">
        <v>202</v>
      </c>
      <c r="B110" s="528" t="s">
        <v>404</v>
      </c>
      <c r="C110" s="528" t="s">
        <v>449</v>
      </c>
      <c r="D110" s="528" t="s">
        <v>406</v>
      </c>
      <c r="E110" s="529">
        <f t="shared" si="69"/>
        <v>47.41</v>
      </c>
      <c r="F110" s="530"/>
      <c r="G110" s="530"/>
      <c r="H110" s="530"/>
      <c r="I110" s="530"/>
      <c r="J110" s="530"/>
      <c r="K110" s="530">
        <v>17.28</v>
      </c>
      <c r="L110" s="530"/>
      <c r="M110" s="530"/>
      <c r="N110" s="530"/>
      <c r="O110" s="530"/>
      <c r="P110" s="530">
        <v>30.13</v>
      </c>
      <c r="Q110" s="530"/>
      <c r="R110" s="530"/>
      <c r="S110" s="530"/>
      <c r="T110" s="530"/>
      <c r="U110" s="530"/>
      <c r="V110" s="529">
        <f t="shared" si="70"/>
        <v>4.92</v>
      </c>
      <c r="W110" s="530"/>
      <c r="X110" s="530"/>
      <c r="Y110" s="530"/>
      <c r="Z110" s="530"/>
      <c r="AA110" s="530"/>
      <c r="AB110" s="530">
        <v>5.67</v>
      </c>
      <c r="AC110" s="530"/>
      <c r="AD110" s="530"/>
      <c r="AE110" s="530"/>
      <c r="AF110" s="530"/>
      <c r="AG110" s="530">
        <v>-0.75</v>
      </c>
      <c r="AH110" s="530"/>
      <c r="AI110" s="530"/>
      <c r="AJ110" s="530"/>
      <c r="AK110" s="530"/>
      <c r="AL110" s="530"/>
      <c r="AM110" s="529">
        <f t="shared" si="71"/>
        <v>52.33</v>
      </c>
      <c r="AN110" s="537">
        <f t="shared" ref="AN110:BC110" si="112">F110+W110</f>
        <v>0</v>
      </c>
      <c r="AO110" s="537">
        <f t="shared" si="112"/>
        <v>0</v>
      </c>
      <c r="AP110" s="537">
        <f t="shared" si="112"/>
        <v>0</v>
      </c>
      <c r="AQ110" s="537">
        <f t="shared" si="112"/>
        <v>0</v>
      </c>
      <c r="AR110" s="537">
        <f t="shared" si="112"/>
        <v>0</v>
      </c>
      <c r="AS110" s="537">
        <f t="shared" si="112"/>
        <v>22.95</v>
      </c>
      <c r="AT110" s="537">
        <f t="shared" si="112"/>
        <v>0</v>
      </c>
      <c r="AU110" s="537">
        <f t="shared" si="112"/>
        <v>0</v>
      </c>
      <c r="AV110" s="537">
        <f t="shared" si="112"/>
        <v>0</v>
      </c>
      <c r="AW110" s="537">
        <f t="shared" si="112"/>
        <v>0</v>
      </c>
      <c r="AX110" s="537">
        <f t="shared" si="112"/>
        <v>29.38</v>
      </c>
      <c r="AY110" s="537">
        <f t="shared" si="112"/>
        <v>0</v>
      </c>
      <c r="AZ110" s="537">
        <f t="shared" si="112"/>
        <v>0</v>
      </c>
      <c r="BA110" s="537">
        <f t="shared" si="112"/>
        <v>0</v>
      </c>
      <c r="BB110" s="537">
        <f t="shared" si="112"/>
        <v>0</v>
      </c>
      <c r="BC110" s="537">
        <f t="shared" si="112"/>
        <v>0</v>
      </c>
      <c r="BD110" s="374"/>
      <c r="BE110" s="374"/>
    </row>
    <row r="111" ht="24" spans="1:57">
      <c r="A111" s="528" t="s">
        <v>202</v>
      </c>
      <c r="B111" s="528" t="s">
        <v>404</v>
      </c>
      <c r="C111" s="541" t="s">
        <v>450</v>
      </c>
      <c r="D111" s="1" t="s">
        <v>416</v>
      </c>
      <c r="E111" s="529">
        <f t="shared" si="69"/>
        <v>35.51</v>
      </c>
      <c r="F111" s="530"/>
      <c r="G111" s="530"/>
      <c r="H111" s="530"/>
      <c r="I111" s="530"/>
      <c r="J111" s="530"/>
      <c r="K111" s="530">
        <v>11.52</v>
      </c>
      <c r="L111" s="530"/>
      <c r="M111" s="530"/>
      <c r="N111" s="530"/>
      <c r="O111" s="530"/>
      <c r="P111" s="530">
        <v>23.99</v>
      </c>
      <c r="Q111" s="530"/>
      <c r="R111" s="530"/>
      <c r="S111" s="530"/>
      <c r="T111" s="530"/>
      <c r="U111" s="530"/>
      <c r="V111" s="529">
        <f t="shared" si="70"/>
        <v>5.24</v>
      </c>
      <c r="W111" s="530"/>
      <c r="X111" s="530"/>
      <c r="Y111" s="530"/>
      <c r="Z111" s="530"/>
      <c r="AA111" s="530"/>
      <c r="AB111" s="530">
        <v>3.83</v>
      </c>
      <c r="AC111" s="530"/>
      <c r="AD111" s="530"/>
      <c r="AE111" s="530"/>
      <c r="AF111" s="530"/>
      <c r="AG111" s="530">
        <v>1.41</v>
      </c>
      <c r="AH111" s="530"/>
      <c r="AI111" s="530"/>
      <c r="AJ111" s="530"/>
      <c r="AK111" s="530"/>
      <c r="AL111" s="530"/>
      <c r="AM111" s="529">
        <f t="shared" si="71"/>
        <v>40.75</v>
      </c>
      <c r="AN111" s="537">
        <f t="shared" ref="AN111:BC111" si="113">F111+W111</f>
        <v>0</v>
      </c>
      <c r="AO111" s="537">
        <f t="shared" si="113"/>
        <v>0</v>
      </c>
      <c r="AP111" s="537">
        <f t="shared" si="113"/>
        <v>0</v>
      </c>
      <c r="AQ111" s="537">
        <f t="shared" si="113"/>
        <v>0</v>
      </c>
      <c r="AR111" s="537">
        <f t="shared" si="113"/>
        <v>0</v>
      </c>
      <c r="AS111" s="537">
        <f t="shared" si="113"/>
        <v>15.35</v>
      </c>
      <c r="AT111" s="537">
        <f t="shared" si="113"/>
        <v>0</v>
      </c>
      <c r="AU111" s="537">
        <f t="shared" si="113"/>
        <v>0</v>
      </c>
      <c r="AV111" s="537">
        <f t="shared" si="113"/>
        <v>0</v>
      </c>
      <c r="AW111" s="537">
        <f t="shared" si="113"/>
        <v>0</v>
      </c>
      <c r="AX111" s="537">
        <f t="shared" si="113"/>
        <v>25.4</v>
      </c>
      <c r="AY111" s="537">
        <f t="shared" si="113"/>
        <v>0</v>
      </c>
      <c r="AZ111" s="537">
        <f t="shared" si="113"/>
        <v>0</v>
      </c>
      <c r="BA111" s="537">
        <f t="shared" si="113"/>
        <v>0</v>
      </c>
      <c r="BB111" s="537">
        <f t="shared" si="113"/>
        <v>0</v>
      </c>
      <c r="BC111" s="537">
        <f t="shared" si="113"/>
        <v>0</v>
      </c>
      <c r="BD111" s="374"/>
      <c r="BE111" s="374"/>
    </row>
    <row r="112" ht="24" spans="1:57">
      <c r="A112" s="528" t="s">
        <v>202</v>
      </c>
      <c r="B112" s="528" t="s">
        <v>404</v>
      </c>
      <c r="C112" s="528" t="s">
        <v>451</v>
      </c>
      <c r="D112" s="1" t="s">
        <v>406</v>
      </c>
      <c r="E112" s="529">
        <f t="shared" si="69"/>
        <v>87.16</v>
      </c>
      <c r="F112" s="530"/>
      <c r="G112" s="530"/>
      <c r="H112" s="530"/>
      <c r="I112" s="530"/>
      <c r="J112" s="530"/>
      <c r="K112" s="530">
        <v>32.64</v>
      </c>
      <c r="L112" s="530"/>
      <c r="M112" s="530"/>
      <c r="N112" s="530"/>
      <c r="O112" s="530"/>
      <c r="P112" s="530">
        <v>54.52</v>
      </c>
      <c r="Q112" s="530"/>
      <c r="R112" s="530"/>
      <c r="S112" s="530"/>
      <c r="T112" s="530"/>
      <c r="U112" s="530"/>
      <c r="V112" s="529">
        <f t="shared" si="70"/>
        <v>7.14</v>
      </c>
      <c r="W112" s="530"/>
      <c r="X112" s="530"/>
      <c r="Y112" s="530"/>
      <c r="Z112" s="530"/>
      <c r="AA112" s="530"/>
      <c r="AB112" s="530">
        <v>8.96</v>
      </c>
      <c r="AC112" s="530"/>
      <c r="AD112" s="530"/>
      <c r="AE112" s="530"/>
      <c r="AF112" s="530"/>
      <c r="AG112" s="530">
        <v>-1.82</v>
      </c>
      <c r="AH112" s="530"/>
      <c r="AI112" s="530"/>
      <c r="AJ112" s="530"/>
      <c r="AK112" s="530"/>
      <c r="AL112" s="530"/>
      <c r="AM112" s="529">
        <f t="shared" si="71"/>
        <v>94.3</v>
      </c>
      <c r="AN112" s="537">
        <f t="shared" ref="AN112:BC112" si="114">F112+W112</f>
        <v>0</v>
      </c>
      <c r="AO112" s="537">
        <f t="shared" si="114"/>
        <v>0</v>
      </c>
      <c r="AP112" s="537">
        <f t="shared" si="114"/>
        <v>0</v>
      </c>
      <c r="AQ112" s="537">
        <f t="shared" si="114"/>
        <v>0</v>
      </c>
      <c r="AR112" s="537">
        <f t="shared" si="114"/>
        <v>0</v>
      </c>
      <c r="AS112" s="537">
        <f t="shared" si="114"/>
        <v>41.6</v>
      </c>
      <c r="AT112" s="537">
        <f t="shared" si="114"/>
        <v>0</v>
      </c>
      <c r="AU112" s="537">
        <f t="shared" si="114"/>
        <v>0</v>
      </c>
      <c r="AV112" s="537">
        <f t="shared" si="114"/>
        <v>0</v>
      </c>
      <c r="AW112" s="537">
        <f t="shared" si="114"/>
        <v>0</v>
      </c>
      <c r="AX112" s="537">
        <f t="shared" si="114"/>
        <v>52.7</v>
      </c>
      <c r="AY112" s="537">
        <f t="shared" si="114"/>
        <v>0</v>
      </c>
      <c r="AZ112" s="537">
        <f t="shared" si="114"/>
        <v>0</v>
      </c>
      <c r="BA112" s="537">
        <f t="shared" si="114"/>
        <v>0</v>
      </c>
      <c r="BB112" s="537">
        <f t="shared" si="114"/>
        <v>0</v>
      </c>
      <c r="BC112" s="537">
        <f t="shared" si="114"/>
        <v>0</v>
      </c>
      <c r="BD112" s="374"/>
      <c r="BE112" s="374"/>
    </row>
    <row r="113" ht="24" spans="1:57">
      <c r="A113" s="528" t="s">
        <v>202</v>
      </c>
      <c r="B113" s="528" t="s">
        <v>404</v>
      </c>
      <c r="C113" s="528" t="s">
        <v>454</v>
      </c>
      <c r="D113" s="528" t="s">
        <v>416</v>
      </c>
      <c r="E113" s="529">
        <f t="shared" si="69"/>
        <v>0.48</v>
      </c>
      <c r="F113" s="530"/>
      <c r="G113" s="530"/>
      <c r="H113" s="530"/>
      <c r="I113" s="530"/>
      <c r="J113" s="530"/>
      <c r="K113" s="530">
        <v>0.48</v>
      </c>
      <c r="L113" s="530"/>
      <c r="M113" s="530"/>
      <c r="N113" s="530"/>
      <c r="O113" s="530"/>
      <c r="P113" s="530"/>
      <c r="Q113" s="530"/>
      <c r="R113" s="530"/>
      <c r="S113" s="530"/>
      <c r="T113" s="530"/>
      <c r="U113" s="530"/>
      <c r="V113" s="529">
        <f t="shared" si="70"/>
        <v>0.95</v>
      </c>
      <c r="W113" s="530"/>
      <c r="X113" s="530"/>
      <c r="Y113" s="530"/>
      <c r="Z113" s="530"/>
      <c r="AA113" s="530"/>
      <c r="AB113" s="530">
        <v>0.95</v>
      </c>
      <c r="AC113" s="530"/>
      <c r="AD113" s="530"/>
      <c r="AE113" s="530"/>
      <c r="AF113" s="530"/>
      <c r="AG113" s="530"/>
      <c r="AH113" s="530"/>
      <c r="AI113" s="530"/>
      <c r="AJ113" s="530"/>
      <c r="AK113" s="530"/>
      <c r="AL113" s="530"/>
      <c r="AM113" s="529">
        <f t="shared" si="71"/>
        <v>1.43</v>
      </c>
      <c r="AN113" s="537">
        <f t="shared" ref="AN113:BC113" si="115">F113+W113</f>
        <v>0</v>
      </c>
      <c r="AO113" s="537">
        <f t="shared" si="115"/>
        <v>0</v>
      </c>
      <c r="AP113" s="537">
        <f t="shared" si="115"/>
        <v>0</v>
      </c>
      <c r="AQ113" s="537">
        <f t="shared" si="115"/>
        <v>0</v>
      </c>
      <c r="AR113" s="537">
        <f t="shared" si="115"/>
        <v>0</v>
      </c>
      <c r="AS113" s="537">
        <f t="shared" si="115"/>
        <v>1.43</v>
      </c>
      <c r="AT113" s="537">
        <f t="shared" si="115"/>
        <v>0</v>
      </c>
      <c r="AU113" s="537">
        <f t="shared" si="115"/>
        <v>0</v>
      </c>
      <c r="AV113" s="537">
        <f t="shared" si="115"/>
        <v>0</v>
      </c>
      <c r="AW113" s="537">
        <f t="shared" si="115"/>
        <v>0</v>
      </c>
      <c r="AX113" s="537">
        <f t="shared" si="115"/>
        <v>0</v>
      </c>
      <c r="AY113" s="537">
        <f t="shared" si="115"/>
        <v>0</v>
      </c>
      <c r="AZ113" s="537">
        <f t="shared" si="115"/>
        <v>0</v>
      </c>
      <c r="BA113" s="537">
        <f t="shared" si="115"/>
        <v>0</v>
      </c>
      <c r="BB113" s="537">
        <f t="shared" si="115"/>
        <v>0</v>
      </c>
      <c r="BC113" s="537">
        <f t="shared" si="115"/>
        <v>0</v>
      </c>
      <c r="BD113" s="374"/>
      <c r="BE113" s="374"/>
    </row>
    <row r="114" ht="24" spans="1:57">
      <c r="A114" s="528" t="s">
        <v>202</v>
      </c>
      <c r="B114" s="528" t="s">
        <v>400</v>
      </c>
      <c r="C114" s="528" t="s">
        <v>456</v>
      </c>
      <c r="D114" s="528" t="s">
        <v>441</v>
      </c>
      <c r="E114" s="529">
        <f t="shared" si="69"/>
        <v>0.48</v>
      </c>
      <c r="F114" s="530"/>
      <c r="G114" s="530"/>
      <c r="H114" s="530"/>
      <c r="I114" s="530"/>
      <c r="J114" s="530"/>
      <c r="K114" s="530">
        <v>0.48</v>
      </c>
      <c r="L114" s="530"/>
      <c r="M114" s="530"/>
      <c r="N114" s="530"/>
      <c r="O114" s="530"/>
      <c r="P114" s="530"/>
      <c r="Q114" s="530"/>
      <c r="R114" s="530"/>
      <c r="S114" s="530"/>
      <c r="T114" s="530"/>
      <c r="U114" s="530"/>
      <c r="V114" s="529">
        <f t="shared" si="70"/>
        <v>0.35</v>
      </c>
      <c r="W114" s="530"/>
      <c r="X114" s="530"/>
      <c r="Y114" s="530"/>
      <c r="Z114" s="530"/>
      <c r="AA114" s="530"/>
      <c r="AB114" s="530">
        <v>0.35</v>
      </c>
      <c r="AC114" s="530"/>
      <c r="AD114" s="530"/>
      <c r="AE114" s="530"/>
      <c r="AF114" s="530"/>
      <c r="AG114" s="530"/>
      <c r="AH114" s="530"/>
      <c r="AI114" s="530"/>
      <c r="AJ114" s="530"/>
      <c r="AK114" s="530"/>
      <c r="AL114" s="530"/>
      <c r="AM114" s="529">
        <f t="shared" si="71"/>
        <v>0.83</v>
      </c>
      <c r="AN114" s="537">
        <f t="shared" ref="AN114:BC114" si="116">F114+W114</f>
        <v>0</v>
      </c>
      <c r="AO114" s="537">
        <f t="shared" si="116"/>
        <v>0</v>
      </c>
      <c r="AP114" s="537">
        <f t="shared" si="116"/>
        <v>0</v>
      </c>
      <c r="AQ114" s="537">
        <f t="shared" si="116"/>
        <v>0</v>
      </c>
      <c r="AR114" s="537">
        <f t="shared" si="116"/>
        <v>0</v>
      </c>
      <c r="AS114" s="537">
        <f t="shared" si="116"/>
        <v>0.83</v>
      </c>
      <c r="AT114" s="537">
        <f t="shared" si="116"/>
        <v>0</v>
      </c>
      <c r="AU114" s="537">
        <f t="shared" si="116"/>
        <v>0</v>
      </c>
      <c r="AV114" s="537">
        <f t="shared" si="116"/>
        <v>0</v>
      </c>
      <c r="AW114" s="537">
        <f t="shared" si="116"/>
        <v>0</v>
      </c>
      <c r="AX114" s="537">
        <f t="shared" si="116"/>
        <v>0</v>
      </c>
      <c r="AY114" s="537">
        <f t="shared" si="116"/>
        <v>0</v>
      </c>
      <c r="AZ114" s="537">
        <f t="shared" si="116"/>
        <v>0</v>
      </c>
      <c r="BA114" s="537">
        <f t="shared" si="116"/>
        <v>0</v>
      </c>
      <c r="BB114" s="537">
        <f t="shared" si="116"/>
        <v>0</v>
      </c>
      <c r="BC114" s="537">
        <f t="shared" si="116"/>
        <v>0</v>
      </c>
      <c r="BD114" s="374"/>
      <c r="BE114" s="374"/>
    </row>
    <row r="115" ht="24" spans="1:57">
      <c r="A115" s="528" t="s">
        <v>202</v>
      </c>
      <c r="B115" s="528" t="s">
        <v>404</v>
      </c>
      <c r="C115" s="528" t="s">
        <v>457</v>
      </c>
      <c r="D115" s="1" t="s">
        <v>406</v>
      </c>
      <c r="E115" s="529">
        <f t="shared" si="69"/>
        <v>0.24</v>
      </c>
      <c r="F115" s="530"/>
      <c r="G115" s="530"/>
      <c r="H115" s="530"/>
      <c r="I115" s="530"/>
      <c r="J115" s="530"/>
      <c r="K115" s="530">
        <v>0.24</v>
      </c>
      <c r="L115" s="530"/>
      <c r="M115" s="530"/>
      <c r="N115" s="530"/>
      <c r="O115" s="530"/>
      <c r="P115" s="530"/>
      <c r="Q115" s="530"/>
      <c r="R115" s="530"/>
      <c r="S115" s="530"/>
      <c r="T115" s="530"/>
      <c r="U115" s="530"/>
      <c r="V115" s="529">
        <f t="shared" si="70"/>
        <v>0.06</v>
      </c>
      <c r="W115" s="530"/>
      <c r="X115" s="530"/>
      <c r="Y115" s="530"/>
      <c r="Z115" s="530"/>
      <c r="AA115" s="530"/>
      <c r="AB115" s="530">
        <v>0.06</v>
      </c>
      <c r="AC115" s="530"/>
      <c r="AD115" s="530"/>
      <c r="AE115" s="530"/>
      <c r="AF115" s="530"/>
      <c r="AG115" s="530"/>
      <c r="AH115" s="530"/>
      <c r="AI115" s="530"/>
      <c r="AJ115" s="530"/>
      <c r="AK115" s="530"/>
      <c r="AL115" s="530"/>
      <c r="AM115" s="529">
        <f t="shared" si="71"/>
        <v>0.3</v>
      </c>
      <c r="AN115" s="537">
        <f t="shared" ref="AN115:BC115" si="117">F115+W115</f>
        <v>0</v>
      </c>
      <c r="AO115" s="537">
        <f t="shared" si="117"/>
        <v>0</v>
      </c>
      <c r="AP115" s="537">
        <f t="shared" si="117"/>
        <v>0</v>
      </c>
      <c r="AQ115" s="537">
        <f t="shared" si="117"/>
        <v>0</v>
      </c>
      <c r="AR115" s="537">
        <f t="shared" si="117"/>
        <v>0</v>
      </c>
      <c r="AS115" s="537">
        <f t="shared" si="117"/>
        <v>0.3</v>
      </c>
      <c r="AT115" s="537">
        <f t="shared" si="117"/>
        <v>0</v>
      </c>
      <c r="AU115" s="537">
        <f t="shared" si="117"/>
        <v>0</v>
      </c>
      <c r="AV115" s="537">
        <f t="shared" si="117"/>
        <v>0</v>
      </c>
      <c r="AW115" s="537">
        <f t="shared" si="117"/>
        <v>0</v>
      </c>
      <c r="AX115" s="537">
        <f t="shared" si="117"/>
        <v>0</v>
      </c>
      <c r="AY115" s="537">
        <f t="shared" si="117"/>
        <v>0</v>
      </c>
      <c r="AZ115" s="537">
        <f t="shared" si="117"/>
        <v>0</v>
      </c>
      <c r="BA115" s="537">
        <f t="shared" si="117"/>
        <v>0</v>
      </c>
      <c r="BB115" s="537">
        <f t="shared" si="117"/>
        <v>0</v>
      </c>
      <c r="BC115" s="537">
        <f t="shared" si="117"/>
        <v>0</v>
      </c>
      <c r="BD115" s="374"/>
      <c r="BE115" s="374"/>
    </row>
    <row r="116" ht="24" spans="1:57">
      <c r="A116" s="528" t="s">
        <v>202</v>
      </c>
      <c r="B116" s="528" t="s">
        <v>400</v>
      </c>
      <c r="C116" s="528" t="s">
        <v>458</v>
      </c>
      <c r="D116" s="1" t="s">
        <v>441</v>
      </c>
      <c r="E116" s="529">
        <f t="shared" si="69"/>
        <v>0.24</v>
      </c>
      <c r="F116" s="530"/>
      <c r="G116" s="530"/>
      <c r="H116" s="530"/>
      <c r="I116" s="530"/>
      <c r="J116" s="530"/>
      <c r="K116" s="530">
        <v>0.24</v>
      </c>
      <c r="L116" s="530"/>
      <c r="M116" s="530"/>
      <c r="N116" s="530"/>
      <c r="O116" s="530"/>
      <c r="P116" s="530"/>
      <c r="Q116" s="530"/>
      <c r="R116" s="530"/>
      <c r="S116" s="530"/>
      <c r="T116" s="530"/>
      <c r="U116" s="530"/>
      <c r="V116" s="529">
        <f t="shared" si="70"/>
        <v>0.06</v>
      </c>
      <c r="W116" s="530"/>
      <c r="X116" s="530"/>
      <c r="Y116" s="530"/>
      <c r="Z116" s="530"/>
      <c r="AA116" s="530"/>
      <c r="AB116" s="530">
        <v>0.06</v>
      </c>
      <c r="AC116" s="530"/>
      <c r="AD116" s="530"/>
      <c r="AE116" s="530"/>
      <c r="AF116" s="530"/>
      <c r="AG116" s="530"/>
      <c r="AH116" s="530"/>
      <c r="AI116" s="530"/>
      <c r="AJ116" s="530"/>
      <c r="AK116" s="530"/>
      <c r="AL116" s="530"/>
      <c r="AM116" s="529">
        <f t="shared" si="71"/>
        <v>0.3</v>
      </c>
      <c r="AN116" s="537">
        <f t="shared" ref="AN116:BC116" si="118">F116+W116</f>
        <v>0</v>
      </c>
      <c r="AO116" s="537">
        <f t="shared" si="118"/>
        <v>0</v>
      </c>
      <c r="AP116" s="537">
        <f t="shared" si="118"/>
        <v>0</v>
      </c>
      <c r="AQ116" s="537">
        <f t="shared" si="118"/>
        <v>0</v>
      </c>
      <c r="AR116" s="537">
        <f t="shared" si="118"/>
        <v>0</v>
      </c>
      <c r="AS116" s="537">
        <f t="shared" si="118"/>
        <v>0.3</v>
      </c>
      <c r="AT116" s="537">
        <f t="shared" si="118"/>
        <v>0</v>
      </c>
      <c r="AU116" s="537">
        <f t="shared" si="118"/>
        <v>0</v>
      </c>
      <c r="AV116" s="537">
        <f t="shared" si="118"/>
        <v>0</v>
      </c>
      <c r="AW116" s="537">
        <f t="shared" si="118"/>
        <v>0</v>
      </c>
      <c r="AX116" s="537">
        <f t="shared" si="118"/>
        <v>0</v>
      </c>
      <c r="AY116" s="537">
        <f t="shared" si="118"/>
        <v>0</v>
      </c>
      <c r="AZ116" s="537">
        <f t="shared" si="118"/>
        <v>0</v>
      </c>
      <c r="BA116" s="537">
        <f t="shared" si="118"/>
        <v>0</v>
      </c>
      <c r="BB116" s="537">
        <f t="shared" si="118"/>
        <v>0</v>
      </c>
      <c r="BC116" s="537">
        <f t="shared" si="118"/>
        <v>0</v>
      </c>
      <c r="BD116" s="374"/>
      <c r="BE116" s="374"/>
    </row>
    <row r="117" ht="24" spans="1:57">
      <c r="A117" s="528" t="s">
        <v>202</v>
      </c>
      <c r="B117" s="528" t="s">
        <v>404</v>
      </c>
      <c r="C117" s="528" t="s">
        <v>464</v>
      </c>
      <c r="D117" s="528" t="s">
        <v>406</v>
      </c>
      <c r="E117" s="529">
        <f t="shared" si="69"/>
        <v>0.72</v>
      </c>
      <c r="F117" s="530"/>
      <c r="G117" s="530"/>
      <c r="H117" s="530"/>
      <c r="I117" s="530"/>
      <c r="J117" s="530"/>
      <c r="K117" s="530">
        <v>0.72</v>
      </c>
      <c r="L117" s="530"/>
      <c r="M117" s="530"/>
      <c r="N117" s="530"/>
      <c r="O117" s="530"/>
      <c r="P117" s="530"/>
      <c r="Q117" s="530"/>
      <c r="R117" s="530"/>
      <c r="S117" s="530"/>
      <c r="T117" s="530"/>
      <c r="U117" s="530"/>
      <c r="V117" s="529">
        <f t="shared" si="70"/>
        <v>0.18</v>
      </c>
      <c r="W117" s="530"/>
      <c r="X117" s="530"/>
      <c r="Y117" s="530"/>
      <c r="Z117" s="530"/>
      <c r="AA117" s="530"/>
      <c r="AB117" s="530">
        <v>0.18</v>
      </c>
      <c r="AC117" s="530"/>
      <c r="AD117" s="530"/>
      <c r="AE117" s="530"/>
      <c r="AF117" s="530"/>
      <c r="AG117" s="530"/>
      <c r="AH117" s="530"/>
      <c r="AI117" s="530"/>
      <c r="AJ117" s="530"/>
      <c r="AK117" s="530"/>
      <c r="AL117" s="530"/>
      <c r="AM117" s="529">
        <f t="shared" si="71"/>
        <v>0.9</v>
      </c>
      <c r="AN117" s="537">
        <f t="shared" ref="AN117:BC117" si="119">F117+W117</f>
        <v>0</v>
      </c>
      <c r="AO117" s="537">
        <f t="shared" si="119"/>
        <v>0</v>
      </c>
      <c r="AP117" s="537">
        <f t="shared" si="119"/>
        <v>0</v>
      </c>
      <c r="AQ117" s="537">
        <f t="shared" si="119"/>
        <v>0</v>
      </c>
      <c r="AR117" s="537">
        <f t="shared" si="119"/>
        <v>0</v>
      </c>
      <c r="AS117" s="537">
        <f t="shared" si="119"/>
        <v>0.9</v>
      </c>
      <c r="AT117" s="537">
        <f t="shared" si="119"/>
        <v>0</v>
      </c>
      <c r="AU117" s="537">
        <f t="shared" si="119"/>
        <v>0</v>
      </c>
      <c r="AV117" s="537">
        <f t="shared" si="119"/>
        <v>0</v>
      </c>
      <c r="AW117" s="537">
        <f t="shared" si="119"/>
        <v>0</v>
      </c>
      <c r="AX117" s="537">
        <f t="shared" si="119"/>
        <v>0</v>
      </c>
      <c r="AY117" s="537">
        <f t="shared" si="119"/>
        <v>0</v>
      </c>
      <c r="AZ117" s="537">
        <f t="shared" si="119"/>
        <v>0</v>
      </c>
      <c r="BA117" s="537">
        <f t="shared" si="119"/>
        <v>0</v>
      </c>
      <c r="BB117" s="537">
        <f t="shared" si="119"/>
        <v>0</v>
      </c>
      <c r="BC117" s="537">
        <f t="shared" si="119"/>
        <v>0</v>
      </c>
      <c r="BD117" s="374"/>
      <c r="BE117" s="374"/>
    </row>
    <row r="118" ht="24" spans="1:57">
      <c r="A118" s="528" t="s">
        <v>202</v>
      </c>
      <c r="B118" s="528" t="s">
        <v>400</v>
      </c>
      <c r="C118" s="528" t="s">
        <v>466</v>
      </c>
      <c r="D118" s="1" t="s">
        <v>441</v>
      </c>
      <c r="E118" s="529">
        <f t="shared" si="69"/>
        <v>0</v>
      </c>
      <c r="F118" s="530"/>
      <c r="G118" s="530"/>
      <c r="H118" s="530"/>
      <c r="I118" s="530"/>
      <c r="J118" s="530"/>
      <c r="K118" s="530"/>
      <c r="L118" s="530"/>
      <c r="M118" s="530"/>
      <c r="N118" s="530"/>
      <c r="O118" s="530"/>
      <c r="P118" s="530"/>
      <c r="Q118" s="530"/>
      <c r="R118" s="530"/>
      <c r="S118" s="530"/>
      <c r="T118" s="530"/>
      <c r="U118" s="530"/>
      <c r="V118" s="529">
        <f t="shared" si="70"/>
        <v>0.28</v>
      </c>
      <c r="W118" s="530"/>
      <c r="X118" s="530"/>
      <c r="Y118" s="530"/>
      <c r="Z118" s="530"/>
      <c r="AA118" s="530"/>
      <c r="AB118" s="530">
        <v>0.28</v>
      </c>
      <c r="AC118" s="530"/>
      <c r="AD118" s="530"/>
      <c r="AE118" s="530"/>
      <c r="AF118" s="530"/>
      <c r="AG118" s="530"/>
      <c r="AH118" s="530"/>
      <c r="AI118" s="530"/>
      <c r="AJ118" s="530"/>
      <c r="AK118" s="530"/>
      <c r="AL118" s="530"/>
      <c r="AM118" s="529">
        <f t="shared" si="71"/>
        <v>0.28</v>
      </c>
      <c r="AN118" s="537">
        <f t="shared" ref="AN118:BC118" si="120">F118+W118</f>
        <v>0</v>
      </c>
      <c r="AO118" s="537">
        <f t="shared" si="120"/>
        <v>0</v>
      </c>
      <c r="AP118" s="537">
        <f t="shared" si="120"/>
        <v>0</v>
      </c>
      <c r="AQ118" s="537">
        <f t="shared" si="120"/>
        <v>0</v>
      </c>
      <c r="AR118" s="537">
        <f t="shared" si="120"/>
        <v>0</v>
      </c>
      <c r="AS118" s="537">
        <f t="shared" si="120"/>
        <v>0.28</v>
      </c>
      <c r="AT118" s="537">
        <f t="shared" si="120"/>
        <v>0</v>
      </c>
      <c r="AU118" s="537">
        <f t="shared" si="120"/>
        <v>0</v>
      </c>
      <c r="AV118" s="537">
        <f t="shared" si="120"/>
        <v>0</v>
      </c>
      <c r="AW118" s="537">
        <f t="shared" si="120"/>
        <v>0</v>
      </c>
      <c r="AX118" s="537">
        <f t="shared" si="120"/>
        <v>0</v>
      </c>
      <c r="AY118" s="537">
        <f t="shared" si="120"/>
        <v>0</v>
      </c>
      <c r="AZ118" s="537">
        <f t="shared" si="120"/>
        <v>0</v>
      </c>
      <c r="BA118" s="537">
        <f t="shared" si="120"/>
        <v>0</v>
      </c>
      <c r="BB118" s="537">
        <f t="shared" si="120"/>
        <v>0</v>
      </c>
      <c r="BC118" s="537">
        <f t="shared" si="120"/>
        <v>0</v>
      </c>
      <c r="BD118" s="374"/>
      <c r="BE118" s="374"/>
    </row>
    <row r="119" ht="24" spans="1:57">
      <c r="A119" s="528" t="s">
        <v>202</v>
      </c>
      <c r="B119" s="528" t="s">
        <v>203</v>
      </c>
      <c r="C119" s="528" t="s">
        <v>470</v>
      </c>
      <c r="D119" s="528" t="s">
        <v>471</v>
      </c>
      <c r="E119" s="529">
        <f t="shared" si="69"/>
        <v>6.76</v>
      </c>
      <c r="F119" s="530"/>
      <c r="G119" s="530"/>
      <c r="H119" s="530"/>
      <c r="I119" s="530"/>
      <c r="J119" s="530"/>
      <c r="K119" s="530">
        <v>5.76</v>
      </c>
      <c r="L119" s="530"/>
      <c r="M119" s="530"/>
      <c r="N119" s="530"/>
      <c r="O119" s="530"/>
      <c r="P119" s="530">
        <v>1</v>
      </c>
      <c r="Q119" s="530"/>
      <c r="R119" s="530"/>
      <c r="S119" s="530"/>
      <c r="T119" s="530"/>
      <c r="U119" s="530"/>
      <c r="V119" s="529">
        <f t="shared" si="70"/>
        <v>1.28</v>
      </c>
      <c r="W119" s="530"/>
      <c r="X119" s="530"/>
      <c r="Y119" s="530"/>
      <c r="Z119" s="530"/>
      <c r="AA119" s="530"/>
      <c r="AB119" s="530">
        <v>1.28</v>
      </c>
      <c r="AC119" s="530"/>
      <c r="AD119" s="530"/>
      <c r="AE119" s="530"/>
      <c r="AF119" s="530"/>
      <c r="AG119" s="530"/>
      <c r="AH119" s="530"/>
      <c r="AI119" s="530"/>
      <c r="AJ119" s="530"/>
      <c r="AK119" s="530"/>
      <c r="AL119" s="530"/>
      <c r="AM119" s="529">
        <f t="shared" si="71"/>
        <v>8.04</v>
      </c>
      <c r="AN119" s="537">
        <f t="shared" ref="AN119:BC119" si="121">F119+W119</f>
        <v>0</v>
      </c>
      <c r="AO119" s="537">
        <f t="shared" si="121"/>
        <v>0</v>
      </c>
      <c r="AP119" s="537">
        <f t="shared" si="121"/>
        <v>0</v>
      </c>
      <c r="AQ119" s="537">
        <f t="shared" si="121"/>
        <v>0</v>
      </c>
      <c r="AR119" s="537">
        <f t="shared" si="121"/>
        <v>0</v>
      </c>
      <c r="AS119" s="537">
        <f t="shared" si="121"/>
        <v>7.04</v>
      </c>
      <c r="AT119" s="537">
        <f t="shared" si="121"/>
        <v>0</v>
      </c>
      <c r="AU119" s="537">
        <f t="shared" si="121"/>
        <v>0</v>
      </c>
      <c r="AV119" s="537">
        <f t="shared" si="121"/>
        <v>0</v>
      </c>
      <c r="AW119" s="537">
        <f t="shared" si="121"/>
        <v>0</v>
      </c>
      <c r="AX119" s="537">
        <f t="shared" si="121"/>
        <v>1</v>
      </c>
      <c r="AY119" s="537">
        <f t="shared" si="121"/>
        <v>0</v>
      </c>
      <c r="AZ119" s="537">
        <f t="shared" si="121"/>
        <v>0</v>
      </c>
      <c r="BA119" s="537">
        <f t="shared" si="121"/>
        <v>0</v>
      </c>
      <c r="BB119" s="537">
        <f t="shared" si="121"/>
        <v>0</v>
      </c>
      <c r="BC119" s="537">
        <f t="shared" si="121"/>
        <v>0</v>
      </c>
      <c r="BD119" s="374"/>
      <c r="BE119" s="374"/>
    </row>
    <row r="120" s="508" customFormat="1" ht="20.15" customHeight="1" spans="1:57">
      <c r="A120" s="523"/>
      <c r="B120" s="524"/>
      <c r="C120" s="525" t="s">
        <v>130</v>
      </c>
      <c r="D120" s="526">
        <v>206</v>
      </c>
      <c r="E120" s="527">
        <f>SUM(E121:E122)</f>
        <v>3.4</v>
      </c>
      <c r="F120" s="527">
        <f t="shared" ref="F120:AK120" si="122">SUM(F121:F122)</f>
        <v>0</v>
      </c>
      <c r="G120" s="527">
        <f t="shared" si="122"/>
        <v>0</v>
      </c>
      <c r="H120" s="527">
        <f t="shared" si="122"/>
        <v>0</v>
      </c>
      <c r="I120" s="527">
        <f t="shared" si="122"/>
        <v>0</v>
      </c>
      <c r="J120" s="527">
        <f t="shared" si="122"/>
        <v>0</v>
      </c>
      <c r="K120" s="527">
        <f t="shared" si="122"/>
        <v>2.4</v>
      </c>
      <c r="L120" s="527">
        <f t="shared" si="122"/>
        <v>0</v>
      </c>
      <c r="M120" s="527">
        <f t="shared" si="122"/>
        <v>0</v>
      </c>
      <c r="N120" s="527">
        <f t="shared" si="122"/>
        <v>0</v>
      </c>
      <c r="O120" s="527">
        <f t="shared" si="122"/>
        <v>1</v>
      </c>
      <c r="P120" s="527">
        <f t="shared" si="122"/>
        <v>0</v>
      </c>
      <c r="Q120" s="527">
        <f t="shared" si="122"/>
        <v>0</v>
      </c>
      <c r="R120" s="527">
        <f t="shared" si="122"/>
        <v>0</v>
      </c>
      <c r="S120" s="527">
        <f t="shared" si="122"/>
        <v>0</v>
      </c>
      <c r="T120" s="527">
        <f t="shared" si="122"/>
        <v>0</v>
      </c>
      <c r="U120" s="527">
        <f t="shared" si="122"/>
        <v>0</v>
      </c>
      <c r="V120" s="527">
        <f t="shared" si="122"/>
        <v>54.82</v>
      </c>
      <c r="W120" s="527">
        <f t="shared" si="122"/>
        <v>0</v>
      </c>
      <c r="X120" s="527">
        <f t="shared" si="122"/>
        <v>0</v>
      </c>
      <c r="Y120" s="527">
        <f t="shared" si="122"/>
        <v>0</v>
      </c>
      <c r="Z120" s="527">
        <f t="shared" si="122"/>
        <v>0</v>
      </c>
      <c r="AA120" s="527">
        <f t="shared" si="122"/>
        <v>0</v>
      </c>
      <c r="AB120" s="527">
        <f t="shared" si="122"/>
        <v>29.84</v>
      </c>
      <c r="AC120" s="527">
        <f t="shared" si="122"/>
        <v>0</v>
      </c>
      <c r="AD120" s="527">
        <f t="shared" si="122"/>
        <v>0</v>
      </c>
      <c r="AE120" s="527">
        <f t="shared" si="122"/>
        <v>0</v>
      </c>
      <c r="AF120" s="527">
        <f t="shared" si="122"/>
        <v>24.98</v>
      </c>
      <c r="AG120" s="527">
        <f t="shared" si="122"/>
        <v>0</v>
      </c>
      <c r="AH120" s="527">
        <f t="shared" si="122"/>
        <v>0</v>
      </c>
      <c r="AI120" s="527">
        <f t="shared" si="122"/>
        <v>0</v>
      </c>
      <c r="AJ120" s="527">
        <f t="shared" si="122"/>
        <v>0</v>
      </c>
      <c r="AK120" s="527">
        <f t="shared" si="122"/>
        <v>0</v>
      </c>
      <c r="AL120" s="527">
        <f t="shared" ref="AL120:BC120" si="123">SUM(AL121:AL122)</f>
        <v>0</v>
      </c>
      <c r="AM120" s="527">
        <f t="shared" si="123"/>
        <v>58.22</v>
      </c>
      <c r="AN120" s="527">
        <f t="shared" si="123"/>
        <v>0</v>
      </c>
      <c r="AO120" s="527">
        <f t="shared" si="123"/>
        <v>0</v>
      </c>
      <c r="AP120" s="527">
        <f t="shared" si="123"/>
        <v>0</v>
      </c>
      <c r="AQ120" s="527">
        <f t="shared" si="123"/>
        <v>0</v>
      </c>
      <c r="AR120" s="527">
        <f t="shared" si="123"/>
        <v>0</v>
      </c>
      <c r="AS120" s="527">
        <f t="shared" si="123"/>
        <v>32.24</v>
      </c>
      <c r="AT120" s="527">
        <f t="shared" si="123"/>
        <v>0</v>
      </c>
      <c r="AU120" s="527">
        <f t="shared" si="123"/>
        <v>0</v>
      </c>
      <c r="AV120" s="527">
        <f t="shared" si="123"/>
        <v>0</v>
      </c>
      <c r="AW120" s="527">
        <f t="shared" si="123"/>
        <v>25.98</v>
      </c>
      <c r="AX120" s="527">
        <f t="shared" si="123"/>
        <v>0</v>
      </c>
      <c r="AY120" s="527">
        <f t="shared" si="123"/>
        <v>0</v>
      </c>
      <c r="AZ120" s="527">
        <f t="shared" si="123"/>
        <v>0</v>
      </c>
      <c r="BA120" s="527">
        <f t="shared" si="123"/>
        <v>0</v>
      </c>
      <c r="BB120" s="527">
        <f t="shared" si="123"/>
        <v>0</v>
      </c>
      <c r="BC120" s="527">
        <f t="shared" si="123"/>
        <v>0</v>
      </c>
      <c r="BD120" s="332"/>
      <c r="BE120" s="332"/>
    </row>
    <row r="121" s="130" customFormat="1" ht="29" customHeight="1" spans="1:57">
      <c r="A121" s="528" t="s">
        <v>215</v>
      </c>
      <c r="B121" s="528" t="s">
        <v>203</v>
      </c>
      <c r="C121" s="528" t="s">
        <v>293</v>
      </c>
      <c r="D121" s="380" t="s">
        <v>474</v>
      </c>
      <c r="E121" s="529">
        <f>SUM(F121:U121)</f>
        <v>0</v>
      </c>
      <c r="F121" s="530"/>
      <c r="G121" s="530"/>
      <c r="H121" s="530"/>
      <c r="I121" s="530"/>
      <c r="J121" s="530"/>
      <c r="K121" s="530"/>
      <c r="L121" s="530"/>
      <c r="M121" s="530"/>
      <c r="N121" s="530"/>
      <c r="O121" s="530"/>
      <c r="P121" s="530"/>
      <c r="Q121" s="530"/>
      <c r="R121" s="530"/>
      <c r="S121" s="530"/>
      <c r="T121" s="530"/>
      <c r="U121" s="530"/>
      <c r="V121" s="529">
        <f>SUM(W121:AL121)</f>
        <v>54.22</v>
      </c>
      <c r="W121" s="530"/>
      <c r="X121" s="530"/>
      <c r="Y121" s="530"/>
      <c r="Z121" s="530"/>
      <c r="AA121" s="530"/>
      <c r="AB121" s="530">
        <v>29.24</v>
      </c>
      <c r="AC121" s="530"/>
      <c r="AD121" s="530"/>
      <c r="AE121" s="530"/>
      <c r="AF121" s="530">
        <f>24.4+0.58</f>
        <v>24.98</v>
      </c>
      <c r="AG121" s="530"/>
      <c r="AH121" s="530"/>
      <c r="AI121" s="530"/>
      <c r="AJ121" s="530"/>
      <c r="AK121" s="530"/>
      <c r="AL121" s="530"/>
      <c r="AM121" s="529">
        <f>SUM(AN121:BC121)</f>
        <v>54.22</v>
      </c>
      <c r="AN121" s="537">
        <f t="shared" ref="AN121:BC121" si="124">F121+W121</f>
        <v>0</v>
      </c>
      <c r="AO121" s="537">
        <f t="shared" si="124"/>
        <v>0</v>
      </c>
      <c r="AP121" s="537">
        <f t="shared" si="124"/>
        <v>0</v>
      </c>
      <c r="AQ121" s="537">
        <f t="shared" si="124"/>
        <v>0</v>
      </c>
      <c r="AR121" s="537">
        <f t="shared" si="124"/>
        <v>0</v>
      </c>
      <c r="AS121" s="537">
        <f t="shared" si="124"/>
        <v>29.24</v>
      </c>
      <c r="AT121" s="537">
        <f t="shared" si="124"/>
        <v>0</v>
      </c>
      <c r="AU121" s="537">
        <f t="shared" si="124"/>
        <v>0</v>
      </c>
      <c r="AV121" s="537">
        <f t="shared" si="124"/>
        <v>0</v>
      </c>
      <c r="AW121" s="537">
        <f t="shared" si="124"/>
        <v>24.98</v>
      </c>
      <c r="AX121" s="537">
        <f t="shared" si="124"/>
        <v>0</v>
      </c>
      <c r="AY121" s="537">
        <f t="shared" si="124"/>
        <v>0</v>
      </c>
      <c r="AZ121" s="537">
        <f t="shared" si="124"/>
        <v>0</v>
      </c>
      <c r="BA121" s="537">
        <f t="shared" si="124"/>
        <v>0</v>
      </c>
      <c r="BB121" s="537">
        <f t="shared" si="124"/>
        <v>0</v>
      </c>
      <c r="BC121" s="537">
        <f t="shared" si="124"/>
        <v>0</v>
      </c>
      <c r="BD121" s="374"/>
      <c r="BE121" s="374"/>
    </row>
    <row r="122" ht="24" spans="1:57">
      <c r="A122" s="528" t="s">
        <v>202</v>
      </c>
      <c r="B122" s="528" t="s">
        <v>203</v>
      </c>
      <c r="C122" s="528" t="s">
        <v>476</v>
      </c>
      <c r="D122" s="528" t="s">
        <v>477</v>
      </c>
      <c r="E122" s="529">
        <f t="shared" ref="E122:E130" si="125">SUM(F122:U122)</f>
        <v>3.4</v>
      </c>
      <c r="F122" s="530"/>
      <c r="G122" s="530"/>
      <c r="H122" s="530"/>
      <c r="I122" s="530"/>
      <c r="J122" s="530"/>
      <c r="K122" s="530">
        <v>2.4</v>
      </c>
      <c r="L122" s="530"/>
      <c r="M122" s="530"/>
      <c r="N122" s="530"/>
      <c r="O122" s="530">
        <v>1</v>
      </c>
      <c r="P122" s="530"/>
      <c r="Q122" s="530"/>
      <c r="R122" s="530"/>
      <c r="S122" s="530"/>
      <c r="T122" s="530"/>
      <c r="U122" s="530"/>
      <c r="V122" s="529">
        <f t="shared" ref="V122:V139" si="126">SUM(W122:AL122)</f>
        <v>0.6</v>
      </c>
      <c r="W122" s="530"/>
      <c r="X122" s="530"/>
      <c r="Y122" s="530"/>
      <c r="Z122" s="530"/>
      <c r="AA122" s="530"/>
      <c r="AB122" s="530">
        <v>0.6</v>
      </c>
      <c r="AC122" s="530"/>
      <c r="AD122" s="530"/>
      <c r="AE122" s="530"/>
      <c r="AF122" s="530"/>
      <c r="AG122" s="530"/>
      <c r="AH122" s="530"/>
      <c r="AI122" s="530"/>
      <c r="AJ122" s="530"/>
      <c r="AK122" s="530"/>
      <c r="AL122" s="530"/>
      <c r="AM122" s="529">
        <f t="shared" ref="AM122:AM139" si="127">SUM(AN122:BC122)</f>
        <v>4</v>
      </c>
      <c r="AN122" s="537">
        <f t="shared" ref="AN122:AN139" si="128">F122+W122</f>
        <v>0</v>
      </c>
      <c r="AO122" s="537">
        <f t="shared" ref="AO122:AO139" si="129">G122+X122</f>
        <v>0</v>
      </c>
      <c r="AP122" s="537">
        <f t="shared" ref="AP122:AP139" si="130">H122+Y122</f>
        <v>0</v>
      </c>
      <c r="AQ122" s="537">
        <f t="shared" ref="AQ122:AQ139" si="131">I122+Z122</f>
        <v>0</v>
      </c>
      <c r="AR122" s="537">
        <f t="shared" ref="AR122:AR139" si="132">J122+AA122</f>
        <v>0</v>
      </c>
      <c r="AS122" s="537">
        <f t="shared" ref="AS122:AS139" si="133">K122+AB122</f>
        <v>3</v>
      </c>
      <c r="AT122" s="537">
        <f t="shared" ref="AT122:AT139" si="134">L122+AC122</f>
        <v>0</v>
      </c>
      <c r="AU122" s="537">
        <f t="shared" ref="AU122:AU139" si="135">M122+AD122</f>
        <v>0</v>
      </c>
      <c r="AV122" s="537">
        <f t="shared" ref="AV122:AV139" si="136">N122+AE122</f>
        <v>0</v>
      </c>
      <c r="AW122" s="537">
        <f t="shared" ref="AW122:AW139" si="137">O122+AF122</f>
        <v>1</v>
      </c>
      <c r="AX122" s="537">
        <f t="shared" ref="AX122:AX139" si="138">P122+AG122</f>
        <v>0</v>
      </c>
      <c r="AY122" s="537">
        <f t="shared" ref="AY122:AY139" si="139">Q122+AH122</f>
        <v>0</v>
      </c>
      <c r="AZ122" s="537">
        <f t="shared" ref="AZ122:AZ139" si="140">R122+AI122</f>
        <v>0</v>
      </c>
      <c r="BA122" s="537">
        <f t="shared" ref="BA122:BA139" si="141">S122+AJ122</f>
        <v>0</v>
      </c>
      <c r="BB122" s="537">
        <f t="shared" ref="BB122:BB139" si="142">T122+AK122</f>
        <v>0</v>
      </c>
      <c r="BC122" s="537">
        <f t="shared" ref="BC122:BC139" si="143">U122+AL122</f>
        <v>0</v>
      </c>
      <c r="BD122" s="374"/>
      <c r="BE122" s="374"/>
    </row>
    <row r="123" s="508" customFormat="1" spans="1:57">
      <c r="A123" s="523"/>
      <c r="B123" s="524"/>
      <c r="C123" s="525" t="s">
        <v>131</v>
      </c>
      <c r="D123" s="526">
        <v>207</v>
      </c>
      <c r="E123" s="527">
        <f t="shared" ref="E123:U123" si="144">SUM(E124:E130)</f>
        <v>29.704</v>
      </c>
      <c r="F123" s="527">
        <f t="shared" si="144"/>
        <v>0</v>
      </c>
      <c r="G123" s="527">
        <f t="shared" si="144"/>
        <v>0</v>
      </c>
      <c r="H123" s="527">
        <f t="shared" si="144"/>
        <v>0</v>
      </c>
      <c r="I123" s="527">
        <f t="shared" si="144"/>
        <v>0</v>
      </c>
      <c r="J123" s="527">
        <f t="shared" si="144"/>
        <v>0</v>
      </c>
      <c r="K123" s="527">
        <f t="shared" si="144"/>
        <v>15.76</v>
      </c>
      <c r="L123" s="527">
        <f t="shared" si="144"/>
        <v>0</v>
      </c>
      <c r="M123" s="527">
        <f t="shared" si="144"/>
        <v>0</v>
      </c>
      <c r="N123" s="527">
        <f t="shared" si="144"/>
        <v>0</v>
      </c>
      <c r="O123" s="527">
        <f t="shared" si="144"/>
        <v>0</v>
      </c>
      <c r="P123" s="527">
        <f t="shared" si="144"/>
        <v>13.944</v>
      </c>
      <c r="Q123" s="527">
        <f t="shared" si="144"/>
        <v>0</v>
      </c>
      <c r="R123" s="527">
        <f t="shared" si="144"/>
        <v>0</v>
      </c>
      <c r="S123" s="527">
        <f t="shared" si="144"/>
        <v>0</v>
      </c>
      <c r="T123" s="527">
        <f t="shared" si="144"/>
        <v>0</v>
      </c>
      <c r="U123" s="527">
        <f t="shared" si="144"/>
        <v>0</v>
      </c>
      <c r="V123" s="527">
        <f t="shared" ref="V123:BC123" si="145">SUM(V124:V130)</f>
        <v>4.963</v>
      </c>
      <c r="W123" s="527">
        <f t="shared" si="145"/>
        <v>0</v>
      </c>
      <c r="X123" s="527">
        <f t="shared" si="145"/>
        <v>0</v>
      </c>
      <c r="Y123" s="527">
        <f t="shared" si="145"/>
        <v>0</v>
      </c>
      <c r="Z123" s="527">
        <f t="shared" si="145"/>
        <v>0</v>
      </c>
      <c r="AA123" s="527">
        <f t="shared" si="145"/>
        <v>0</v>
      </c>
      <c r="AB123" s="527">
        <f t="shared" si="145"/>
        <v>4.05</v>
      </c>
      <c r="AC123" s="527">
        <f t="shared" si="145"/>
        <v>0</v>
      </c>
      <c r="AD123" s="527">
        <f t="shared" si="145"/>
        <v>0</v>
      </c>
      <c r="AE123" s="527">
        <f t="shared" si="145"/>
        <v>0</v>
      </c>
      <c r="AF123" s="527">
        <f t="shared" si="145"/>
        <v>0</v>
      </c>
      <c r="AG123" s="527">
        <f t="shared" si="145"/>
        <v>0.913</v>
      </c>
      <c r="AH123" s="527">
        <f t="shared" si="145"/>
        <v>0</v>
      </c>
      <c r="AI123" s="527">
        <f t="shared" si="145"/>
        <v>0</v>
      </c>
      <c r="AJ123" s="527">
        <f t="shared" si="145"/>
        <v>0</v>
      </c>
      <c r="AK123" s="527">
        <f t="shared" si="145"/>
        <v>0</v>
      </c>
      <c r="AL123" s="527">
        <f t="shared" si="145"/>
        <v>0</v>
      </c>
      <c r="AM123" s="527">
        <f t="shared" si="145"/>
        <v>34.667</v>
      </c>
      <c r="AN123" s="536">
        <f t="shared" si="145"/>
        <v>0</v>
      </c>
      <c r="AO123" s="536">
        <f t="shared" si="145"/>
        <v>0</v>
      </c>
      <c r="AP123" s="536">
        <f t="shared" si="145"/>
        <v>0</v>
      </c>
      <c r="AQ123" s="536">
        <f t="shared" si="145"/>
        <v>0</v>
      </c>
      <c r="AR123" s="536">
        <f t="shared" si="145"/>
        <v>0</v>
      </c>
      <c r="AS123" s="536">
        <f t="shared" si="145"/>
        <v>19.81</v>
      </c>
      <c r="AT123" s="536">
        <f t="shared" si="145"/>
        <v>0</v>
      </c>
      <c r="AU123" s="536">
        <f t="shared" si="145"/>
        <v>0</v>
      </c>
      <c r="AV123" s="536">
        <f t="shared" si="145"/>
        <v>0</v>
      </c>
      <c r="AW123" s="536">
        <f t="shared" si="145"/>
        <v>0</v>
      </c>
      <c r="AX123" s="536">
        <f t="shared" si="145"/>
        <v>14.857</v>
      </c>
      <c r="AY123" s="536">
        <f t="shared" si="145"/>
        <v>0</v>
      </c>
      <c r="AZ123" s="536">
        <f t="shared" si="145"/>
        <v>0</v>
      </c>
      <c r="BA123" s="536">
        <f t="shared" si="145"/>
        <v>0</v>
      </c>
      <c r="BB123" s="536">
        <f t="shared" si="145"/>
        <v>0</v>
      </c>
      <c r="BC123" s="536">
        <f t="shared" si="145"/>
        <v>0</v>
      </c>
      <c r="BD123" s="332"/>
      <c r="BE123" s="332"/>
    </row>
    <row r="124" ht="24" spans="1:57">
      <c r="A124" s="528" t="s">
        <v>202</v>
      </c>
      <c r="B124" s="528" t="s">
        <v>203</v>
      </c>
      <c r="C124" s="528" t="s">
        <v>479</v>
      </c>
      <c r="D124" s="528" t="s">
        <v>480</v>
      </c>
      <c r="E124" s="529">
        <f t="shared" si="125"/>
        <v>5.388</v>
      </c>
      <c r="F124" s="530"/>
      <c r="G124" s="530"/>
      <c r="H124" s="530"/>
      <c r="I124" s="530"/>
      <c r="J124" s="530"/>
      <c r="K124" s="530">
        <v>2.4</v>
      </c>
      <c r="L124" s="530"/>
      <c r="M124" s="530"/>
      <c r="N124" s="530"/>
      <c r="O124" s="530"/>
      <c r="P124" s="530">
        <f>3*0.083*12</f>
        <v>2.988</v>
      </c>
      <c r="Q124" s="530"/>
      <c r="R124" s="530"/>
      <c r="S124" s="530"/>
      <c r="T124" s="530"/>
      <c r="U124" s="530"/>
      <c r="V124" s="529">
        <f t="shared" si="126"/>
        <v>1.1</v>
      </c>
      <c r="W124" s="530"/>
      <c r="X124" s="530"/>
      <c r="Y124" s="530"/>
      <c r="Z124" s="530"/>
      <c r="AA124" s="530"/>
      <c r="AB124" s="530">
        <v>1.1</v>
      </c>
      <c r="AC124" s="530"/>
      <c r="AD124" s="530"/>
      <c r="AE124" s="530"/>
      <c r="AF124" s="530"/>
      <c r="AG124" s="530"/>
      <c r="AH124" s="530"/>
      <c r="AI124" s="530"/>
      <c r="AJ124" s="530"/>
      <c r="AK124" s="530"/>
      <c r="AL124" s="530"/>
      <c r="AM124" s="529">
        <f t="shared" si="127"/>
        <v>6.488</v>
      </c>
      <c r="AN124" s="537">
        <f t="shared" si="128"/>
        <v>0</v>
      </c>
      <c r="AO124" s="537">
        <f t="shared" si="129"/>
        <v>0</v>
      </c>
      <c r="AP124" s="537">
        <f t="shared" si="130"/>
        <v>0</v>
      </c>
      <c r="AQ124" s="537">
        <f t="shared" si="131"/>
        <v>0</v>
      </c>
      <c r="AR124" s="537">
        <f t="shared" si="132"/>
        <v>0</v>
      </c>
      <c r="AS124" s="537">
        <f t="shared" si="133"/>
        <v>3.5</v>
      </c>
      <c r="AT124" s="537">
        <f t="shared" si="134"/>
        <v>0</v>
      </c>
      <c r="AU124" s="537">
        <f t="shared" si="135"/>
        <v>0</v>
      </c>
      <c r="AV124" s="537">
        <f t="shared" si="136"/>
        <v>0</v>
      </c>
      <c r="AW124" s="537">
        <f t="shared" si="137"/>
        <v>0</v>
      </c>
      <c r="AX124" s="537">
        <f t="shared" si="138"/>
        <v>2.988</v>
      </c>
      <c r="AY124" s="537">
        <f t="shared" si="139"/>
        <v>0</v>
      </c>
      <c r="AZ124" s="537">
        <f t="shared" si="140"/>
        <v>0</v>
      </c>
      <c r="BA124" s="537">
        <f t="shared" si="141"/>
        <v>0</v>
      </c>
      <c r="BB124" s="537">
        <f t="shared" si="142"/>
        <v>0</v>
      </c>
      <c r="BC124" s="537">
        <f t="shared" si="143"/>
        <v>0</v>
      </c>
      <c r="BD124" s="374"/>
      <c r="BE124" s="374"/>
    </row>
    <row r="125" ht="24" spans="1:57">
      <c r="A125" s="528" t="s">
        <v>202</v>
      </c>
      <c r="B125" s="528" t="s">
        <v>206</v>
      </c>
      <c r="C125" s="528" t="s">
        <v>481</v>
      </c>
      <c r="D125" s="528" t="s">
        <v>482</v>
      </c>
      <c r="E125" s="529">
        <f t="shared" si="125"/>
        <v>2.916</v>
      </c>
      <c r="F125" s="530"/>
      <c r="G125" s="530"/>
      <c r="H125" s="530"/>
      <c r="I125" s="530"/>
      <c r="J125" s="530"/>
      <c r="K125" s="530">
        <v>1.92</v>
      </c>
      <c r="L125" s="530"/>
      <c r="M125" s="530"/>
      <c r="N125" s="530"/>
      <c r="O125" s="530"/>
      <c r="P125" s="530">
        <v>0.996</v>
      </c>
      <c r="Q125" s="530"/>
      <c r="R125" s="530"/>
      <c r="S125" s="530"/>
      <c r="T125" s="530"/>
      <c r="U125" s="530"/>
      <c r="V125" s="529">
        <f t="shared" si="126"/>
        <v>0.48</v>
      </c>
      <c r="W125" s="530"/>
      <c r="X125" s="530"/>
      <c r="Y125" s="530"/>
      <c r="Z125" s="530"/>
      <c r="AA125" s="530"/>
      <c r="AB125" s="530">
        <v>0.48</v>
      </c>
      <c r="AC125" s="530"/>
      <c r="AD125" s="530"/>
      <c r="AE125" s="530"/>
      <c r="AF125" s="530"/>
      <c r="AG125" s="530"/>
      <c r="AH125" s="530"/>
      <c r="AI125" s="530"/>
      <c r="AJ125" s="530"/>
      <c r="AK125" s="530"/>
      <c r="AL125" s="530"/>
      <c r="AM125" s="529">
        <f t="shared" si="127"/>
        <v>3.396</v>
      </c>
      <c r="AN125" s="537">
        <f t="shared" si="128"/>
        <v>0</v>
      </c>
      <c r="AO125" s="537">
        <f t="shared" si="129"/>
        <v>0</v>
      </c>
      <c r="AP125" s="537">
        <f t="shared" si="130"/>
        <v>0</v>
      </c>
      <c r="AQ125" s="537">
        <f t="shared" si="131"/>
        <v>0</v>
      </c>
      <c r="AR125" s="537">
        <f t="shared" si="132"/>
        <v>0</v>
      </c>
      <c r="AS125" s="537">
        <f t="shared" si="133"/>
        <v>2.4</v>
      </c>
      <c r="AT125" s="537">
        <f t="shared" si="134"/>
        <v>0</v>
      </c>
      <c r="AU125" s="537">
        <f t="shared" si="135"/>
        <v>0</v>
      </c>
      <c r="AV125" s="537">
        <f t="shared" si="136"/>
        <v>0</v>
      </c>
      <c r="AW125" s="537">
        <f t="shared" si="137"/>
        <v>0</v>
      </c>
      <c r="AX125" s="537">
        <f t="shared" si="138"/>
        <v>0.996</v>
      </c>
      <c r="AY125" s="537">
        <f t="shared" si="139"/>
        <v>0</v>
      </c>
      <c r="AZ125" s="537">
        <f t="shared" si="140"/>
        <v>0</v>
      </c>
      <c r="BA125" s="537">
        <f t="shared" si="141"/>
        <v>0</v>
      </c>
      <c r="BB125" s="537">
        <f t="shared" si="142"/>
        <v>0</v>
      </c>
      <c r="BC125" s="537">
        <f t="shared" si="143"/>
        <v>0</v>
      </c>
      <c r="BD125" s="374"/>
      <c r="BE125" s="374"/>
    </row>
    <row r="126" ht="24" spans="1:57">
      <c r="A126" s="528" t="s">
        <v>202</v>
      </c>
      <c r="B126" s="528" t="s">
        <v>483</v>
      </c>
      <c r="C126" s="528" t="s">
        <v>484</v>
      </c>
      <c r="D126" s="528" t="s">
        <v>485</v>
      </c>
      <c r="E126" s="529">
        <f t="shared" si="125"/>
        <v>3.6</v>
      </c>
      <c r="F126" s="530"/>
      <c r="G126" s="530"/>
      <c r="H126" s="530"/>
      <c r="I126" s="530"/>
      <c r="J126" s="530"/>
      <c r="K126" s="530">
        <v>3.6</v>
      </c>
      <c r="L126" s="530"/>
      <c r="M126" s="530"/>
      <c r="N126" s="530"/>
      <c r="O126" s="530"/>
      <c r="P126" s="530"/>
      <c r="Q126" s="530"/>
      <c r="R126" s="530"/>
      <c r="S126" s="530"/>
      <c r="T126" s="530"/>
      <c r="U126" s="530"/>
      <c r="V126" s="529">
        <f t="shared" si="126"/>
        <v>0.66</v>
      </c>
      <c r="W126" s="530"/>
      <c r="X126" s="530"/>
      <c r="Y126" s="530"/>
      <c r="Z126" s="530"/>
      <c r="AA126" s="530"/>
      <c r="AB126" s="530">
        <v>0.66</v>
      </c>
      <c r="AC126" s="530"/>
      <c r="AD126" s="530"/>
      <c r="AE126" s="530"/>
      <c r="AF126" s="530"/>
      <c r="AG126" s="530"/>
      <c r="AH126" s="530"/>
      <c r="AI126" s="530"/>
      <c r="AJ126" s="530"/>
      <c r="AK126" s="530"/>
      <c r="AL126" s="530"/>
      <c r="AM126" s="529">
        <f t="shared" si="127"/>
        <v>4.26</v>
      </c>
      <c r="AN126" s="537">
        <f t="shared" si="128"/>
        <v>0</v>
      </c>
      <c r="AO126" s="537">
        <f t="shared" si="129"/>
        <v>0</v>
      </c>
      <c r="AP126" s="537">
        <f t="shared" si="130"/>
        <v>0</v>
      </c>
      <c r="AQ126" s="537">
        <f t="shared" si="131"/>
        <v>0</v>
      </c>
      <c r="AR126" s="537">
        <f t="shared" si="132"/>
        <v>0</v>
      </c>
      <c r="AS126" s="537">
        <f t="shared" si="133"/>
        <v>4.26</v>
      </c>
      <c r="AT126" s="537">
        <f t="shared" si="134"/>
        <v>0</v>
      </c>
      <c r="AU126" s="537">
        <f t="shared" si="135"/>
        <v>0</v>
      </c>
      <c r="AV126" s="537">
        <f t="shared" si="136"/>
        <v>0</v>
      </c>
      <c r="AW126" s="537">
        <f t="shared" si="137"/>
        <v>0</v>
      </c>
      <c r="AX126" s="537">
        <f t="shared" si="138"/>
        <v>0</v>
      </c>
      <c r="AY126" s="537">
        <f t="shared" si="139"/>
        <v>0</v>
      </c>
      <c r="AZ126" s="537">
        <f t="shared" si="140"/>
        <v>0</v>
      </c>
      <c r="BA126" s="537">
        <f t="shared" si="141"/>
        <v>0</v>
      </c>
      <c r="BB126" s="537">
        <f t="shared" si="142"/>
        <v>0</v>
      </c>
      <c r="BC126" s="537">
        <f t="shared" si="143"/>
        <v>0</v>
      </c>
      <c r="BD126" s="374"/>
      <c r="BE126" s="374" t="s">
        <v>767</v>
      </c>
    </row>
    <row r="127" ht="24" spans="1:57">
      <c r="A127" s="528" t="s">
        <v>202</v>
      </c>
      <c r="B127" s="528" t="s">
        <v>206</v>
      </c>
      <c r="C127" s="528" t="s">
        <v>486</v>
      </c>
      <c r="D127" s="528" t="s">
        <v>487</v>
      </c>
      <c r="E127" s="529">
        <f t="shared" si="125"/>
        <v>7.62</v>
      </c>
      <c r="F127" s="530"/>
      <c r="G127" s="530"/>
      <c r="H127" s="530"/>
      <c r="I127" s="530"/>
      <c r="J127" s="530"/>
      <c r="K127" s="530">
        <v>2.64</v>
      </c>
      <c r="L127" s="530"/>
      <c r="M127" s="530"/>
      <c r="N127" s="530"/>
      <c r="O127" s="530"/>
      <c r="P127" s="530">
        <v>4.98</v>
      </c>
      <c r="Q127" s="530"/>
      <c r="R127" s="530"/>
      <c r="S127" s="530"/>
      <c r="T127" s="530"/>
      <c r="U127" s="530"/>
      <c r="V127" s="529">
        <f t="shared" si="126"/>
        <v>1.273</v>
      </c>
      <c r="W127" s="530"/>
      <c r="X127" s="530"/>
      <c r="Y127" s="530"/>
      <c r="Z127" s="530"/>
      <c r="AA127" s="530"/>
      <c r="AB127" s="530">
        <v>0.36</v>
      </c>
      <c r="AC127" s="530"/>
      <c r="AD127" s="530"/>
      <c r="AE127" s="530"/>
      <c r="AF127" s="530"/>
      <c r="AG127" s="530">
        <v>0.913</v>
      </c>
      <c r="AH127" s="530"/>
      <c r="AI127" s="530"/>
      <c r="AJ127" s="530"/>
      <c r="AK127" s="530"/>
      <c r="AL127" s="530"/>
      <c r="AM127" s="529">
        <f t="shared" si="127"/>
        <v>8.893</v>
      </c>
      <c r="AN127" s="537">
        <f t="shared" si="128"/>
        <v>0</v>
      </c>
      <c r="AO127" s="537">
        <f t="shared" si="129"/>
        <v>0</v>
      </c>
      <c r="AP127" s="537">
        <f t="shared" si="130"/>
        <v>0</v>
      </c>
      <c r="AQ127" s="537">
        <f t="shared" si="131"/>
        <v>0</v>
      </c>
      <c r="AR127" s="537">
        <f t="shared" si="132"/>
        <v>0</v>
      </c>
      <c r="AS127" s="537">
        <f t="shared" si="133"/>
        <v>3</v>
      </c>
      <c r="AT127" s="537">
        <f t="shared" si="134"/>
        <v>0</v>
      </c>
      <c r="AU127" s="537">
        <f t="shared" si="135"/>
        <v>0</v>
      </c>
      <c r="AV127" s="537">
        <f t="shared" si="136"/>
        <v>0</v>
      </c>
      <c r="AW127" s="537">
        <f t="shared" si="137"/>
        <v>0</v>
      </c>
      <c r="AX127" s="537">
        <f t="shared" si="138"/>
        <v>5.893</v>
      </c>
      <c r="AY127" s="537">
        <f t="shared" si="139"/>
        <v>0</v>
      </c>
      <c r="AZ127" s="537">
        <f t="shared" si="140"/>
        <v>0</v>
      </c>
      <c r="BA127" s="537">
        <f t="shared" si="141"/>
        <v>0</v>
      </c>
      <c r="BB127" s="537">
        <f t="shared" si="142"/>
        <v>0</v>
      </c>
      <c r="BC127" s="537">
        <f t="shared" si="143"/>
        <v>0</v>
      </c>
      <c r="BD127" s="374"/>
      <c r="BE127" s="374"/>
    </row>
    <row r="128" ht="24" spans="1:57">
      <c r="A128" s="528" t="s">
        <v>202</v>
      </c>
      <c r="B128" s="528" t="s">
        <v>206</v>
      </c>
      <c r="C128" s="528" t="s">
        <v>495</v>
      </c>
      <c r="D128" s="528" t="s">
        <v>496</v>
      </c>
      <c r="E128" s="529">
        <f t="shared" si="125"/>
        <v>0.72</v>
      </c>
      <c r="F128" s="530"/>
      <c r="G128" s="530"/>
      <c r="H128" s="530"/>
      <c r="I128" s="530"/>
      <c r="J128" s="530"/>
      <c r="K128" s="530">
        <v>0.72</v>
      </c>
      <c r="L128" s="530"/>
      <c r="M128" s="530"/>
      <c r="N128" s="530"/>
      <c r="O128" s="530"/>
      <c r="P128" s="530"/>
      <c r="Q128" s="530"/>
      <c r="R128" s="530"/>
      <c r="S128" s="530"/>
      <c r="T128" s="530"/>
      <c r="U128" s="530"/>
      <c r="V128" s="529">
        <f t="shared" si="126"/>
        <v>0.18</v>
      </c>
      <c r="W128" s="530"/>
      <c r="X128" s="530"/>
      <c r="Y128" s="530"/>
      <c r="Z128" s="530"/>
      <c r="AA128" s="530"/>
      <c r="AB128" s="530">
        <v>0.18</v>
      </c>
      <c r="AC128" s="530"/>
      <c r="AD128" s="530"/>
      <c r="AE128" s="530"/>
      <c r="AF128" s="530"/>
      <c r="AG128" s="530"/>
      <c r="AH128" s="530"/>
      <c r="AI128" s="530"/>
      <c r="AJ128" s="530"/>
      <c r="AK128" s="530"/>
      <c r="AL128" s="530"/>
      <c r="AM128" s="529">
        <f t="shared" si="127"/>
        <v>0.9</v>
      </c>
      <c r="AN128" s="537">
        <f t="shared" si="128"/>
        <v>0</v>
      </c>
      <c r="AO128" s="537">
        <f t="shared" si="129"/>
        <v>0</v>
      </c>
      <c r="AP128" s="537">
        <f t="shared" si="130"/>
        <v>0</v>
      </c>
      <c r="AQ128" s="537">
        <f t="shared" si="131"/>
        <v>0</v>
      </c>
      <c r="AR128" s="537">
        <f t="shared" si="132"/>
        <v>0</v>
      </c>
      <c r="AS128" s="537">
        <f t="shared" si="133"/>
        <v>0.9</v>
      </c>
      <c r="AT128" s="537">
        <f t="shared" si="134"/>
        <v>0</v>
      </c>
      <c r="AU128" s="537">
        <f t="shared" si="135"/>
        <v>0</v>
      </c>
      <c r="AV128" s="537">
        <f t="shared" si="136"/>
        <v>0</v>
      </c>
      <c r="AW128" s="537">
        <f t="shared" si="137"/>
        <v>0</v>
      </c>
      <c r="AX128" s="537">
        <f t="shared" si="138"/>
        <v>0</v>
      </c>
      <c r="AY128" s="537">
        <f t="shared" si="139"/>
        <v>0</v>
      </c>
      <c r="AZ128" s="537">
        <f t="shared" si="140"/>
        <v>0</v>
      </c>
      <c r="BA128" s="537">
        <f t="shared" si="141"/>
        <v>0</v>
      </c>
      <c r="BB128" s="537">
        <f t="shared" si="142"/>
        <v>0</v>
      </c>
      <c r="BC128" s="537">
        <f t="shared" si="143"/>
        <v>0</v>
      </c>
      <c r="BD128" s="374"/>
      <c r="BE128" s="374"/>
    </row>
    <row r="129" ht="24" spans="1:57">
      <c r="A129" s="528" t="s">
        <v>202</v>
      </c>
      <c r="B129" s="528" t="s">
        <v>203</v>
      </c>
      <c r="C129" s="528" t="s">
        <v>488</v>
      </c>
      <c r="D129" s="528" t="s">
        <v>489</v>
      </c>
      <c r="E129" s="529">
        <f t="shared" si="125"/>
        <v>0.4</v>
      </c>
      <c r="F129" s="530"/>
      <c r="G129" s="530"/>
      <c r="H129" s="530"/>
      <c r="I129" s="530"/>
      <c r="J129" s="530"/>
      <c r="K129" s="530">
        <v>0.4</v>
      </c>
      <c r="L129" s="530"/>
      <c r="M129" s="530"/>
      <c r="N129" s="530"/>
      <c r="O129" s="530"/>
      <c r="P129" s="530"/>
      <c r="Q129" s="530"/>
      <c r="R129" s="530"/>
      <c r="S129" s="530"/>
      <c r="T129" s="530"/>
      <c r="U129" s="530"/>
      <c r="V129" s="529">
        <f t="shared" si="126"/>
        <v>0.1</v>
      </c>
      <c r="W129" s="530"/>
      <c r="X129" s="530"/>
      <c r="Y129" s="530"/>
      <c r="Z129" s="530"/>
      <c r="AA129" s="530"/>
      <c r="AB129" s="530">
        <v>0.1</v>
      </c>
      <c r="AC129" s="530"/>
      <c r="AD129" s="530"/>
      <c r="AE129" s="530"/>
      <c r="AF129" s="530"/>
      <c r="AG129" s="530"/>
      <c r="AH129" s="530"/>
      <c r="AI129" s="530"/>
      <c r="AJ129" s="530"/>
      <c r="AK129" s="530"/>
      <c r="AL129" s="530"/>
      <c r="AM129" s="529">
        <f t="shared" si="127"/>
        <v>0.5</v>
      </c>
      <c r="AN129" s="537">
        <f t="shared" si="128"/>
        <v>0</v>
      </c>
      <c r="AO129" s="537">
        <f t="shared" si="129"/>
        <v>0</v>
      </c>
      <c r="AP129" s="537">
        <f t="shared" si="130"/>
        <v>0</v>
      </c>
      <c r="AQ129" s="537">
        <f t="shared" si="131"/>
        <v>0</v>
      </c>
      <c r="AR129" s="537">
        <f t="shared" si="132"/>
        <v>0</v>
      </c>
      <c r="AS129" s="537">
        <f t="shared" si="133"/>
        <v>0.5</v>
      </c>
      <c r="AT129" s="537">
        <f t="shared" si="134"/>
        <v>0</v>
      </c>
      <c r="AU129" s="537">
        <f t="shared" si="135"/>
        <v>0</v>
      </c>
      <c r="AV129" s="537">
        <f t="shared" si="136"/>
        <v>0</v>
      </c>
      <c r="AW129" s="537">
        <f t="shared" si="137"/>
        <v>0</v>
      </c>
      <c r="AX129" s="537">
        <f t="shared" si="138"/>
        <v>0</v>
      </c>
      <c r="AY129" s="537">
        <f t="shared" si="139"/>
        <v>0</v>
      </c>
      <c r="AZ129" s="537">
        <f t="shared" si="140"/>
        <v>0</v>
      </c>
      <c r="BA129" s="537">
        <f t="shared" si="141"/>
        <v>0</v>
      </c>
      <c r="BB129" s="537">
        <f t="shared" si="142"/>
        <v>0</v>
      </c>
      <c r="BC129" s="537">
        <f t="shared" si="143"/>
        <v>0</v>
      </c>
      <c r="BD129" s="374"/>
      <c r="BE129" s="374"/>
    </row>
    <row r="130" ht="24" spans="1:57">
      <c r="A130" s="528" t="s">
        <v>202</v>
      </c>
      <c r="B130" s="528" t="s">
        <v>203</v>
      </c>
      <c r="C130" s="528" t="s">
        <v>499</v>
      </c>
      <c r="D130" s="528" t="s">
        <v>500</v>
      </c>
      <c r="E130" s="529">
        <f t="shared" si="125"/>
        <v>9.06</v>
      </c>
      <c r="F130" s="530"/>
      <c r="G130" s="530"/>
      <c r="H130" s="530"/>
      <c r="I130" s="530"/>
      <c r="J130" s="530"/>
      <c r="K130" s="530">
        <v>4.08</v>
      </c>
      <c r="L130" s="530"/>
      <c r="M130" s="530"/>
      <c r="N130" s="530"/>
      <c r="O130" s="530"/>
      <c r="P130" s="530">
        <v>4.98</v>
      </c>
      <c r="Q130" s="530"/>
      <c r="R130" s="530"/>
      <c r="S130" s="530"/>
      <c r="T130" s="530"/>
      <c r="U130" s="530"/>
      <c r="V130" s="529">
        <f t="shared" si="126"/>
        <v>1.17</v>
      </c>
      <c r="W130" s="530"/>
      <c r="X130" s="530"/>
      <c r="Y130" s="530"/>
      <c r="Z130" s="530"/>
      <c r="AA130" s="530"/>
      <c r="AB130" s="530">
        <v>1.17</v>
      </c>
      <c r="AC130" s="530"/>
      <c r="AD130" s="530"/>
      <c r="AE130" s="530"/>
      <c r="AF130" s="530"/>
      <c r="AG130" s="530"/>
      <c r="AH130" s="530"/>
      <c r="AI130" s="530"/>
      <c r="AJ130" s="530"/>
      <c r="AK130" s="530"/>
      <c r="AL130" s="530"/>
      <c r="AM130" s="529">
        <f t="shared" si="127"/>
        <v>10.23</v>
      </c>
      <c r="AN130" s="537">
        <f t="shared" si="128"/>
        <v>0</v>
      </c>
      <c r="AO130" s="537">
        <f t="shared" si="129"/>
        <v>0</v>
      </c>
      <c r="AP130" s="537">
        <f t="shared" si="130"/>
        <v>0</v>
      </c>
      <c r="AQ130" s="537">
        <f t="shared" si="131"/>
        <v>0</v>
      </c>
      <c r="AR130" s="537">
        <f t="shared" si="132"/>
        <v>0</v>
      </c>
      <c r="AS130" s="537">
        <f t="shared" si="133"/>
        <v>5.25</v>
      </c>
      <c r="AT130" s="537">
        <f t="shared" si="134"/>
        <v>0</v>
      </c>
      <c r="AU130" s="537">
        <f t="shared" si="135"/>
        <v>0</v>
      </c>
      <c r="AV130" s="537">
        <f t="shared" si="136"/>
        <v>0</v>
      </c>
      <c r="AW130" s="537">
        <f t="shared" si="137"/>
        <v>0</v>
      </c>
      <c r="AX130" s="537">
        <f t="shared" si="138"/>
        <v>4.98</v>
      </c>
      <c r="AY130" s="537">
        <f t="shared" si="139"/>
        <v>0</v>
      </c>
      <c r="AZ130" s="537">
        <f t="shared" si="140"/>
        <v>0</v>
      </c>
      <c r="BA130" s="537">
        <f t="shared" si="141"/>
        <v>0</v>
      </c>
      <c r="BB130" s="537">
        <f t="shared" si="142"/>
        <v>0</v>
      </c>
      <c r="BC130" s="537">
        <f t="shared" si="143"/>
        <v>0</v>
      </c>
      <c r="BD130" s="374"/>
      <c r="BE130" s="374"/>
    </row>
    <row r="131" s="508" customFormat="1" ht="20.15" customHeight="1" spans="1:57">
      <c r="A131" s="523"/>
      <c r="B131" s="524"/>
      <c r="C131" s="525" t="s">
        <v>132</v>
      </c>
      <c r="D131" s="526">
        <v>208</v>
      </c>
      <c r="E131" s="527">
        <f>SUM(E132:E141)</f>
        <v>16393.1</v>
      </c>
      <c r="F131" s="527">
        <f t="shared" ref="F131:AK131" si="146">SUM(F132:F141)</f>
        <v>11625</v>
      </c>
      <c r="G131" s="527">
        <f t="shared" si="146"/>
        <v>299.27</v>
      </c>
      <c r="H131" s="527">
        <f t="shared" si="146"/>
        <v>367.48</v>
      </c>
      <c r="I131" s="527">
        <f t="shared" si="146"/>
        <v>63.54</v>
      </c>
      <c r="J131" s="527">
        <f t="shared" si="146"/>
        <v>77.33</v>
      </c>
      <c r="K131" s="527">
        <f t="shared" si="146"/>
        <v>28.24</v>
      </c>
      <c r="L131" s="527">
        <f t="shared" si="146"/>
        <v>400</v>
      </c>
      <c r="M131" s="527">
        <f t="shared" si="146"/>
        <v>2153.38</v>
      </c>
      <c r="N131" s="527">
        <f t="shared" si="146"/>
        <v>38</v>
      </c>
      <c r="O131" s="527">
        <f t="shared" si="146"/>
        <v>25.89</v>
      </c>
      <c r="P131" s="527">
        <f t="shared" si="146"/>
        <v>1.99</v>
      </c>
      <c r="Q131" s="527">
        <f t="shared" si="146"/>
        <v>1273.85</v>
      </c>
      <c r="R131" s="527">
        <f t="shared" si="146"/>
        <v>0</v>
      </c>
      <c r="S131" s="527">
        <f t="shared" si="146"/>
        <v>18.36</v>
      </c>
      <c r="T131" s="527">
        <f t="shared" si="146"/>
        <v>0</v>
      </c>
      <c r="U131" s="527">
        <f t="shared" si="146"/>
        <v>20.77</v>
      </c>
      <c r="V131" s="527">
        <f t="shared" si="146"/>
        <v>337.162</v>
      </c>
      <c r="W131" s="527">
        <f t="shared" si="146"/>
        <v>0</v>
      </c>
      <c r="X131" s="527">
        <f t="shared" si="146"/>
        <v>5.51</v>
      </c>
      <c r="Y131" s="527">
        <f t="shared" si="146"/>
        <v>419.49</v>
      </c>
      <c r="Z131" s="527">
        <f t="shared" si="146"/>
        <v>0</v>
      </c>
      <c r="AA131" s="527">
        <f t="shared" si="146"/>
        <v>0</v>
      </c>
      <c r="AB131" s="527">
        <f t="shared" si="146"/>
        <v>8.61</v>
      </c>
      <c r="AC131" s="527">
        <f t="shared" si="146"/>
        <v>0</v>
      </c>
      <c r="AD131" s="527">
        <f t="shared" si="146"/>
        <v>0</v>
      </c>
      <c r="AE131" s="527">
        <f t="shared" si="146"/>
        <v>0</v>
      </c>
      <c r="AF131" s="527">
        <f t="shared" si="146"/>
        <v>-0.74</v>
      </c>
      <c r="AG131" s="527">
        <f t="shared" si="146"/>
        <v>0</v>
      </c>
      <c r="AH131" s="527">
        <f t="shared" si="146"/>
        <v>-220</v>
      </c>
      <c r="AI131" s="527">
        <f t="shared" si="146"/>
        <v>0</v>
      </c>
      <c r="AJ131" s="527">
        <f t="shared" si="146"/>
        <v>0</v>
      </c>
      <c r="AK131" s="527">
        <f t="shared" si="146"/>
        <v>0</v>
      </c>
      <c r="AL131" s="527">
        <f t="shared" ref="AL131:BC131" si="147">SUM(AL132:AL141)</f>
        <v>124.292</v>
      </c>
      <c r="AM131" s="527">
        <f t="shared" si="147"/>
        <v>16730.262</v>
      </c>
      <c r="AN131" s="527">
        <f t="shared" si="147"/>
        <v>11625</v>
      </c>
      <c r="AO131" s="527">
        <f t="shared" si="147"/>
        <v>304.78</v>
      </c>
      <c r="AP131" s="527">
        <f t="shared" si="147"/>
        <v>786.97</v>
      </c>
      <c r="AQ131" s="527">
        <f t="shared" si="147"/>
        <v>63.54</v>
      </c>
      <c r="AR131" s="527">
        <f t="shared" si="147"/>
        <v>77.33</v>
      </c>
      <c r="AS131" s="527">
        <f t="shared" si="147"/>
        <v>36.85</v>
      </c>
      <c r="AT131" s="527">
        <f t="shared" si="147"/>
        <v>400</v>
      </c>
      <c r="AU131" s="527">
        <f t="shared" si="147"/>
        <v>2153.38</v>
      </c>
      <c r="AV131" s="527">
        <f t="shared" si="147"/>
        <v>38</v>
      </c>
      <c r="AW131" s="527">
        <f t="shared" si="147"/>
        <v>25.15</v>
      </c>
      <c r="AX131" s="527">
        <f t="shared" si="147"/>
        <v>1.99</v>
      </c>
      <c r="AY131" s="527">
        <f t="shared" si="147"/>
        <v>1053.85</v>
      </c>
      <c r="AZ131" s="527">
        <f t="shared" si="147"/>
        <v>0</v>
      </c>
      <c r="BA131" s="527">
        <f t="shared" si="147"/>
        <v>18.36</v>
      </c>
      <c r="BB131" s="527">
        <f t="shared" si="147"/>
        <v>0</v>
      </c>
      <c r="BC131" s="527">
        <f t="shared" si="147"/>
        <v>145.062</v>
      </c>
      <c r="BD131" s="332"/>
      <c r="BE131" s="332"/>
    </row>
    <row r="132" ht="39" customHeight="1" spans="1:57">
      <c r="A132" s="528" t="s">
        <v>504</v>
      </c>
      <c r="B132" s="528" t="s">
        <v>203</v>
      </c>
      <c r="C132" s="528" t="s">
        <v>514</v>
      </c>
      <c r="D132" s="528" t="s">
        <v>768</v>
      </c>
      <c r="E132" s="529">
        <f t="shared" ref="E132:E141" si="148">SUM(F132:U132)</f>
        <v>1160.11</v>
      </c>
      <c r="F132" s="530"/>
      <c r="G132" s="530"/>
      <c r="H132" s="530"/>
      <c r="I132" s="530"/>
      <c r="J132" s="530"/>
      <c r="K132" s="530">
        <v>10.96</v>
      </c>
      <c r="L132" s="530"/>
      <c r="M132" s="530"/>
      <c r="N132" s="530"/>
      <c r="O132" s="530">
        <v>18.92</v>
      </c>
      <c r="P132" s="530"/>
      <c r="Q132" s="530">
        <v>1130.23</v>
      </c>
      <c r="R132" s="530"/>
      <c r="S132" s="530"/>
      <c r="T132" s="530"/>
      <c r="U132" s="530"/>
      <c r="V132" s="529">
        <f t="shared" ref="V132:V141" si="149">SUM(W132:AL132)</f>
        <v>-219.24</v>
      </c>
      <c r="W132" s="530"/>
      <c r="X132" s="530"/>
      <c r="Y132" s="530"/>
      <c r="Z132" s="530"/>
      <c r="AA132" s="530"/>
      <c r="AB132" s="530">
        <v>1.67</v>
      </c>
      <c r="AC132" s="530"/>
      <c r="AD132" s="530"/>
      <c r="AE132" s="530"/>
      <c r="AF132" s="530">
        <v>-0.91</v>
      </c>
      <c r="AG132" s="530"/>
      <c r="AH132" s="530">
        <v>-220</v>
      </c>
      <c r="AI132" s="530"/>
      <c r="AJ132" s="530"/>
      <c r="AK132" s="530"/>
      <c r="AL132" s="530"/>
      <c r="AM132" s="529">
        <f t="shared" ref="AM132:AM141" si="150">SUM(AN132:BC132)</f>
        <v>940.87</v>
      </c>
      <c r="AN132" s="537">
        <f t="shared" ref="AN132:BC132" si="151">F132+W132</f>
        <v>0</v>
      </c>
      <c r="AO132" s="537">
        <f t="shared" si="151"/>
        <v>0</v>
      </c>
      <c r="AP132" s="537">
        <f t="shared" si="151"/>
        <v>0</v>
      </c>
      <c r="AQ132" s="537">
        <f t="shared" si="151"/>
        <v>0</v>
      </c>
      <c r="AR132" s="537">
        <f t="shared" si="151"/>
        <v>0</v>
      </c>
      <c r="AS132" s="537">
        <f t="shared" si="151"/>
        <v>12.63</v>
      </c>
      <c r="AT132" s="537">
        <f t="shared" si="151"/>
        <v>0</v>
      </c>
      <c r="AU132" s="537">
        <f t="shared" si="151"/>
        <v>0</v>
      </c>
      <c r="AV132" s="537">
        <f t="shared" si="151"/>
        <v>0</v>
      </c>
      <c r="AW132" s="537">
        <f t="shared" si="151"/>
        <v>18.01</v>
      </c>
      <c r="AX132" s="537">
        <f t="shared" si="151"/>
        <v>0</v>
      </c>
      <c r="AY132" s="537">
        <f t="shared" si="151"/>
        <v>910.23</v>
      </c>
      <c r="AZ132" s="537">
        <f t="shared" si="151"/>
        <v>0</v>
      </c>
      <c r="BA132" s="537">
        <f t="shared" si="151"/>
        <v>0</v>
      </c>
      <c r="BB132" s="537">
        <f t="shared" si="151"/>
        <v>0</v>
      </c>
      <c r="BC132" s="537">
        <f t="shared" si="151"/>
        <v>0</v>
      </c>
      <c r="BD132" s="374"/>
      <c r="BE132" s="374" t="s">
        <v>769</v>
      </c>
    </row>
    <row r="133" ht="53" customHeight="1" spans="1:57">
      <c r="A133" s="528" t="s">
        <v>504</v>
      </c>
      <c r="B133" s="528" t="s">
        <v>206</v>
      </c>
      <c r="C133" s="528" t="s">
        <v>517</v>
      </c>
      <c r="D133" s="528" t="s">
        <v>518</v>
      </c>
      <c r="E133" s="529">
        <f t="shared" si="148"/>
        <v>20.84</v>
      </c>
      <c r="F133" s="530"/>
      <c r="G133" s="530"/>
      <c r="H133" s="530"/>
      <c r="I133" s="530"/>
      <c r="J133" s="530"/>
      <c r="K133" s="530"/>
      <c r="L133" s="530"/>
      <c r="M133" s="530"/>
      <c r="N133" s="530">
        <v>0</v>
      </c>
      <c r="O133" s="530"/>
      <c r="P133" s="530">
        <v>1.99</v>
      </c>
      <c r="Q133" s="530">
        <v>0.96</v>
      </c>
      <c r="R133" s="530"/>
      <c r="S133" s="530"/>
      <c r="T133" s="530"/>
      <c r="U133" s="530">
        <v>17.89</v>
      </c>
      <c r="V133" s="529">
        <f t="shared" si="149"/>
        <v>1.95</v>
      </c>
      <c r="W133" s="530"/>
      <c r="X133" s="530"/>
      <c r="Y133" s="530"/>
      <c r="Z133" s="530"/>
      <c r="AA133" s="530"/>
      <c r="AB133" s="530">
        <v>1.2</v>
      </c>
      <c r="AC133" s="530"/>
      <c r="AD133" s="530"/>
      <c r="AE133" s="530"/>
      <c r="AF133" s="530"/>
      <c r="AG133" s="530"/>
      <c r="AH133" s="530"/>
      <c r="AI133" s="530"/>
      <c r="AJ133" s="530"/>
      <c r="AK133" s="530"/>
      <c r="AL133" s="530">
        <v>0.75</v>
      </c>
      <c r="AM133" s="529">
        <f t="shared" si="150"/>
        <v>22.79</v>
      </c>
      <c r="AN133" s="537">
        <f t="shared" ref="AN133:BC133" si="152">F133+W133</f>
        <v>0</v>
      </c>
      <c r="AO133" s="537">
        <f t="shared" si="152"/>
        <v>0</v>
      </c>
      <c r="AP133" s="537">
        <f t="shared" si="152"/>
        <v>0</v>
      </c>
      <c r="AQ133" s="537">
        <f t="shared" si="152"/>
        <v>0</v>
      </c>
      <c r="AR133" s="537">
        <f t="shared" si="152"/>
        <v>0</v>
      </c>
      <c r="AS133" s="537">
        <f t="shared" si="152"/>
        <v>1.2</v>
      </c>
      <c r="AT133" s="537">
        <f t="shared" si="152"/>
        <v>0</v>
      </c>
      <c r="AU133" s="537">
        <f t="shared" si="152"/>
        <v>0</v>
      </c>
      <c r="AV133" s="537">
        <f t="shared" si="152"/>
        <v>0</v>
      </c>
      <c r="AW133" s="537">
        <f t="shared" si="152"/>
        <v>0</v>
      </c>
      <c r="AX133" s="537">
        <f t="shared" si="152"/>
        <v>1.99</v>
      </c>
      <c r="AY133" s="537">
        <f t="shared" si="152"/>
        <v>0.96</v>
      </c>
      <c r="AZ133" s="537">
        <f t="shared" si="152"/>
        <v>0</v>
      </c>
      <c r="BA133" s="537">
        <f t="shared" si="152"/>
        <v>0</v>
      </c>
      <c r="BB133" s="537">
        <f t="shared" si="152"/>
        <v>0</v>
      </c>
      <c r="BC133" s="537">
        <f t="shared" si="152"/>
        <v>18.64</v>
      </c>
      <c r="BD133" s="374" t="s">
        <v>770</v>
      </c>
      <c r="BE133" s="374" t="s">
        <v>771</v>
      </c>
    </row>
    <row r="134" ht="38" customHeight="1" spans="1:57">
      <c r="A134" s="528" t="s">
        <v>504</v>
      </c>
      <c r="B134" s="528" t="s">
        <v>203</v>
      </c>
      <c r="C134" s="528" t="s">
        <v>525</v>
      </c>
      <c r="D134" s="528" t="s">
        <v>526</v>
      </c>
      <c r="E134" s="529">
        <f t="shared" si="148"/>
        <v>2.88</v>
      </c>
      <c r="F134" s="530"/>
      <c r="G134" s="530"/>
      <c r="H134" s="530"/>
      <c r="I134" s="530"/>
      <c r="J134" s="530"/>
      <c r="K134" s="530">
        <v>2.88</v>
      </c>
      <c r="L134" s="530"/>
      <c r="M134" s="530"/>
      <c r="N134" s="530"/>
      <c r="O134" s="530"/>
      <c r="P134" s="530"/>
      <c r="Q134" s="530"/>
      <c r="R134" s="530"/>
      <c r="S134" s="530"/>
      <c r="T134" s="530"/>
      <c r="U134" s="530"/>
      <c r="V134" s="529">
        <f t="shared" si="149"/>
        <v>0.97</v>
      </c>
      <c r="W134" s="530"/>
      <c r="X134" s="530"/>
      <c r="Y134" s="530"/>
      <c r="Z134" s="530"/>
      <c r="AA134" s="530"/>
      <c r="AB134" s="530">
        <v>0.97</v>
      </c>
      <c r="AC134" s="530"/>
      <c r="AD134" s="530"/>
      <c r="AE134" s="530"/>
      <c r="AF134" s="530"/>
      <c r="AG134" s="530"/>
      <c r="AH134" s="530"/>
      <c r="AI134" s="530"/>
      <c r="AJ134" s="530"/>
      <c r="AK134" s="530"/>
      <c r="AL134" s="530"/>
      <c r="AM134" s="529">
        <f t="shared" si="150"/>
        <v>3.85</v>
      </c>
      <c r="AN134" s="537">
        <f t="shared" ref="AN134:BC134" si="153">F134+W134</f>
        <v>0</v>
      </c>
      <c r="AO134" s="537">
        <f t="shared" si="153"/>
        <v>0</v>
      </c>
      <c r="AP134" s="537">
        <f t="shared" si="153"/>
        <v>0</v>
      </c>
      <c r="AQ134" s="537">
        <f t="shared" si="153"/>
        <v>0</v>
      </c>
      <c r="AR134" s="537">
        <f t="shared" si="153"/>
        <v>0</v>
      </c>
      <c r="AS134" s="537">
        <f t="shared" si="153"/>
        <v>3.85</v>
      </c>
      <c r="AT134" s="537">
        <f t="shared" si="153"/>
        <v>0</v>
      </c>
      <c r="AU134" s="537">
        <f t="shared" si="153"/>
        <v>0</v>
      </c>
      <c r="AV134" s="537">
        <f t="shared" si="153"/>
        <v>0</v>
      </c>
      <c r="AW134" s="537">
        <f t="shared" si="153"/>
        <v>0</v>
      </c>
      <c r="AX134" s="537">
        <f t="shared" si="153"/>
        <v>0</v>
      </c>
      <c r="AY134" s="537">
        <f t="shared" si="153"/>
        <v>0</v>
      </c>
      <c r="AZ134" s="537">
        <f t="shared" si="153"/>
        <v>0</v>
      </c>
      <c r="BA134" s="537">
        <f t="shared" si="153"/>
        <v>0</v>
      </c>
      <c r="BB134" s="537">
        <f t="shared" si="153"/>
        <v>0</v>
      </c>
      <c r="BC134" s="537">
        <f t="shared" si="153"/>
        <v>0</v>
      </c>
      <c r="BD134" s="374"/>
      <c r="BE134" s="374"/>
    </row>
    <row r="135" ht="39" customHeight="1" spans="1:57">
      <c r="A135" s="528" t="s">
        <v>504</v>
      </c>
      <c r="B135" s="528" t="s">
        <v>203</v>
      </c>
      <c r="C135" s="528" t="s">
        <v>505</v>
      </c>
      <c r="D135" s="528" t="s">
        <v>506</v>
      </c>
      <c r="E135" s="529">
        <f t="shared" si="148"/>
        <v>215.07</v>
      </c>
      <c r="F135" s="530"/>
      <c r="G135" s="530"/>
      <c r="H135" s="530"/>
      <c r="I135" s="530"/>
      <c r="J135" s="530"/>
      <c r="K135" s="530">
        <v>11.44</v>
      </c>
      <c r="L135" s="530"/>
      <c r="M135" s="530">
        <v>54</v>
      </c>
      <c r="N135" s="530"/>
      <c r="O135" s="530">
        <v>6.97</v>
      </c>
      <c r="P135" s="530"/>
      <c r="Q135" s="530">
        <v>142.66</v>
      </c>
      <c r="R135" s="530"/>
      <c r="S135" s="530"/>
      <c r="T135" s="530"/>
      <c r="U135" s="530"/>
      <c r="V135" s="529">
        <f t="shared" si="149"/>
        <v>3.78</v>
      </c>
      <c r="W135" s="530"/>
      <c r="X135" s="530"/>
      <c r="Y135" s="530"/>
      <c r="Z135" s="530"/>
      <c r="AA135" s="530"/>
      <c r="AB135" s="530">
        <v>3.61</v>
      </c>
      <c r="AC135" s="530"/>
      <c r="AD135" s="530"/>
      <c r="AE135" s="530"/>
      <c r="AF135" s="530">
        <v>0.17</v>
      </c>
      <c r="AG135" s="530"/>
      <c r="AH135" s="530"/>
      <c r="AI135" s="530"/>
      <c r="AJ135" s="530"/>
      <c r="AK135" s="530"/>
      <c r="AL135" s="530"/>
      <c r="AM135" s="529">
        <f t="shared" si="150"/>
        <v>218.85</v>
      </c>
      <c r="AN135" s="537">
        <f t="shared" ref="AN135:BC135" si="154">F135+W135</f>
        <v>0</v>
      </c>
      <c r="AO135" s="537">
        <f t="shared" si="154"/>
        <v>0</v>
      </c>
      <c r="AP135" s="537">
        <f t="shared" si="154"/>
        <v>0</v>
      </c>
      <c r="AQ135" s="537">
        <f t="shared" si="154"/>
        <v>0</v>
      </c>
      <c r="AR135" s="537">
        <f t="shared" si="154"/>
        <v>0</v>
      </c>
      <c r="AS135" s="537">
        <f t="shared" si="154"/>
        <v>15.05</v>
      </c>
      <c r="AT135" s="537">
        <f t="shared" si="154"/>
        <v>0</v>
      </c>
      <c r="AU135" s="537">
        <f t="shared" si="154"/>
        <v>54</v>
      </c>
      <c r="AV135" s="537">
        <f t="shared" si="154"/>
        <v>0</v>
      </c>
      <c r="AW135" s="537">
        <f t="shared" si="154"/>
        <v>7.14</v>
      </c>
      <c r="AX135" s="537">
        <f t="shared" si="154"/>
        <v>0</v>
      </c>
      <c r="AY135" s="537">
        <f t="shared" si="154"/>
        <v>142.66</v>
      </c>
      <c r="AZ135" s="537">
        <f t="shared" si="154"/>
        <v>0</v>
      </c>
      <c r="BA135" s="537">
        <f t="shared" si="154"/>
        <v>0</v>
      </c>
      <c r="BB135" s="537">
        <f t="shared" si="154"/>
        <v>0</v>
      </c>
      <c r="BC135" s="537">
        <f t="shared" si="154"/>
        <v>0</v>
      </c>
      <c r="BD135" s="374"/>
      <c r="BE135" s="374" t="s">
        <v>772</v>
      </c>
    </row>
    <row r="136" s="131" customFormat="1" ht="38" customHeight="1" spans="1:57">
      <c r="A136" s="528" t="s">
        <v>504</v>
      </c>
      <c r="B136" s="528" t="s">
        <v>206</v>
      </c>
      <c r="C136" s="528" t="s">
        <v>511</v>
      </c>
      <c r="D136" s="528" t="s">
        <v>773</v>
      </c>
      <c r="E136" s="529">
        <f t="shared" si="148"/>
        <v>14570.48</v>
      </c>
      <c r="F136" s="530">
        <v>11625</v>
      </c>
      <c r="G136" s="530">
        <f>289.24+10.03</f>
        <v>299.27</v>
      </c>
      <c r="H136" s="530">
        <v>367.48</v>
      </c>
      <c r="I136" s="530">
        <v>63.54</v>
      </c>
      <c r="J136" s="530">
        <v>77.33</v>
      </c>
      <c r="K136" s="530">
        <v>0.48</v>
      </c>
      <c r="L136" s="530"/>
      <c r="M136" s="530">
        <v>2099.38</v>
      </c>
      <c r="N136" s="530">
        <v>38</v>
      </c>
      <c r="O136" s="530"/>
      <c r="P136" s="530"/>
      <c r="Q136" s="530"/>
      <c r="R136" s="530"/>
      <c r="S136" s="530"/>
      <c r="T136" s="530"/>
      <c r="U136" s="530"/>
      <c r="V136" s="529">
        <f t="shared" si="149"/>
        <v>425.12</v>
      </c>
      <c r="W136" s="530"/>
      <c r="X136" s="530">
        <v>5.51</v>
      </c>
      <c r="Y136" s="530">
        <v>419.49</v>
      </c>
      <c r="Z136" s="530"/>
      <c r="AA136" s="530"/>
      <c r="AB136" s="530">
        <v>0.12</v>
      </c>
      <c r="AC136" s="530"/>
      <c r="AD136" s="530"/>
      <c r="AE136" s="530"/>
      <c r="AF136" s="530"/>
      <c r="AG136" s="530"/>
      <c r="AH136" s="530"/>
      <c r="AI136" s="530"/>
      <c r="AJ136" s="530"/>
      <c r="AK136" s="530"/>
      <c r="AL136" s="530"/>
      <c r="AM136" s="529">
        <f t="shared" si="150"/>
        <v>14995.6</v>
      </c>
      <c r="AN136" s="537">
        <f t="shared" ref="AN136:BC136" si="155">F136+W136</f>
        <v>11625</v>
      </c>
      <c r="AO136" s="537">
        <f t="shared" si="155"/>
        <v>304.78</v>
      </c>
      <c r="AP136" s="537">
        <f t="shared" si="155"/>
        <v>786.97</v>
      </c>
      <c r="AQ136" s="537">
        <f t="shared" si="155"/>
        <v>63.54</v>
      </c>
      <c r="AR136" s="537">
        <f t="shared" si="155"/>
        <v>77.33</v>
      </c>
      <c r="AS136" s="537">
        <f t="shared" si="155"/>
        <v>0.6</v>
      </c>
      <c r="AT136" s="537">
        <f t="shared" si="155"/>
        <v>0</v>
      </c>
      <c r="AU136" s="537">
        <f t="shared" si="155"/>
        <v>2099.38</v>
      </c>
      <c r="AV136" s="537">
        <f t="shared" si="155"/>
        <v>38</v>
      </c>
      <c r="AW136" s="537">
        <f t="shared" si="155"/>
        <v>0</v>
      </c>
      <c r="AX136" s="537">
        <f t="shared" si="155"/>
        <v>0</v>
      </c>
      <c r="AY136" s="537">
        <f t="shared" si="155"/>
        <v>0</v>
      </c>
      <c r="AZ136" s="537">
        <f t="shared" si="155"/>
        <v>0</v>
      </c>
      <c r="BA136" s="537">
        <f t="shared" si="155"/>
        <v>0</v>
      </c>
      <c r="BB136" s="537">
        <f t="shared" si="155"/>
        <v>0</v>
      </c>
      <c r="BC136" s="537">
        <f t="shared" si="155"/>
        <v>0</v>
      </c>
      <c r="BD136" s="374"/>
      <c r="BE136" s="374"/>
    </row>
    <row r="137" s="130" customFormat="1" ht="48" spans="1:57">
      <c r="A137" s="528" t="s">
        <v>504</v>
      </c>
      <c r="B137" s="528" t="s">
        <v>206</v>
      </c>
      <c r="C137" s="528" t="s">
        <v>513</v>
      </c>
      <c r="D137" s="528" t="s">
        <v>774</v>
      </c>
      <c r="E137" s="529">
        <f t="shared" si="148"/>
        <v>3.12</v>
      </c>
      <c r="F137" s="530"/>
      <c r="G137" s="530"/>
      <c r="H137" s="530"/>
      <c r="I137" s="530"/>
      <c r="J137" s="530"/>
      <c r="K137" s="530">
        <v>0.24</v>
      </c>
      <c r="L137" s="530"/>
      <c r="M137" s="530"/>
      <c r="N137" s="530"/>
      <c r="O137" s="530"/>
      <c r="P137" s="530"/>
      <c r="Q137" s="530"/>
      <c r="R137" s="530"/>
      <c r="S137" s="530"/>
      <c r="T137" s="530"/>
      <c r="U137" s="530">
        <v>2.88</v>
      </c>
      <c r="V137" s="529">
        <f t="shared" si="149"/>
        <v>10.102</v>
      </c>
      <c r="W137" s="530"/>
      <c r="X137" s="530"/>
      <c r="Y137" s="530"/>
      <c r="Z137" s="530"/>
      <c r="AA137" s="530"/>
      <c r="AB137" s="530">
        <v>0.06</v>
      </c>
      <c r="AC137" s="530"/>
      <c r="AD137" s="530"/>
      <c r="AE137" s="530"/>
      <c r="AF137" s="530"/>
      <c r="AG137" s="530"/>
      <c r="AH137" s="530"/>
      <c r="AI137" s="530"/>
      <c r="AJ137" s="530"/>
      <c r="AK137" s="530"/>
      <c r="AL137" s="530">
        <v>10.042</v>
      </c>
      <c r="AM137" s="529">
        <f t="shared" si="150"/>
        <v>13.222</v>
      </c>
      <c r="AN137" s="537">
        <f t="shared" ref="AN137:BC137" si="156">F137+W137</f>
        <v>0</v>
      </c>
      <c r="AO137" s="537">
        <f t="shared" si="156"/>
        <v>0</v>
      </c>
      <c r="AP137" s="537">
        <f t="shared" si="156"/>
        <v>0</v>
      </c>
      <c r="AQ137" s="537">
        <f t="shared" si="156"/>
        <v>0</v>
      </c>
      <c r="AR137" s="537">
        <f t="shared" si="156"/>
        <v>0</v>
      </c>
      <c r="AS137" s="537">
        <f t="shared" si="156"/>
        <v>0.3</v>
      </c>
      <c r="AT137" s="537">
        <f t="shared" si="156"/>
        <v>0</v>
      </c>
      <c r="AU137" s="537">
        <f t="shared" si="156"/>
        <v>0</v>
      </c>
      <c r="AV137" s="537">
        <f t="shared" si="156"/>
        <v>0</v>
      </c>
      <c r="AW137" s="537">
        <f t="shared" si="156"/>
        <v>0</v>
      </c>
      <c r="AX137" s="537">
        <f t="shared" si="156"/>
        <v>0</v>
      </c>
      <c r="AY137" s="537">
        <f t="shared" si="156"/>
        <v>0</v>
      </c>
      <c r="AZ137" s="537">
        <f t="shared" si="156"/>
        <v>0</v>
      </c>
      <c r="BA137" s="537">
        <f t="shared" si="156"/>
        <v>0</v>
      </c>
      <c r="BB137" s="537">
        <f t="shared" si="156"/>
        <v>0</v>
      </c>
      <c r="BC137" s="537">
        <f t="shared" si="156"/>
        <v>12.922</v>
      </c>
      <c r="BD137" s="374" t="s">
        <v>775</v>
      </c>
      <c r="BE137" s="374"/>
    </row>
    <row r="138" ht="35" customHeight="1" spans="1:57">
      <c r="A138" s="528" t="s">
        <v>504</v>
      </c>
      <c r="B138" s="528" t="s">
        <v>203</v>
      </c>
      <c r="C138" s="528" t="s">
        <v>519</v>
      </c>
      <c r="D138" s="528" t="s">
        <v>776</v>
      </c>
      <c r="E138" s="529">
        <f t="shared" si="148"/>
        <v>20.6</v>
      </c>
      <c r="F138" s="530"/>
      <c r="G138" s="530"/>
      <c r="H138" s="530"/>
      <c r="I138" s="530"/>
      <c r="J138" s="530"/>
      <c r="K138" s="530">
        <v>2.24</v>
      </c>
      <c r="L138" s="530"/>
      <c r="M138" s="530"/>
      <c r="N138" s="530"/>
      <c r="O138" s="530"/>
      <c r="P138" s="530"/>
      <c r="Q138" s="530"/>
      <c r="R138" s="530"/>
      <c r="S138" s="530">
        <v>18.36</v>
      </c>
      <c r="T138" s="530"/>
      <c r="U138" s="530"/>
      <c r="V138" s="529">
        <f t="shared" si="149"/>
        <v>0.98</v>
      </c>
      <c r="W138" s="530"/>
      <c r="X138" s="530"/>
      <c r="Y138" s="530"/>
      <c r="Z138" s="530"/>
      <c r="AA138" s="530"/>
      <c r="AB138" s="530">
        <v>0.98</v>
      </c>
      <c r="AC138" s="530"/>
      <c r="AD138" s="530"/>
      <c r="AE138" s="530"/>
      <c r="AF138" s="530"/>
      <c r="AG138" s="530"/>
      <c r="AH138" s="530"/>
      <c r="AI138" s="530"/>
      <c r="AJ138" s="530"/>
      <c r="AK138" s="530"/>
      <c r="AL138" s="530"/>
      <c r="AM138" s="529">
        <f t="shared" si="150"/>
        <v>21.58</v>
      </c>
      <c r="AN138" s="537">
        <f t="shared" ref="AN138:BC138" si="157">F138+W138</f>
        <v>0</v>
      </c>
      <c r="AO138" s="537">
        <f t="shared" si="157"/>
        <v>0</v>
      </c>
      <c r="AP138" s="537">
        <f t="shared" si="157"/>
        <v>0</v>
      </c>
      <c r="AQ138" s="537">
        <f t="shared" si="157"/>
        <v>0</v>
      </c>
      <c r="AR138" s="537">
        <f t="shared" si="157"/>
        <v>0</v>
      </c>
      <c r="AS138" s="537">
        <f t="shared" si="157"/>
        <v>3.22</v>
      </c>
      <c r="AT138" s="537">
        <f t="shared" si="157"/>
        <v>0</v>
      </c>
      <c r="AU138" s="537">
        <f t="shared" si="157"/>
        <v>0</v>
      </c>
      <c r="AV138" s="537">
        <f t="shared" si="157"/>
        <v>0</v>
      </c>
      <c r="AW138" s="537">
        <f t="shared" si="157"/>
        <v>0</v>
      </c>
      <c r="AX138" s="537">
        <f t="shared" si="157"/>
        <v>0</v>
      </c>
      <c r="AY138" s="537">
        <f t="shared" si="157"/>
        <v>0</v>
      </c>
      <c r="AZ138" s="537">
        <f t="shared" si="157"/>
        <v>0</v>
      </c>
      <c r="BA138" s="537">
        <f t="shared" si="157"/>
        <v>18.36</v>
      </c>
      <c r="BB138" s="537">
        <f t="shared" si="157"/>
        <v>0</v>
      </c>
      <c r="BC138" s="537">
        <f t="shared" si="157"/>
        <v>0</v>
      </c>
      <c r="BD138" s="374"/>
      <c r="BE138" s="374" t="s">
        <v>777</v>
      </c>
    </row>
    <row r="139" s="131" customFormat="1" ht="24" spans="1:57">
      <c r="A139" s="528" t="s">
        <v>504</v>
      </c>
      <c r="B139" s="528" t="s">
        <v>778</v>
      </c>
      <c r="C139" s="528" t="s">
        <v>779</v>
      </c>
      <c r="D139" s="528" t="s">
        <v>780</v>
      </c>
      <c r="E139" s="529">
        <f t="shared" si="148"/>
        <v>400</v>
      </c>
      <c r="F139" s="530"/>
      <c r="G139" s="530"/>
      <c r="H139" s="530"/>
      <c r="I139" s="530"/>
      <c r="J139" s="530"/>
      <c r="K139" s="530"/>
      <c r="L139" s="530">
        <v>400</v>
      </c>
      <c r="M139" s="530"/>
      <c r="N139" s="530"/>
      <c r="O139" s="530"/>
      <c r="P139" s="530"/>
      <c r="Q139" s="530"/>
      <c r="R139" s="530"/>
      <c r="S139" s="530"/>
      <c r="T139" s="530"/>
      <c r="U139" s="530"/>
      <c r="V139" s="529">
        <f t="shared" si="149"/>
        <v>0</v>
      </c>
      <c r="W139" s="530"/>
      <c r="X139" s="530"/>
      <c r="Y139" s="530"/>
      <c r="Z139" s="530"/>
      <c r="AA139" s="530"/>
      <c r="AB139" s="530"/>
      <c r="AC139" s="530"/>
      <c r="AD139" s="530"/>
      <c r="AE139" s="530"/>
      <c r="AF139" s="530"/>
      <c r="AG139" s="530"/>
      <c r="AH139" s="530"/>
      <c r="AI139" s="530"/>
      <c r="AJ139" s="530"/>
      <c r="AK139" s="530"/>
      <c r="AL139" s="530"/>
      <c r="AM139" s="529">
        <f t="shared" si="150"/>
        <v>400</v>
      </c>
      <c r="AN139" s="537">
        <f t="shared" ref="AN139:BC139" si="158">F139+W139</f>
        <v>0</v>
      </c>
      <c r="AO139" s="537">
        <f t="shared" si="158"/>
        <v>0</v>
      </c>
      <c r="AP139" s="537">
        <f t="shared" si="158"/>
        <v>0</v>
      </c>
      <c r="AQ139" s="537">
        <f t="shared" si="158"/>
        <v>0</v>
      </c>
      <c r="AR139" s="537">
        <f t="shared" si="158"/>
        <v>0</v>
      </c>
      <c r="AS139" s="537">
        <f t="shared" si="158"/>
        <v>0</v>
      </c>
      <c r="AT139" s="537">
        <f t="shared" si="158"/>
        <v>400</v>
      </c>
      <c r="AU139" s="537">
        <f t="shared" si="158"/>
        <v>0</v>
      </c>
      <c r="AV139" s="537">
        <f t="shared" si="158"/>
        <v>0</v>
      </c>
      <c r="AW139" s="537">
        <f t="shared" si="158"/>
        <v>0</v>
      </c>
      <c r="AX139" s="537">
        <f t="shared" si="158"/>
        <v>0</v>
      </c>
      <c r="AY139" s="537">
        <f t="shared" si="158"/>
        <v>0</v>
      </c>
      <c r="AZ139" s="537">
        <f t="shared" si="158"/>
        <v>0</v>
      </c>
      <c r="BA139" s="537">
        <f t="shared" si="158"/>
        <v>0</v>
      </c>
      <c r="BB139" s="537">
        <f t="shared" si="158"/>
        <v>0</v>
      </c>
      <c r="BC139" s="537">
        <f t="shared" si="158"/>
        <v>0</v>
      </c>
      <c r="BD139" s="374"/>
      <c r="BE139" s="374"/>
    </row>
    <row r="140" customFormat="1" ht="42" customHeight="1" spans="1:57">
      <c r="A140" s="528" t="s">
        <v>504</v>
      </c>
      <c r="B140" s="528" t="s">
        <v>778</v>
      </c>
      <c r="C140" s="528" t="s">
        <v>779</v>
      </c>
      <c r="D140" s="528" t="s">
        <v>781</v>
      </c>
      <c r="E140" s="529">
        <f t="shared" si="148"/>
        <v>0</v>
      </c>
      <c r="F140" s="530"/>
      <c r="G140" s="530"/>
      <c r="H140" s="530"/>
      <c r="I140" s="530"/>
      <c r="J140" s="530"/>
      <c r="K140" s="530"/>
      <c r="L140" s="544"/>
      <c r="M140" s="530"/>
      <c r="N140" s="530"/>
      <c r="O140" s="530"/>
      <c r="P140" s="530"/>
      <c r="Q140" s="530"/>
      <c r="R140" s="530"/>
      <c r="S140" s="530"/>
      <c r="T140" s="530"/>
      <c r="U140" s="530"/>
      <c r="V140" s="529">
        <f t="shared" si="149"/>
        <v>7.5</v>
      </c>
      <c r="W140" s="530"/>
      <c r="X140" s="530"/>
      <c r="Y140" s="530"/>
      <c r="Z140" s="530"/>
      <c r="AA140" s="530"/>
      <c r="AB140" s="530"/>
      <c r="AC140" s="530"/>
      <c r="AD140" s="530"/>
      <c r="AE140" s="530"/>
      <c r="AF140" s="530"/>
      <c r="AG140" s="530"/>
      <c r="AH140" s="530"/>
      <c r="AI140" s="530"/>
      <c r="AJ140" s="530"/>
      <c r="AK140" s="530"/>
      <c r="AL140" s="530">
        <v>7.5</v>
      </c>
      <c r="AM140" s="529">
        <f t="shared" si="150"/>
        <v>7.5</v>
      </c>
      <c r="AN140" s="537">
        <f t="shared" ref="AN140:BC140" si="159">F140+W140</f>
        <v>0</v>
      </c>
      <c r="AO140" s="537">
        <f t="shared" si="159"/>
        <v>0</v>
      </c>
      <c r="AP140" s="537">
        <f t="shared" si="159"/>
        <v>0</v>
      </c>
      <c r="AQ140" s="537">
        <f t="shared" si="159"/>
        <v>0</v>
      </c>
      <c r="AR140" s="537">
        <f t="shared" si="159"/>
        <v>0</v>
      </c>
      <c r="AS140" s="537">
        <f t="shared" si="159"/>
        <v>0</v>
      </c>
      <c r="AT140" s="537">
        <f t="shared" si="159"/>
        <v>0</v>
      </c>
      <c r="AU140" s="537">
        <f t="shared" si="159"/>
        <v>0</v>
      </c>
      <c r="AV140" s="537">
        <f t="shared" si="159"/>
        <v>0</v>
      </c>
      <c r="AW140" s="537">
        <f t="shared" si="159"/>
        <v>0</v>
      </c>
      <c r="AX140" s="537">
        <f t="shared" si="159"/>
        <v>0</v>
      </c>
      <c r="AY140" s="537">
        <f t="shared" si="159"/>
        <v>0</v>
      </c>
      <c r="AZ140" s="537">
        <f t="shared" si="159"/>
        <v>0</v>
      </c>
      <c r="BA140" s="537">
        <f t="shared" si="159"/>
        <v>0</v>
      </c>
      <c r="BB140" s="537">
        <f t="shared" si="159"/>
        <v>0</v>
      </c>
      <c r="BC140" s="537">
        <f t="shared" si="159"/>
        <v>7.5</v>
      </c>
      <c r="BD140" s="374" t="s">
        <v>782</v>
      </c>
      <c r="BE140" s="374"/>
    </row>
    <row r="141" customFormat="1" ht="42" customHeight="1" spans="1:57">
      <c r="A141" s="528" t="s">
        <v>504</v>
      </c>
      <c r="B141" s="528" t="s">
        <v>778</v>
      </c>
      <c r="C141" s="528" t="s">
        <v>779</v>
      </c>
      <c r="D141" s="528" t="s">
        <v>783</v>
      </c>
      <c r="E141" s="529">
        <f t="shared" si="148"/>
        <v>0</v>
      </c>
      <c r="F141" s="530"/>
      <c r="G141" s="530"/>
      <c r="H141" s="530"/>
      <c r="I141" s="530"/>
      <c r="J141" s="530"/>
      <c r="K141" s="530"/>
      <c r="L141" s="544"/>
      <c r="M141" s="530"/>
      <c r="N141" s="530"/>
      <c r="O141" s="530"/>
      <c r="P141" s="530"/>
      <c r="Q141" s="530"/>
      <c r="R141" s="530"/>
      <c r="S141" s="530"/>
      <c r="T141" s="530"/>
      <c r="U141" s="530"/>
      <c r="V141" s="529">
        <f t="shared" si="149"/>
        <v>106</v>
      </c>
      <c r="W141" s="530"/>
      <c r="X141" s="530"/>
      <c r="Y141" s="530"/>
      <c r="Z141" s="530"/>
      <c r="AA141" s="530"/>
      <c r="AB141" s="530"/>
      <c r="AC141" s="530"/>
      <c r="AD141" s="530"/>
      <c r="AE141" s="530"/>
      <c r="AF141" s="530"/>
      <c r="AG141" s="530"/>
      <c r="AH141" s="530"/>
      <c r="AI141" s="530"/>
      <c r="AJ141" s="530"/>
      <c r="AK141" s="530"/>
      <c r="AL141" s="530">
        <f>35+71</f>
        <v>106</v>
      </c>
      <c r="AM141" s="529">
        <f t="shared" si="150"/>
        <v>106</v>
      </c>
      <c r="AN141" s="537">
        <f t="shared" ref="AN141:BC141" si="160">F141+W141</f>
        <v>0</v>
      </c>
      <c r="AO141" s="537">
        <f t="shared" si="160"/>
        <v>0</v>
      </c>
      <c r="AP141" s="537">
        <f t="shared" si="160"/>
        <v>0</v>
      </c>
      <c r="AQ141" s="537">
        <f t="shared" si="160"/>
        <v>0</v>
      </c>
      <c r="AR141" s="537">
        <f t="shared" si="160"/>
        <v>0</v>
      </c>
      <c r="AS141" s="537">
        <f t="shared" si="160"/>
        <v>0</v>
      </c>
      <c r="AT141" s="537">
        <f t="shared" si="160"/>
        <v>0</v>
      </c>
      <c r="AU141" s="537">
        <f t="shared" si="160"/>
        <v>0</v>
      </c>
      <c r="AV141" s="537">
        <f t="shared" si="160"/>
        <v>0</v>
      </c>
      <c r="AW141" s="537">
        <f t="shared" si="160"/>
        <v>0</v>
      </c>
      <c r="AX141" s="537">
        <f t="shared" si="160"/>
        <v>0</v>
      </c>
      <c r="AY141" s="537">
        <f t="shared" si="160"/>
        <v>0</v>
      </c>
      <c r="AZ141" s="537">
        <f t="shared" si="160"/>
        <v>0</v>
      </c>
      <c r="BA141" s="537">
        <f t="shared" si="160"/>
        <v>0</v>
      </c>
      <c r="BB141" s="537">
        <f t="shared" si="160"/>
        <v>0</v>
      </c>
      <c r="BC141" s="537">
        <f t="shared" si="160"/>
        <v>106</v>
      </c>
      <c r="BD141" s="374" t="s">
        <v>784</v>
      </c>
      <c r="BE141" s="374"/>
    </row>
    <row r="142" s="508" customFormat="1" ht="20.15" customHeight="1" spans="1:57">
      <c r="A142" s="523"/>
      <c r="B142" s="524"/>
      <c r="C142" s="525" t="s">
        <v>133</v>
      </c>
      <c r="D142" s="526">
        <v>210</v>
      </c>
      <c r="E142" s="527">
        <f t="shared" ref="E142:U142" si="161">SUM(E143:E163)</f>
        <v>110.1316</v>
      </c>
      <c r="F142" s="527">
        <f t="shared" si="161"/>
        <v>0</v>
      </c>
      <c r="G142" s="527">
        <f t="shared" si="161"/>
        <v>0</v>
      </c>
      <c r="H142" s="527">
        <f t="shared" si="161"/>
        <v>0</v>
      </c>
      <c r="I142" s="527">
        <f t="shared" si="161"/>
        <v>0</v>
      </c>
      <c r="J142" s="527">
        <f t="shared" si="161"/>
        <v>0</v>
      </c>
      <c r="K142" s="527">
        <f t="shared" si="161"/>
        <v>58.32</v>
      </c>
      <c r="L142" s="527">
        <f t="shared" si="161"/>
        <v>0</v>
      </c>
      <c r="M142" s="527">
        <f t="shared" si="161"/>
        <v>0</v>
      </c>
      <c r="N142" s="527">
        <f t="shared" si="161"/>
        <v>0</v>
      </c>
      <c r="O142" s="527">
        <f t="shared" si="161"/>
        <v>8.64</v>
      </c>
      <c r="P142" s="527">
        <f t="shared" si="161"/>
        <v>43.1716</v>
      </c>
      <c r="Q142" s="527">
        <f t="shared" si="161"/>
        <v>0</v>
      </c>
      <c r="R142" s="527">
        <f t="shared" si="161"/>
        <v>0</v>
      </c>
      <c r="S142" s="527">
        <f t="shared" si="161"/>
        <v>0</v>
      </c>
      <c r="T142" s="527">
        <f t="shared" si="161"/>
        <v>0</v>
      </c>
      <c r="U142" s="527">
        <f t="shared" si="161"/>
        <v>0</v>
      </c>
      <c r="V142" s="527">
        <f t="shared" ref="V142:BC142" si="162">SUM(V143:V163)</f>
        <v>46.21</v>
      </c>
      <c r="W142" s="527">
        <f t="shared" si="162"/>
        <v>0</v>
      </c>
      <c r="X142" s="527">
        <f t="shared" si="162"/>
        <v>0</v>
      </c>
      <c r="Y142" s="527">
        <f t="shared" si="162"/>
        <v>0</v>
      </c>
      <c r="Z142" s="527">
        <f t="shared" si="162"/>
        <v>0</v>
      </c>
      <c r="AA142" s="527">
        <f t="shared" si="162"/>
        <v>0</v>
      </c>
      <c r="AB142" s="527">
        <f t="shared" si="162"/>
        <v>15.1</v>
      </c>
      <c r="AC142" s="527">
        <f t="shared" si="162"/>
        <v>0</v>
      </c>
      <c r="AD142" s="527">
        <f t="shared" si="162"/>
        <v>0</v>
      </c>
      <c r="AE142" s="527">
        <f t="shared" si="162"/>
        <v>0</v>
      </c>
      <c r="AF142" s="527">
        <f t="shared" si="162"/>
        <v>1.28</v>
      </c>
      <c r="AG142" s="527">
        <f t="shared" si="162"/>
        <v>1.196</v>
      </c>
      <c r="AH142" s="527">
        <f t="shared" si="162"/>
        <v>0</v>
      </c>
      <c r="AI142" s="527">
        <f t="shared" si="162"/>
        <v>0</v>
      </c>
      <c r="AJ142" s="527">
        <f t="shared" si="162"/>
        <v>0</v>
      </c>
      <c r="AK142" s="527">
        <f t="shared" si="162"/>
        <v>0</v>
      </c>
      <c r="AL142" s="527">
        <f t="shared" si="162"/>
        <v>28.634</v>
      </c>
      <c r="AM142" s="527">
        <f t="shared" si="162"/>
        <v>156.3416</v>
      </c>
      <c r="AN142" s="536">
        <f t="shared" si="162"/>
        <v>0</v>
      </c>
      <c r="AO142" s="536">
        <f t="shared" si="162"/>
        <v>0</v>
      </c>
      <c r="AP142" s="536">
        <f t="shared" si="162"/>
        <v>0</v>
      </c>
      <c r="AQ142" s="536">
        <f t="shared" si="162"/>
        <v>0</v>
      </c>
      <c r="AR142" s="536">
        <f t="shared" si="162"/>
        <v>0</v>
      </c>
      <c r="AS142" s="536">
        <f t="shared" si="162"/>
        <v>73.42</v>
      </c>
      <c r="AT142" s="536">
        <f t="shared" si="162"/>
        <v>0</v>
      </c>
      <c r="AU142" s="536">
        <f t="shared" si="162"/>
        <v>0</v>
      </c>
      <c r="AV142" s="536">
        <f t="shared" si="162"/>
        <v>0</v>
      </c>
      <c r="AW142" s="536">
        <f t="shared" si="162"/>
        <v>9.92</v>
      </c>
      <c r="AX142" s="536">
        <f t="shared" si="162"/>
        <v>44.3676</v>
      </c>
      <c r="AY142" s="536">
        <f t="shared" si="162"/>
        <v>0</v>
      </c>
      <c r="AZ142" s="536">
        <f t="shared" si="162"/>
        <v>0</v>
      </c>
      <c r="BA142" s="536">
        <f t="shared" si="162"/>
        <v>0</v>
      </c>
      <c r="BB142" s="536">
        <f t="shared" si="162"/>
        <v>0</v>
      </c>
      <c r="BC142" s="536">
        <f t="shared" si="162"/>
        <v>28.634</v>
      </c>
      <c r="BD142" s="332"/>
      <c r="BE142" s="332"/>
    </row>
    <row r="143" spans="1:57">
      <c r="A143" s="528" t="s">
        <v>504</v>
      </c>
      <c r="B143" s="528" t="s">
        <v>203</v>
      </c>
      <c r="C143" s="528" t="s">
        <v>529</v>
      </c>
      <c r="D143" s="528" t="s">
        <v>530</v>
      </c>
      <c r="E143" s="529">
        <f t="shared" ref="E143:E163" si="163">SUM(F143:U143)</f>
        <v>15.06</v>
      </c>
      <c r="F143" s="530"/>
      <c r="G143" s="530"/>
      <c r="H143" s="530"/>
      <c r="I143" s="530"/>
      <c r="J143" s="530"/>
      <c r="K143" s="530">
        <v>6.72</v>
      </c>
      <c r="L143" s="530"/>
      <c r="M143" s="530"/>
      <c r="N143" s="530"/>
      <c r="O143" s="530">
        <v>8.34</v>
      </c>
      <c r="P143" s="530"/>
      <c r="Q143" s="530"/>
      <c r="R143" s="530"/>
      <c r="S143" s="530"/>
      <c r="T143" s="530"/>
      <c r="U143" s="530"/>
      <c r="V143" s="529">
        <f t="shared" ref="V142:V173" si="164">SUM(W143:AL143)</f>
        <v>30.224</v>
      </c>
      <c r="W143" s="530"/>
      <c r="X143" s="530"/>
      <c r="Y143" s="530"/>
      <c r="Z143" s="530"/>
      <c r="AA143" s="530"/>
      <c r="AB143" s="530">
        <v>1.59</v>
      </c>
      <c r="AC143" s="530"/>
      <c r="AD143" s="530"/>
      <c r="AE143" s="530"/>
      <c r="AF143" s="530"/>
      <c r="AG143" s="530"/>
      <c r="AH143" s="530"/>
      <c r="AI143" s="530"/>
      <c r="AJ143" s="530"/>
      <c r="AK143" s="530"/>
      <c r="AL143" s="530">
        <v>28.634</v>
      </c>
      <c r="AM143" s="529">
        <f t="shared" ref="AM142:AM173" si="165">SUM(AN143:BC143)</f>
        <v>45.284</v>
      </c>
      <c r="AN143" s="537">
        <f t="shared" ref="AN142:AN178" si="166">F143+W143</f>
        <v>0</v>
      </c>
      <c r="AO143" s="537">
        <f t="shared" ref="AO142:AO178" si="167">G143+X143</f>
        <v>0</v>
      </c>
      <c r="AP143" s="537">
        <f t="shared" ref="AP142:AP178" si="168">H143+Y143</f>
        <v>0</v>
      </c>
      <c r="AQ143" s="537">
        <f t="shared" ref="AQ142:AQ178" si="169">I143+Z143</f>
        <v>0</v>
      </c>
      <c r="AR143" s="537">
        <f t="shared" ref="AR142:AR178" si="170">J143+AA143</f>
        <v>0</v>
      </c>
      <c r="AS143" s="537">
        <f t="shared" ref="AS142:AS178" si="171">K143+AB143</f>
        <v>8.31</v>
      </c>
      <c r="AT143" s="537">
        <f t="shared" ref="AT142:AT178" si="172">L143+AC143</f>
        <v>0</v>
      </c>
      <c r="AU143" s="537">
        <f t="shared" ref="AU142:AU178" si="173">M143+AD143</f>
        <v>0</v>
      </c>
      <c r="AV143" s="537">
        <f t="shared" ref="AV142:AV178" si="174">N143+AE143</f>
        <v>0</v>
      </c>
      <c r="AW143" s="537">
        <f t="shared" ref="AW142:AW178" si="175">O143+AF143</f>
        <v>8.34</v>
      </c>
      <c r="AX143" s="537">
        <f t="shared" ref="AX142:AX178" si="176">P143+AG143</f>
        <v>0</v>
      </c>
      <c r="AY143" s="537">
        <f t="shared" ref="AY142:AY178" si="177">Q143+AH143</f>
        <v>0</v>
      </c>
      <c r="AZ143" s="537">
        <f t="shared" ref="AZ142:AZ178" si="178">R143+AI143</f>
        <v>0</v>
      </c>
      <c r="BA143" s="537">
        <f t="shared" ref="BA142:BA178" si="179">S143+AJ143</f>
        <v>0</v>
      </c>
      <c r="BB143" s="537">
        <f t="shared" ref="BB142:BB178" si="180">T143+AK143</f>
        <v>0</v>
      </c>
      <c r="BC143" s="537">
        <f t="shared" ref="BC142:BC178" si="181">U143+AL143</f>
        <v>28.634</v>
      </c>
      <c r="BD143" s="374" t="s">
        <v>785</v>
      </c>
      <c r="BE143" s="374"/>
    </row>
    <row r="144" ht="24" spans="1:57">
      <c r="A144" s="528" t="s">
        <v>504</v>
      </c>
      <c r="B144" s="528" t="s">
        <v>206</v>
      </c>
      <c r="C144" s="528" t="s">
        <v>786</v>
      </c>
      <c r="D144" s="542" t="s">
        <v>787</v>
      </c>
      <c r="E144" s="529">
        <f t="shared" si="163"/>
        <v>11.28</v>
      </c>
      <c r="F144" s="530"/>
      <c r="G144" s="530"/>
      <c r="H144" s="530"/>
      <c r="I144" s="530"/>
      <c r="J144" s="530"/>
      <c r="K144" s="530">
        <v>6.96</v>
      </c>
      <c r="L144" s="530"/>
      <c r="M144" s="530"/>
      <c r="N144" s="530"/>
      <c r="O144" s="530"/>
      <c r="P144" s="530">
        <v>4.32</v>
      </c>
      <c r="Q144" s="530"/>
      <c r="R144" s="530"/>
      <c r="S144" s="530"/>
      <c r="T144" s="530"/>
      <c r="U144" s="530"/>
      <c r="V144" s="529">
        <f t="shared" si="164"/>
        <v>1.7</v>
      </c>
      <c r="W144" s="530"/>
      <c r="X144" s="530"/>
      <c r="Y144" s="530"/>
      <c r="Z144" s="530"/>
      <c r="AA144" s="530"/>
      <c r="AB144" s="530">
        <v>1.7</v>
      </c>
      <c r="AC144" s="530"/>
      <c r="AD144" s="530"/>
      <c r="AE144" s="530"/>
      <c r="AF144" s="530"/>
      <c r="AG144" s="530"/>
      <c r="AH144" s="530"/>
      <c r="AI144" s="530"/>
      <c r="AJ144" s="530"/>
      <c r="AK144" s="530"/>
      <c r="AL144" s="530"/>
      <c r="AM144" s="529">
        <f t="shared" si="165"/>
        <v>12.98</v>
      </c>
      <c r="AN144" s="537">
        <f t="shared" si="166"/>
        <v>0</v>
      </c>
      <c r="AO144" s="537">
        <f t="shared" si="167"/>
        <v>0</v>
      </c>
      <c r="AP144" s="537">
        <f t="shared" si="168"/>
        <v>0</v>
      </c>
      <c r="AQ144" s="537">
        <f t="shared" si="169"/>
        <v>0</v>
      </c>
      <c r="AR144" s="537">
        <f t="shared" si="170"/>
        <v>0</v>
      </c>
      <c r="AS144" s="537">
        <f t="shared" si="171"/>
        <v>8.66</v>
      </c>
      <c r="AT144" s="537">
        <f t="shared" si="172"/>
        <v>0</v>
      </c>
      <c r="AU144" s="537">
        <f t="shared" si="173"/>
        <v>0</v>
      </c>
      <c r="AV144" s="537">
        <f t="shared" si="174"/>
        <v>0</v>
      </c>
      <c r="AW144" s="537">
        <f t="shared" si="175"/>
        <v>0</v>
      </c>
      <c r="AX144" s="537">
        <f t="shared" si="176"/>
        <v>4.32</v>
      </c>
      <c r="AY144" s="537">
        <f t="shared" si="177"/>
        <v>0</v>
      </c>
      <c r="AZ144" s="537">
        <f t="shared" si="178"/>
        <v>0</v>
      </c>
      <c r="BA144" s="537">
        <f t="shared" si="179"/>
        <v>0</v>
      </c>
      <c r="BB144" s="537">
        <f t="shared" si="180"/>
        <v>0</v>
      </c>
      <c r="BC144" s="537">
        <f t="shared" si="181"/>
        <v>0</v>
      </c>
      <c r="BD144" s="374"/>
      <c r="BE144" s="374"/>
    </row>
    <row r="145" spans="1:57">
      <c r="A145" s="528" t="s">
        <v>504</v>
      </c>
      <c r="B145" s="528" t="s">
        <v>206</v>
      </c>
      <c r="C145" s="528" t="s">
        <v>788</v>
      </c>
      <c r="D145" s="542" t="s">
        <v>789</v>
      </c>
      <c r="E145" s="529">
        <f t="shared" si="163"/>
        <v>4.5</v>
      </c>
      <c r="F145" s="530"/>
      <c r="G145" s="530"/>
      <c r="H145" s="530"/>
      <c r="I145" s="530"/>
      <c r="J145" s="530"/>
      <c r="K145" s="530">
        <v>1.68</v>
      </c>
      <c r="L145" s="530"/>
      <c r="M145" s="530"/>
      <c r="N145" s="530"/>
      <c r="O145" s="530"/>
      <c r="P145" s="530">
        <v>2.82</v>
      </c>
      <c r="Q145" s="530"/>
      <c r="R145" s="530"/>
      <c r="S145" s="530"/>
      <c r="T145" s="530"/>
      <c r="U145" s="530"/>
      <c r="V145" s="529">
        <f t="shared" si="164"/>
        <v>-0.32</v>
      </c>
      <c r="W145" s="530"/>
      <c r="X145" s="530"/>
      <c r="Y145" s="530"/>
      <c r="Z145" s="530"/>
      <c r="AA145" s="530"/>
      <c r="AB145" s="530">
        <v>0.12</v>
      </c>
      <c r="AC145" s="530"/>
      <c r="AD145" s="530"/>
      <c r="AE145" s="530"/>
      <c r="AF145" s="530"/>
      <c r="AG145" s="530">
        <v>-0.44</v>
      </c>
      <c r="AH145" s="530"/>
      <c r="AI145" s="530"/>
      <c r="AJ145" s="530"/>
      <c r="AK145" s="530"/>
      <c r="AL145" s="530"/>
      <c r="AM145" s="529">
        <f t="shared" si="165"/>
        <v>4.18</v>
      </c>
      <c r="AN145" s="537">
        <f t="shared" si="166"/>
        <v>0</v>
      </c>
      <c r="AO145" s="537">
        <f t="shared" si="167"/>
        <v>0</v>
      </c>
      <c r="AP145" s="537">
        <f t="shared" si="168"/>
        <v>0</v>
      </c>
      <c r="AQ145" s="537">
        <f t="shared" si="169"/>
        <v>0</v>
      </c>
      <c r="AR145" s="537">
        <f t="shared" si="170"/>
        <v>0</v>
      </c>
      <c r="AS145" s="537">
        <f t="shared" si="171"/>
        <v>1.8</v>
      </c>
      <c r="AT145" s="537">
        <f t="shared" si="172"/>
        <v>0</v>
      </c>
      <c r="AU145" s="537">
        <f t="shared" si="173"/>
        <v>0</v>
      </c>
      <c r="AV145" s="537">
        <f t="shared" si="174"/>
        <v>0</v>
      </c>
      <c r="AW145" s="537">
        <f t="shared" si="175"/>
        <v>0</v>
      </c>
      <c r="AX145" s="537">
        <f t="shared" si="176"/>
        <v>2.38</v>
      </c>
      <c r="AY145" s="537">
        <f t="shared" si="177"/>
        <v>0</v>
      </c>
      <c r="AZ145" s="537">
        <f t="shared" si="178"/>
        <v>0</v>
      </c>
      <c r="BA145" s="537">
        <f t="shared" si="179"/>
        <v>0</v>
      </c>
      <c r="BB145" s="537">
        <f t="shared" si="180"/>
        <v>0</v>
      </c>
      <c r="BC145" s="537">
        <f t="shared" si="181"/>
        <v>0</v>
      </c>
      <c r="BD145" s="374"/>
      <c r="BE145" s="374"/>
    </row>
    <row r="146" spans="1:57">
      <c r="A146" s="528" t="s">
        <v>504</v>
      </c>
      <c r="B146" s="528" t="s">
        <v>206</v>
      </c>
      <c r="C146" s="528" t="s">
        <v>790</v>
      </c>
      <c r="D146" s="542" t="s">
        <v>789</v>
      </c>
      <c r="E146" s="529">
        <f t="shared" si="163"/>
        <v>4.15</v>
      </c>
      <c r="F146" s="530"/>
      <c r="G146" s="530"/>
      <c r="H146" s="530"/>
      <c r="I146" s="530"/>
      <c r="J146" s="530"/>
      <c r="K146" s="530">
        <v>2.16</v>
      </c>
      <c r="L146" s="530"/>
      <c r="M146" s="530"/>
      <c r="N146" s="530"/>
      <c r="O146" s="530"/>
      <c r="P146" s="530">
        <v>1.99</v>
      </c>
      <c r="Q146" s="530"/>
      <c r="R146" s="530"/>
      <c r="S146" s="530"/>
      <c r="T146" s="530"/>
      <c r="U146" s="530"/>
      <c r="V146" s="529">
        <f t="shared" si="164"/>
        <v>0.52</v>
      </c>
      <c r="W146" s="530"/>
      <c r="X146" s="530"/>
      <c r="Y146" s="530"/>
      <c r="Z146" s="530"/>
      <c r="AA146" s="530"/>
      <c r="AB146" s="530">
        <v>0.52</v>
      </c>
      <c r="AC146" s="530"/>
      <c r="AD146" s="530"/>
      <c r="AE146" s="530"/>
      <c r="AF146" s="530"/>
      <c r="AG146" s="530"/>
      <c r="AH146" s="530"/>
      <c r="AI146" s="530"/>
      <c r="AJ146" s="530"/>
      <c r="AK146" s="530"/>
      <c r="AL146" s="530"/>
      <c r="AM146" s="529">
        <f t="shared" si="165"/>
        <v>4.67</v>
      </c>
      <c r="AN146" s="537">
        <f t="shared" si="166"/>
        <v>0</v>
      </c>
      <c r="AO146" s="537">
        <f t="shared" si="167"/>
        <v>0</v>
      </c>
      <c r="AP146" s="537">
        <f t="shared" si="168"/>
        <v>0</v>
      </c>
      <c r="AQ146" s="537">
        <f t="shared" si="169"/>
        <v>0</v>
      </c>
      <c r="AR146" s="537">
        <f t="shared" si="170"/>
        <v>0</v>
      </c>
      <c r="AS146" s="537">
        <f t="shared" si="171"/>
        <v>2.68</v>
      </c>
      <c r="AT146" s="537">
        <f t="shared" si="172"/>
        <v>0</v>
      </c>
      <c r="AU146" s="537">
        <f t="shared" si="173"/>
        <v>0</v>
      </c>
      <c r="AV146" s="537">
        <f t="shared" si="174"/>
        <v>0</v>
      </c>
      <c r="AW146" s="537">
        <f t="shared" si="175"/>
        <v>0</v>
      </c>
      <c r="AX146" s="537">
        <f t="shared" si="176"/>
        <v>1.99</v>
      </c>
      <c r="AY146" s="537">
        <f t="shared" si="177"/>
        <v>0</v>
      </c>
      <c r="AZ146" s="537">
        <f t="shared" si="178"/>
        <v>0</v>
      </c>
      <c r="BA146" s="537">
        <f t="shared" si="179"/>
        <v>0</v>
      </c>
      <c r="BB146" s="537">
        <f t="shared" si="180"/>
        <v>0</v>
      </c>
      <c r="BC146" s="537">
        <f t="shared" si="181"/>
        <v>0</v>
      </c>
      <c r="BD146" s="374"/>
      <c r="BE146" s="374"/>
    </row>
    <row r="147" spans="1:57">
      <c r="A147" s="528" t="s">
        <v>504</v>
      </c>
      <c r="B147" s="528" t="s">
        <v>206</v>
      </c>
      <c r="C147" s="528" t="s">
        <v>791</v>
      </c>
      <c r="D147" s="542" t="s">
        <v>789</v>
      </c>
      <c r="E147" s="529">
        <f t="shared" si="163"/>
        <v>8.976</v>
      </c>
      <c r="F147" s="530"/>
      <c r="G147" s="530"/>
      <c r="H147" s="530"/>
      <c r="I147" s="530"/>
      <c r="J147" s="530"/>
      <c r="K147" s="530">
        <v>2.88</v>
      </c>
      <c r="L147" s="530"/>
      <c r="M147" s="530"/>
      <c r="N147" s="530"/>
      <c r="O147" s="530"/>
      <c r="P147" s="530">
        <v>6.096</v>
      </c>
      <c r="Q147" s="530"/>
      <c r="R147" s="530"/>
      <c r="S147" s="530"/>
      <c r="T147" s="530"/>
      <c r="U147" s="530"/>
      <c r="V147" s="529">
        <f t="shared" si="164"/>
        <v>0.72</v>
      </c>
      <c r="W147" s="530"/>
      <c r="X147" s="530"/>
      <c r="Y147" s="530"/>
      <c r="Z147" s="530"/>
      <c r="AA147" s="530"/>
      <c r="AB147" s="530">
        <v>0.72</v>
      </c>
      <c r="AC147" s="530"/>
      <c r="AD147" s="530"/>
      <c r="AE147" s="530"/>
      <c r="AF147" s="530"/>
      <c r="AG147" s="530"/>
      <c r="AH147" s="530"/>
      <c r="AI147" s="530"/>
      <c r="AJ147" s="530"/>
      <c r="AK147" s="530"/>
      <c r="AL147" s="530"/>
      <c r="AM147" s="529">
        <f t="shared" si="165"/>
        <v>9.696</v>
      </c>
      <c r="AN147" s="537">
        <f t="shared" si="166"/>
        <v>0</v>
      </c>
      <c r="AO147" s="537">
        <f t="shared" si="167"/>
        <v>0</v>
      </c>
      <c r="AP147" s="537">
        <f t="shared" si="168"/>
        <v>0</v>
      </c>
      <c r="AQ147" s="537">
        <f t="shared" si="169"/>
        <v>0</v>
      </c>
      <c r="AR147" s="537">
        <f t="shared" si="170"/>
        <v>0</v>
      </c>
      <c r="AS147" s="537">
        <f t="shared" si="171"/>
        <v>3.6</v>
      </c>
      <c r="AT147" s="537">
        <f t="shared" si="172"/>
        <v>0</v>
      </c>
      <c r="AU147" s="537">
        <f t="shared" si="173"/>
        <v>0</v>
      </c>
      <c r="AV147" s="537">
        <f t="shared" si="174"/>
        <v>0</v>
      </c>
      <c r="AW147" s="537">
        <f t="shared" si="175"/>
        <v>0</v>
      </c>
      <c r="AX147" s="537">
        <f t="shared" si="176"/>
        <v>6.096</v>
      </c>
      <c r="AY147" s="537">
        <f t="shared" si="177"/>
        <v>0</v>
      </c>
      <c r="AZ147" s="537">
        <f t="shared" si="178"/>
        <v>0</v>
      </c>
      <c r="BA147" s="537">
        <f t="shared" si="179"/>
        <v>0</v>
      </c>
      <c r="BB147" s="537">
        <f t="shared" si="180"/>
        <v>0</v>
      </c>
      <c r="BC147" s="537">
        <f t="shared" si="181"/>
        <v>0</v>
      </c>
      <c r="BD147" s="374"/>
      <c r="BE147" s="374"/>
    </row>
    <row r="148" spans="1:57">
      <c r="A148" s="528" t="s">
        <v>504</v>
      </c>
      <c r="B148" s="528" t="s">
        <v>206</v>
      </c>
      <c r="C148" s="528" t="s">
        <v>792</v>
      </c>
      <c r="D148" s="542" t="s">
        <v>789</v>
      </c>
      <c r="E148" s="529">
        <f t="shared" si="163"/>
        <v>1.68</v>
      </c>
      <c r="F148" s="530"/>
      <c r="G148" s="530"/>
      <c r="H148" s="530"/>
      <c r="I148" s="530"/>
      <c r="J148" s="530"/>
      <c r="K148" s="530">
        <v>1.68</v>
      </c>
      <c r="L148" s="530"/>
      <c r="M148" s="530"/>
      <c r="N148" s="530"/>
      <c r="O148" s="530"/>
      <c r="P148" s="530">
        <v>0</v>
      </c>
      <c r="Q148" s="530"/>
      <c r="R148" s="530"/>
      <c r="S148" s="530"/>
      <c r="T148" s="530"/>
      <c r="U148" s="530"/>
      <c r="V148" s="529">
        <f t="shared" si="164"/>
        <v>0.12</v>
      </c>
      <c r="W148" s="530"/>
      <c r="X148" s="530"/>
      <c r="Y148" s="530"/>
      <c r="Z148" s="530"/>
      <c r="AA148" s="530"/>
      <c r="AB148" s="530">
        <v>0.12</v>
      </c>
      <c r="AC148" s="530"/>
      <c r="AD148" s="530"/>
      <c r="AE148" s="530"/>
      <c r="AF148" s="530"/>
      <c r="AG148" s="530"/>
      <c r="AH148" s="530"/>
      <c r="AI148" s="530"/>
      <c r="AJ148" s="530"/>
      <c r="AK148" s="530"/>
      <c r="AL148" s="530"/>
      <c r="AM148" s="529">
        <f t="shared" si="165"/>
        <v>1.8</v>
      </c>
      <c r="AN148" s="537">
        <f t="shared" si="166"/>
        <v>0</v>
      </c>
      <c r="AO148" s="537">
        <f t="shared" si="167"/>
        <v>0</v>
      </c>
      <c r="AP148" s="537">
        <f t="shared" si="168"/>
        <v>0</v>
      </c>
      <c r="AQ148" s="537">
        <f t="shared" si="169"/>
        <v>0</v>
      </c>
      <c r="AR148" s="537">
        <f t="shared" si="170"/>
        <v>0</v>
      </c>
      <c r="AS148" s="537">
        <f t="shared" si="171"/>
        <v>1.8</v>
      </c>
      <c r="AT148" s="537">
        <f t="shared" si="172"/>
        <v>0</v>
      </c>
      <c r="AU148" s="537">
        <f t="shared" si="173"/>
        <v>0</v>
      </c>
      <c r="AV148" s="537">
        <f t="shared" si="174"/>
        <v>0</v>
      </c>
      <c r="AW148" s="537">
        <f t="shared" si="175"/>
        <v>0</v>
      </c>
      <c r="AX148" s="537">
        <f t="shared" si="176"/>
        <v>0</v>
      </c>
      <c r="AY148" s="537">
        <f t="shared" si="177"/>
        <v>0</v>
      </c>
      <c r="AZ148" s="537">
        <f t="shared" si="178"/>
        <v>0</v>
      </c>
      <c r="BA148" s="537">
        <f t="shared" si="179"/>
        <v>0</v>
      </c>
      <c r="BB148" s="537">
        <f t="shared" si="180"/>
        <v>0</v>
      </c>
      <c r="BC148" s="537">
        <f t="shared" si="181"/>
        <v>0</v>
      </c>
      <c r="BD148" s="374"/>
      <c r="BE148" s="374"/>
    </row>
    <row r="149" spans="1:57">
      <c r="A149" s="528" t="s">
        <v>504</v>
      </c>
      <c r="B149" s="528" t="s">
        <v>206</v>
      </c>
      <c r="C149" s="528" t="s">
        <v>793</v>
      </c>
      <c r="D149" s="542" t="s">
        <v>789</v>
      </c>
      <c r="E149" s="529">
        <f t="shared" si="163"/>
        <v>5.7936</v>
      </c>
      <c r="F149" s="530"/>
      <c r="G149" s="530"/>
      <c r="H149" s="530"/>
      <c r="I149" s="530"/>
      <c r="J149" s="530"/>
      <c r="K149" s="530">
        <v>0.48</v>
      </c>
      <c r="L149" s="530"/>
      <c r="M149" s="530"/>
      <c r="N149" s="530"/>
      <c r="O149" s="530"/>
      <c r="P149" s="530">
        <v>5.3136</v>
      </c>
      <c r="Q149" s="530"/>
      <c r="R149" s="530"/>
      <c r="S149" s="530"/>
      <c r="T149" s="530"/>
      <c r="U149" s="530"/>
      <c r="V149" s="529">
        <f t="shared" si="164"/>
        <v>0.76</v>
      </c>
      <c r="W149" s="530"/>
      <c r="X149" s="530"/>
      <c r="Y149" s="530"/>
      <c r="Z149" s="530"/>
      <c r="AA149" s="530"/>
      <c r="AB149" s="530">
        <v>0.12</v>
      </c>
      <c r="AC149" s="530"/>
      <c r="AD149" s="530"/>
      <c r="AE149" s="530"/>
      <c r="AF149" s="530"/>
      <c r="AG149" s="530">
        <v>0.64</v>
      </c>
      <c r="AH149" s="530"/>
      <c r="AI149" s="530"/>
      <c r="AJ149" s="530"/>
      <c r="AK149" s="530"/>
      <c r="AL149" s="530"/>
      <c r="AM149" s="529">
        <f t="shared" si="165"/>
        <v>6.5536</v>
      </c>
      <c r="AN149" s="537">
        <f t="shared" si="166"/>
        <v>0</v>
      </c>
      <c r="AO149" s="537">
        <f t="shared" si="167"/>
        <v>0</v>
      </c>
      <c r="AP149" s="537">
        <f t="shared" si="168"/>
        <v>0</v>
      </c>
      <c r="AQ149" s="537">
        <f t="shared" si="169"/>
        <v>0</v>
      </c>
      <c r="AR149" s="537">
        <f t="shared" si="170"/>
        <v>0</v>
      </c>
      <c r="AS149" s="537">
        <f t="shared" si="171"/>
        <v>0.6</v>
      </c>
      <c r="AT149" s="537">
        <f t="shared" si="172"/>
        <v>0</v>
      </c>
      <c r="AU149" s="537">
        <f t="shared" si="173"/>
        <v>0</v>
      </c>
      <c r="AV149" s="537">
        <f t="shared" si="174"/>
        <v>0</v>
      </c>
      <c r="AW149" s="537">
        <f t="shared" si="175"/>
        <v>0</v>
      </c>
      <c r="AX149" s="537">
        <f t="shared" si="176"/>
        <v>5.9536</v>
      </c>
      <c r="AY149" s="537">
        <f t="shared" si="177"/>
        <v>0</v>
      </c>
      <c r="AZ149" s="537">
        <f t="shared" si="178"/>
        <v>0</v>
      </c>
      <c r="BA149" s="537">
        <f t="shared" si="179"/>
        <v>0</v>
      </c>
      <c r="BB149" s="537">
        <f t="shared" si="180"/>
        <v>0</v>
      </c>
      <c r="BC149" s="537">
        <f t="shared" si="181"/>
        <v>0</v>
      </c>
      <c r="BD149" s="374"/>
      <c r="BE149" s="374"/>
    </row>
    <row r="150" spans="1:57">
      <c r="A150" s="528" t="s">
        <v>504</v>
      </c>
      <c r="B150" s="528" t="s">
        <v>206</v>
      </c>
      <c r="C150" s="528" t="s">
        <v>794</v>
      </c>
      <c r="D150" s="542" t="s">
        <v>789</v>
      </c>
      <c r="E150" s="529">
        <f t="shared" si="163"/>
        <v>2.71</v>
      </c>
      <c r="F150" s="530"/>
      <c r="G150" s="530"/>
      <c r="H150" s="530"/>
      <c r="I150" s="530"/>
      <c r="J150" s="530"/>
      <c r="K150" s="530">
        <v>0.72</v>
      </c>
      <c r="L150" s="530"/>
      <c r="M150" s="530"/>
      <c r="N150" s="530"/>
      <c r="O150" s="530"/>
      <c r="P150" s="530">
        <v>1.99</v>
      </c>
      <c r="Q150" s="530"/>
      <c r="R150" s="530"/>
      <c r="S150" s="530"/>
      <c r="T150" s="530"/>
      <c r="U150" s="530"/>
      <c r="V150" s="529">
        <f t="shared" si="164"/>
        <v>0.21</v>
      </c>
      <c r="W150" s="530"/>
      <c r="X150" s="530"/>
      <c r="Y150" s="530"/>
      <c r="Z150" s="530"/>
      <c r="AA150" s="530"/>
      <c r="AB150" s="530">
        <v>0.21</v>
      </c>
      <c r="AC150" s="530"/>
      <c r="AD150" s="530"/>
      <c r="AE150" s="530"/>
      <c r="AF150" s="530"/>
      <c r="AG150" s="530"/>
      <c r="AH150" s="530"/>
      <c r="AI150" s="530"/>
      <c r="AJ150" s="530"/>
      <c r="AK150" s="530"/>
      <c r="AL150" s="530"/>
      <c r="AM150" s="529">
        <f t="shared" si="165"/>
        <v>2.92</v>
      </c>
      <c r="AN150" s="537">
        <f t="shared" si="166"/>
        <v>0</v>
      </c>
      <c r="AO150" s="537">
        <f t="shared" si="167"/>
        <v>0</v>
      </c>
      <c r="AP150" s="537">
        <f t="shared" si="168"/>
        <v>0</v>
      </c>
      <c r="AQ150" s="537">
        <f t="shared" si="169"/>
        <v>0</v>
      </c>
      <c r="AR150" s="537">
        <f t="shared" si="170"/>
        <v>0</v>
      </c>
      <c r="AS150" s="537">
        <f t="shared" si="171"/>
        <v>0.93</v>
      </c>
      <c r="AT150" s="537">
        <f t="shared" si="172"/>
        <v>0</v>
      </c>
      <c r="AU150" s="537">
        <f t="shared" si="173"/>
        <v>0</v>
      </c>
      <c r="AV150" s="537">
        <f t="shared" si="174"/>
        <v>0</v>
      </c>
      <c r="AW150" s="537">
        <f t="shared" si="175"/>
        <v>0</v>
      </c>
      <c r="AX150" s="537">
        <f t="shared" si="176"/>
        <v>1.99</v>
      </c>
      <c r="AY150" s="537">
        <f t="shared" si="177"/>
        <v>0</v>
      </c>
      <c r="AZ150" s="537">
        <f t="shared" si="178"/>
        <v>0</v>
      </c>
      <c r="BA150" s="537">
        <f t="shared" si="179"/>
        <v>0</v>
      </c>
      <c r="BB150" s="537">
        <f t="shared" si="180"/>
        <v>0</v>
      </c>
      <c r="BC150" s="537">
        <f t="shared" si="181"/>
        <v>0</v>
      </c>
      <c r="BD150" s="374"/>
      <c r="BE150" s="374"/>
    </row>
    <row r="151" ht="24" spans="1:57">
      <c r="A151" s="528" t="s">
        <v>504</v>
      </c>
      <c r="B151" s="528" t="s">
        <v>206</v>
      </c>
      <c r="C151" s="528" t="s">
        <v>795</v>
      </c>
      <c r="D151" s="542" t="s">
        <v>789</v>
      </c>
      <c r="E151" s="529">
        <f t="shared" si="163"/>
        <v>7.188</v>
      </c>
      <c r="F151" s="530"/>
      <c r="G151" s="530"/>
      <c r="H151" s="530"/>
      <c r="I151" s="530"/>
      <c r="J151" s="530"/>
      <c r="K151" s="530">
        <v>4.08</v>
      </c>
      <c r="L151" s="530"/>
      <c r="M151" s="530"/>
      <c r="N151" s="530"/>
      <c r="O151" s="530"/>
      <c r="P151" s="530">
        <v>3.108</v>
      </c>
      <c r="Q151" s="530"/>
      <c r="R151" s="530"/>
      <c r="S151" s="530"/>
      <c r="T151" s="530"/>
      <c r="U151" s="530"/>
      <c r="V151" s="529">
        <f t="shared" si="164"/>
        <v>1.65</v>
      </c>
      <c r="W151" s="530"/>
      <c r="X151" s="530"/>
      <c r="Y151" s="530"/>
      <c r="Z151" s="530"/>
      <c r="AA151" s="530"/>
      <c r="AB151" s="530">
        <v>1.65</v>
      </c>
      <c r="AC151" s="530"/>
      <c r="AD151" s="530"/>
      <c r="AE151" s="530"/>
      <c r="AF151" s="530"/>
      <c r="AG151" s="530"/>
      <c r="AH151" s="530"/>
      <c r="AI151" s="530"/>
      <c r="AJ151" s="530"/>
      <c r="AK151" s="530"/>
      <c r="AL151" s="530"/>
      <c r="AM151" s="529">
        <f t="shared" si="165"/>
        <v>8.838</v>
      </c>
      <c r="AN151" s="537">
        <f t="shared" si="166"/>
        <v>0</v>
      </c>
      <c r="AO151" s="537">
        <f t="shared" si="167"/>
        <v>0</v>
      </c>
      <c r="AP151" s="537">
        <f t="shared" si="168"/>
        <v>0</v>
      </c>
      <c r="AQ151" s="537">
        <f t="shared" si="169"/>
        <v>0</v>
      </c>
      <c r="AR151" s="537">
        <f t="shared" si="170"/>
        <v>0</v>
      </c>
      <c r="AS151" s="537">
        <f t="shared" si="171"/>
        <v>5.73</v>
      </c>
      <c r="AT151" s="537">
        <f t="shared" si="172"/>
        <v>0</v>
      </c>
      <c r="AU151" s="537">
        <f t="shared" si="173"/>
        <v>0</v>
      </c>
      <c r="AV151" s="537">
        <f t="shared" si="174"/>
        <v>0</v>
      </c>
      <c r="AW151" s="537">
        <f t="shared" si="175"/>
        <v>0</v>
      </c>
      <c r="AX151" s="537">
        <f t="shared" si="176"/>
        <v>3.108</v>
      </c>
      <c r="AY151" s="537">
        <f t="shared" si="177"/>
        <v>0</v>
      </c>
      <c r="AZ151" s="537">
        <f t="shared" si="178"/>
        <v>0</v>
      </c>
      <c r="BA151" s="537">
        <f t="shared" si="179"/>
        <v>0</v>
      </c>
      <c r="BB151" s="537">
        <f t="shared" si="180"/>
        <v>0</v>
      </c>
      <c r="BC151" s="537">
        <f t="shared" si="181"/>
        <v>0</v>
      </c>
      <c r="BD151" s="374"/>
      <c r="BE151" s="374"/>
    </row>
    <row r="152" ht="24" spans="1:57">
      <c r="A152" s="528" t="s">
        <v>504</v>
      </c>
      <c r="B152" s="528" t="s">
        <v>206</v>
      </c>
      <c r="C152" s="528" t="s">
        <v>796</v>
      </c>
      <c r="D152" s="542" t="s">
        <v>789</v>
      </c>
      <c r="E152" s="529">
        <f t="shared" si="163"/>
        <v>6.828</v>
      </c>
      <c r="F152" s="530"/>
      <c r="G152" s="530"/>
      <c r="H152" s="530"/>
      <c r="I152" s="530"/>
      <c r="J152" s="530"/>
      <c r="K152" s="530">
        <v>3.84</v>
      </c>
      <c r="L152" s="530"/>
      <c r="M152" s="530"/>
      <c r="N152" s="530"/>
      <c r="O152" s="530"/>
      <c r="P152" s="530">
        <v>2.988</v>
      </c>
      <c r="Q152" s="530"/>
      <c r="R152" s="530"/>
      <c r="S152" s="530"/>
      <c r="T152" s="530"/>
      <c r="U152" s="530"/>
      <c r="V152" s="529">
        <f t="shared" si="164"/>
        <v>0.99</v>
      </c>
      <c r="W152" s="530"/>
      <c r="X152" s="530"/>
      <c r="Y152" s="530"/>
      <c r="Z152" s="530"/>
      <c r="AA152" s="530"/>
      <c r="AB152" s="530">
        <v>0.99</v>
      </c>
      <c r="AC152" s="530"/>
      <c r="AD152" s="530"/>
      <c r="AE152" s="530"/>
      <c r="AF152" s="530"/>
      <c r="AG152" s="530"/>
      <c r="AH152" s="530"/>
      <c r="AI152" s="530"/>
      <c r="AJ152" s="530"/>
      <c r="AK152" s="530"/>
      <c r="AL152" s="530"/>
      <c r="AM152" s="529">
        <f t="shared" si="165"/>
        <v>7.818</v>
      </c>
      <c r="AN152" s="537">
        <f t="shared" si="166"/>
        <v>0</v>
      </c>
      <c r="AO152" s="537">
        <f t="shared" si="167"/>
        <v>0</v>
      </c>
      <c r="AP152" s="537">
        <f t="shared" si="168"/>
        <v>0</v>
      </c>
      <c r="AQ152" s="537">
        <f t="shared" si="169"/>
        <v>0</v>
      </c>
      <c r="AR152" s="537">
        <f t="shared" si="170"/>
        <v>0</v>
      </c>
      <c r="AS152" s="537">
        <f t="shared" si="171"/>
        <v>4.83</v>
      </c>
      <c r="AT152" s="537">
        <f t="shared" si="172"/>
        <v>0</v>
      </c>
      <c r="AU152" s="537">
        <f t="shared" si="173"/>
        <v>0</v>
      </c>
      <c r="AV152" s="537">
        <f t="shared" si="174"/>
        <v>0</v>
      </c>
      <c r="AW152" s="537">
        <f t="shared" si="175"/>
        <v>0</v>
      </c>
      <c r="AX152" s="537">
        <f t="shared" si="176"/>
        <v>2.988</v>
      </c>
      <c r="AY152" s="537">
        <f t="shared" si="177"/>
        <v>0</v>
      </c>
      <c r="AZ152" s="537">
        <f t="shared" si="178"/>
        <v>0</v>
      </c>
      <c r="BA152" s="537">
        <f t="shared" si="179"/>
        <v>0</v>
      </c>
      <c r="BB152" s="537">
        <f t="shared" si="180"/>
        <v>0</v>
      </c>
      <c r="BC152" s="537">
        <f t="shared" si="181"/>
        <v>0</v>
      </c>
      <c r="BD152" s="374"/>
      <c r="BE152" s="374"/>
    </row>
    <row r="153" spans="1:57">
      <c r="A153" s="528" t="s">
        <v>504</v>
      </c>
      <c r="B153" s="528" t="s">
        <v>206</v>
      </c>
      <c r="C153" s="528" t="s">
        <v>797</v>
      </c>
      <c r="D153" s="542" t="s">
        <v>789</v>
      </c>
      <c r="E153" s="529">
        <f t="shared" si="163"/>
        <v>3.95</v>
      </c>
      <c r="F153" s="530"/>
      <c r="G153" s="530"/>
      <c r="H153" s="530"/>
      <c r="I153" s="530"/>
      <c r="J153" s="530"/>
      <c r="K153" s="530">
        <v>0.96</v>
      </c>
      <c r="L153" s="530"/>
      <c r="M153" s="530"/>
      <c r="N153" s="530"/>
      <c r="O153" s="530"/>
      <c r="P153" s="530">
        <v>2.99</v>
      </c>
      <c r="Q153" s="530"/>
      <c r="R153" s="530"/>
      <c r="S153" s="530"/>
      <c r="T153" s="530"/>
      <c r="U153" s="530"/>
      <c r="V153" s="529">
        <f t="shared" si="164"/>
        <v>0.32</v>
      </c>
      <c r="W153" s="530"/>
      <c r="X153" s="530"/>
      <c r="Y153" s="530"/>
      <c r="Z153" s="530"/>
      <c r="AA153" s="530"/>
      <c r="AB153" s="530">
        <v>0.32</v>
      </c>
      <c r="AC153" s="530"/>
      <c r="AD153" s="530"/>
      <c r="AE153" s="530"/>
      <c r="AF153" s="530"/>
      <c r="AG153" s="530"/>
      <c r="AH153" s="530"/>
      <c r="AI153" s="530"/>
      <c r="AJ153" s="530"/>
      <c r="AK153" s="530"/>
      <c r="AL153" s="530"/>
      <c r="AM153" s="529">
        <f t="shared" si="165"/>
        <v>4.27</v>
      </c>
      <c r="AN153" s="537">
        <f t="shared" si="166"/>
        <v>0</v>
      </c>
      <c r="AO153" s="537">
        <f t="shared" si="167"/>
        <v>0</v>
      </c>
      <c r="AP153" s="537">
        <f t="shared" si="168"/>
        <v>0</v>
      </c>
      <c r="AQ153" s="537">
        <f t="shared" si="169"/>
        <v>0</v>
      </c>
      <c r="AR153" s="537">
        <f t="shared" si="170"/>
        <v>0</v>
      </c>
      <c r="AS153" s="537">
        <f t="shared" si="171"/>
        <v>1.28</v>
      </c>
      <c r="AT153" s="537">
        <f t="shared" si="172"/>
        <v>0</v>
      </c>
      <c r="AU153" s="537">
        <f t="shared" si="173"/>
        <v>0</v>
      </c>
      <c r="AV153" s="537">
        <f t="shared" si="174"/>
        <v>0</v>
      </c>
      <c r="AW153" s="537">
        <f t="shared" si="175"/>
        <v>0</v>
      </c>
      <c r="AX153" s="537">
        <f t="shared" si="176"/>
        <v>2.99</v>
      </c>
      <c r="AY153" s="537">
        <f t="shared" si="177"/>
        <v>0</v>
      </c>
      <c r="AZ153" s="537">
        <f t="shared" si="178"/>
        <v>0</v>
      </c>
      <c r="BA153" s="537">
        <f t="shared" si="179"/>
        <v>0</v>
      </c>
      <c r="BB153" s="537">
        <f t="shared" si="180"/>
        <v>0</v>
      </c>
      <c r="BC153" s="537">
        <f t="shared" si="181"/>
        <v>0</v>
      </c>
      <c r="BD153" s="374"/>
      <c r="BE153" s="374"/>
    </row>
    <row r="154" spans="1:57">
      <c r="A154" s="528" t="s">
        <v>504</v>
      </c>
      <c r="B154" s="528" t="s">
        <v>206</v>
      </c>
      <c r="C154" s="528" t="s">
        <v>798</v>
      </c>
      <c r="D154" s="542" t="s">
        <v>789</v>
      </c>
      <c r="E154" s="529">
        <f t="shared" si="163"/>
        <v>3.95</v>
      </c>
      <c r="F154" s="530"/>
      <c r="G154" s="530"/>
      <c r="H154" s="530"/>
      <c r="I154" s="530"/>
      <c r="J154" s="530"/>
      <c r="K154" s="530">
        <v>0.96</v>
      </c>
      <c r="L154" s="530"/>
      <c r="M154" s="530"/>
      <c r="N154" s="530"/>
      <c r="O154" s="530"/>
      <c r="P154" s="530">
        <v>2.99</v>
      </c>
      <c r="Q154" s="530"/>
      <c r="R154" s="530"/>
      <c r="S154" s="530"/>
      <c r="T154" s="530"/>
      <c r="U154" s="530"/>
      <c r="V154" s="529">
        <f t="shared" si="164"/>
        <v>0.936</v>
      </c>
      <c r="W154" s="530"/>
      <c r="X154" s="530"/>
      <c r="Y154" s="530"/>
      <c r="Z154" s="530"/>
      <c r="AA154" s="530"/>
      <c r="AB154" s="530">
        <v>-0.0599999999999999</v>
      </c>
      <c r="AC154" s="530"/>
      <c r="AD154" s="530"/>
      <c r="AE154" s="530"/>
      <c r="AF154" s="530"/>
      <c r="AG154" s="530">
        <v>0.996</v>
      </c>
      <c r="AH154" s="530"/>
      <c r="AI154" s="530"/>
      <c r="AJ154" s="530"/>
      <c r="AK154" s="530"/>
      <c r="AL154" s="530"/>
      <c r="AM154" s="529">
        <f t="shared" si="165"/>
        <v>4.886</v>
      </c>
      <c r="AN154" s="537">
        <f t="shared" si="166"/>
        <v>0</v>
      </c>
      <c r="AO154" s="537">
        <f t="shared" si="167"/>
        <v>0</v>
      </c>
      <c r="AP154" s="537">
        <f t="shared" si="168"/>
        <v>0</v>
      </c>
      <c r="AQ154" s="537">
        <f t="shared" si="169"/>
        <v>0</v>
      </c>
      <c r="AR154" s="537">
        <f t="shared" si="170"/>
        <v>0</v>
      </c>
      <c r="AS154" s="537">
        <f t="shared" si="171"/>
        <v>0.9</v>
      </c>
      <c r="AT154" s="537">
        <f t="shared" si="172"/>
        <v>0</v>
      </c>
      <c r="AU154" s="537">
        <f t="shared" si="173"/>
        <v>0</v>
      </c>
      <c r="AV154" s="537">
        <f t="shared" si="174"/>
        <v>0</v>
      </c>
      <c r="AW154" s="537">
        <f t="shared" si="175"/>
        <v>0</v>
      </c>
      <c r="AX154" s="537">
        <f t="shared" si="176"/>
        <v>3.986</v>
      </c>
      <c r="AY154" s="537">
        <f t="shared" si="177"/>
        <v>0</v>
      </c>
      <c r="AZ154" s="537">
        <f t="shared" si="178"/>
        <v>0</v>
      </c>
      <c r="BA154" s="537">
        <f t="shared" si="179"/>
        <v>0</v>
      </c>
      <c r="BB154" s="537">
        <f t="shared" si="180"/>
        <v>0</v>
      </c>
      <c r="BC154" s="537">
        <f t="shared" si="181"/>
        <v>0</v>
      </c>
      <c r="BD154" s="374"/>
      <c r="BE154" s="374"/>
    </row>
    <row r="155" ht="24" spans="1:57">
      <c r="A155" s="528" t="s">
        <v>504</v>
      </c>
      <c r="B155" s="528" t="s">
        <v>206</v>
      </c>
      <c r="C155" s="528" t="s">
        <v>799</v>
      </c>
      <c r="D155" s="542" t="s">
        <v>789</v>
      </c>
      <c r="E155" s="529">
        <f t="shared" si="163"/>
        <v>6.74</v>
      </c>
      <c r="F155" s="530"/>
      <c r="G155" s="530"/>
      <c r="H155" s="530"/>
      <c r="I155" s="530"/>
      <c r="J155" s="530"/>
      <c r="K155" s="530">
        <v>2.16</v>
      </c>
      <c r="L155" s="530"/>
      <c r="M155" s="530"/>
      <c r="N155" s="530"/>
      <c r="O155" s="530"/>
      <c r="P155" s="530">
        <v>4.58</v>
      </c>
      <c r="Q155" s="530"/>
      <c r="R155" s="530"/>
      <c r="S155" s="530"/>
      <c r="T155" s="530"/>
      <c r="U155" s="530"/>
      <c r="V155" s="529">
        <f t="shared" si="164"/>
        <v>0.37</v>
      </c>
      <c r="W155" s="530"/>
      <c r="X155" s="530"/>
      <c r="Y155" s="530"/>
      <c r="Z155" s="530"/>
      <c r="AA155" s="530"/>
      <c r="AB155" s="530">
        <v>0.37</v>
      </c>
      <c r="AC155" s="530"/>
      <c r="AD155" s="530"/>
      <c r="AE155" s="530"/>
      <c r="AF155" s="530"/>
      <c r="AG155" s="530"/>
      <c r="AH155" s="530"/>
      <c r="AI155" s="530"/>
      <c r="AJ155" s="530"/>
      <c r="AK155" s="530"/>
      <c r="AL155" s="530"/>
      <c r="AM155" s="529">
        <f t="shared" si="165"/>
        <v>7.11</v>
      </c>
      <c r="AN155" s="537">
        <f t="shared" si="166"/>
        <v>0</v>
      </c>
      <c r="AO155" s="537">
        <f t="shared" si="167"/>
        <v>0</v>
      </c>
      <c r="AP155" s="537">
        <f t="shared" si="168"/>
        <v>0</v>
      </c>
      <c r="AQ155" s="537">
        <f t="shared" si="169"/>
        <v>0</v>
      </c>
      <c r="AR155" s="537">
        <f t="shared" si="170"/>
        <v>0</v>
      </c>
      <c r="AS155" s="537">
        <f t="shared" si="171"/>
        <v>2.53</v>
      </c>
      <c r="AT155" s="537">
        <f t="shared" si="172"/>
        <v>0</v>
      </c>
      <c r="AU155" s="537">
        <f t="shared" si="173"/>
        <v>0</v>
      </c>
      <c r="AV155" s="537">
        <f t="shared" si="174"/>
        <v>0</v>
      </c>
      <c r="AW155" s="537">
        <f t="shared" si="175"/>
        <v>0</v>
      </c>
      <c r="AX155" s="537">
        <f t="shared" si="176"/>
        <v>4.58</v>
      </c>
      <c r="AY155" s="537">
        <f t="shared" si="177"/>
        <v>0</v>
      </c>
      <c r="AZ155" s="537">
        <f t="shared" si="178"/>
        <v>0</v>
      </c>
      <c r="BA155" s="537">
        <f t="shared" si="179"/>
        <v>0</v>
      </c>
      <c r="BB155" s="537">
        <f t="shared" si="180"/>
        <v>0</v>
      </c>
      <c r="BC155" s="537">
        <f t="shared" si="181"/>
        <v>0</v>
      </c>
      <c r="BD155" s="374"/>
      <c r="BE155" s="374"/>
    </row>
    <row r="156" ht="24" spans="1:57">
      <c r="A156" s="528" t="s">
        <v>504</v>
      </c>
      <c r="B156" s="528" t="s">
        <v>203</v>
      </c>
      <c r="C156" s="528" t="s">
        <v>559</v>
      </c>
      <c r="D156" s="542" t="s">
        <v>560</v>
      </c>
      <c r="E156" s="529">
        <f t="shared" si="163"/>
        <v>1.2</v>
      </c>
      <c r="F156" s="530"/>
      <c r="G156" s="530"/>
      <c r="H156" s="530"/>
      <c r="I156" s="530"/>
      <c r="J156" s="530"/>
      <c r="K156" s="530">
        <v>1.2</v>
      </c>
      <c r="L156" s="530"/>
      <c r="M156" s="530"/>
      <c r="N156" s="530"/>
      <c r="O156" s="530"/>
      <c r="P156" s="530"/>
      <c r="Q156" s="530"/>
      <c r="R156" s="530"/>
      <c r="S156" s="530"/>
      <c r="T156" s="530"/>
      <c r="U156" s="530"/>
      <c r="V156" s="529">
        <f t="shared" si="164"/>
        <v>1.79</v>
      </c>
      <c r="W156" s="530"/>
      <c r="X156" s="530"/>
      <c r="Y156" s="530"/>
      <c r="Z156" s="530"/>
      <c r="AA156" s="530"/>
      <c r="AB156" s="530">
        <v>0.51</v>
      </c>
      <c r="AC156" s="530"/>
      <c r="AD156" s="530"/>
      <c r="AE156" s="530"/>
      <c r="AF156" s="530">
        <v>1.28</v>
      </c>
      <c r="AG156" s="530"/>
      <c r="AH156" s="530"/>
      <c r="AI156" s="530"/>
      <c r="AJ156" s="530"/>
      <c r="AK156" s="530"/>
      <c r="AL156" s="530"/>
      <c r="AM156" s="529">
        <f t="shared" si="165"/>
        <v>2.99</v>
      </c>
      <c r="AN156" s="537">
        <f t="shared" si="166"/>
        <v>0</v>
      </c>
      <c r="AO156" s="537">
        <f t="shared" si="167"/>
        <v>0</v>
      </c>
      <c r="AP156" s="537">
        <f t="shared" si="168"/>
        <v>0</v>
      </c>
      <c r="AQ156" s="537">
        <f t="shared" si="169"/>
        <v>0</v>
      </c>
      <c r="AR156" s="537">
        <f t="shared" si="170"/>
        <v>0</v>
      </c>
      <c r="AS156" s="537">
        <f t="shared" si="171"/>
        <v>1.71</v>
      </c>
      <c r="AT156" s="537">
        <f t="shared" si="172"/>
        <v>0</v>
      </c>
      <c r="AU156" s="537">
        <f t="shared" si="173"/>
        <v>0</v>
      </c>
      <c r="AV156" s="537">
        <f t="shared" si="174"/>
        <v>0</v>
      </c>
      <c r="AW156" s="537">
        <f t="shared" si="175"/>
        <v>1.28</v>
      </c>
      <c r="AX156" s="537">
        <f t="shared" si="176"/>
        <v>0</v>
      </c>
      <c r="AY156" s="537">
        <f t="shared" si="177"/>
        <v>0</v>
      </c>
      <c r="AZ156" s="537">
        <f t="shared" si="178"/>
        <v>0</v>
      </c>
      <c r="BA156" s="537">
        <f t="shared" si="179"/>
        <v>0</v>
      </c>
      <c r="BB156" s="537">
        <f t="shared" si="180"/>
        <v>0</v>
      </c>
      <c r="BC156" s="537">
        <f t="shared" si="181"/>
        <v>0</v>
      </c>
      <c r="BD156" s="374"/>
      <c r="BE156" s="374"/>
    </row>
    <row r="157" spans="1:57">
      <c r="A157" s="528" t="s">
        <v>504</v>
      </c>
      <c r="B157" s="528" t="s">
        <v>206</v>
      </c>
      <c r="C157" s="528" t="s">
        <v>800</v>
      </c>
      <c r="D157" s="542" t="s">
        <v>540</v>
      </c>
      <c r="E157" s="529">
        <f t="shared" si="163"/>
        <v>1.44</v>
      </c>
      <c r="F157" s="530"/>
      <c r="G157" s="530"/>
      <c r="H157" s="530"/>
      <c r="I157" s="530"/>
      <c r="J157" s="530"/>
      <c r="K157" s="530">
        <v>1.44</v>
      </c>
      <c r="L157" s="530"/>
      <c r="M157" s="530"/>
      <c r="N157" s="530"/>
      <c r="O157" s="530"/>
      <c r="P157" s="530"/>
      <c r="Q157" s="530"/>
      <c r="R157" s="530"/>
      <c r="S157" s="530"/>
      <c r="T157" s="530"/>
      <c r="U157" s="530"/>
      <c r="V157" s="529">
        <f t="shared" si="164"/>
        <v>0.51</v>
      </c>
      <c r="W157" s="530"/>
      <c r="X157" s="530"/>
      <c r="Y157" s="530"/>
      <c r="Z157" s="530"/>
      <c r="AA157" s="530"/>
      <c r="AB157" s="530">
        <v>0.51</v>
      </c>
      <c r="AC157" s="530"/>
      <c r="AD157" s="530"/>
      <c r="AE157" s="530"/>
      <c r="AF157" s="530"/>
      <c r="AG157" s="530"/>
      <c r="AH157" s="530"/>
      <c r="AI157" s="530"/>
      <c r="AJ157" s="530"/>
      <c r="AK157" s="530"/>
      <c r="AL157" s="530"/>
      <c r="AM157" s="529">
        <f t="shared" si="165"/>
        <v>1.95</v>
      </c>
      <c r="AN157" s="537">
        <f t="shared" si="166"/>
        <v>0</v>
      </c>
      <c r="AO157" s="537">
        <f t="shared" si="167"/>
        <v>0</v>
      </c>
      <c r="AP157" s="537">
        <f t="shared" si="168"/>
        <v>0</v>
      </c>
      <c r="AQ157" s="537">
        <f t="shared" si="169"/>
        <v>0</v>
      </c>
      <c r="AR157" s="537">
        <f t="shared" si="170"/>
        <v>0</v>
      </c>
      <c r="AS157" s="537">
        <f t="shared" si="171"/>
        <v>1.95</v>
      </c>
      <c r="AT157" s="537">
        <f t="shared" si="172"/>
        <v>0</v>
      </c>
      <c r="AU157" s="537">
        <f t="shared" si="173"/>
        <v>0</v>
      </c>
      <c r="AV157" s="537">
        <f t="shared" si="174"/>
        <v>0</v>
      </c>
      <c r="AW157" s="537">
        <f t="shared" si="175"/>
        <v>0</v>
      </c>
      <c r="AX157" s="537">
        <f t="shared" si="176"/>
        <v>0</v>
      </c>
      <c r="AY157" s="537">
        <f t="shared" si="177"/>
        <v>0</v>
      </c>
      <c r="AZ157" s="537">
        <f t="shared" si="178"/>
        <v>0</v>
      </c>
      <c r="BA157" s="537">
        <f t="shared" si="179"/>
        <v>0</v>
      </c>
      <c r="BB157" s="537">
        <f t="shared" si="180"/>
        <v>0</v>
      </c>
      <c r="BC157" s="537">
        <f t="shared" si="181"/>
        <v>0</v>
      </c>
      <c r="BD157" s="374"/>
      <c r="BE157" s="374"/>
    </row>
    <row r="158" ht="24" spans="1:57">
      <c r="A158" s="528" t="s">
        <v>504</v>
      </c>
      <c r="B158" s="528" t="s">
        <v>206</v>
      </c>
      <c r="C158" s="528" t="s">
        <v>801</v>
      </c>
      <c r="D158" s="542" t="s">
        <v>540</v>
      </c>
      <c r="E158" s="529">
        <f t="shared" si="163"/>
        <v>2.88</v>
      </c>
      <c r="F158" s="530"/>
      <c r="G158" s="530"/>
      <c r="H158" s="530"/>
      <c r="I158" s="530"/>
      <c r="J158" s="530"/>
      <c r="K158" s="530">
        <v>2.88</v>
      </c>
      <c r="L158" s="530"/>
      <c r="M158" s="530"/>
      <c r="N158" s="530"/>
      <c r="O158" s="530"/>
      <c r="P158" s="530"/>
      <c r="Q158" s="530"/>
      <c r="R158" s="530"/>
      <c r="S158" s="530"/>
      <c r="T158" s="530"/>
      <c r="U158" s="530"/>
      <c r="V158" s="529">
        <f t="shared" si="164"/>
        <v>0.72</v>
      </c>
      <c r="W158" s="530"/>
      <c r="X158" s="530"/>
      <c r="Y158" s="530"/>
      <c r="Z158" s="530"/>
      <c r="AA158" s="530"/>
      <c r="AB158" s="530">
        <v>0.72</v>
      </c>
      <c r="AC158" s="530"/>
      <c r="AD158" s="530"/>
      <c r="AE158" s="530"/>
      <c r="AF158" s="530"/>
      <c r="AG158" s="530"/>
      <c r="AH158" s="530"/>
      <c r="AI158" s="530"/>
      <c r="AJ158" s="530"/>
      <c r="AK158" s="530"/>
      <c r="AL158" s="530"/>
      <c r="AM158" s="529">
        <f t="shared" si="165"/>
        <v>3.6</v>
      </c>
      <c r="AN158" s="537">
        <f t="shared" si="166"/>
        <v>0</v>
      </c>
      <c r="AO158" s="537">
        <f t="shared" si="167"/>
        <v>0</v>
      </c>
      <c r="AP158" s="537">
        <f t="shared" si="168"/>
        <v>0</v>
      </c>
      <c r="AQ158" s="537">
        <f t="shared" si="169"/>
        <v>0</v>
      </c>
      <c r="AR158" s="537">
        <f t="shared" si="170"/>
        <v>0</v>
      </c>
      <c r="AS158" s="537">
        <f t="shared" si="171"/>
        <v>3.6</v>
      </c>
      <c r="AT158" s="537">
        <f t="shared" si="172"/>
        <v>0</v>
      </c>
      <c r="AU158" s="537">
        <f t="shared" si="173"/>
        <v>0</v>
      </c>
      <c r="AV158" s="537">
        <f t="shared" si="174"/>
        <v>0</v>
      </c>
      <c r="AW158" s="537">
        <f t="shared" si="175"/>
        <v>0</v>
      </c>
      <c r="AX158" s="537">
        <f t="shared" si="176"/>
        <v>0</v>
      </c>
      <c r="AY158" s="537">
        <f t="shared" si="177"/>
        <v>0</v>
      </c>
      <c r="AZ158" s="537">
        <f t="shared" si="178"/>
        <v>0</v>
      </c>
      <c r="BA158" s="537">
        <f t="shared" si="179"/>
        <v>0</v>
      </c>
      <c r="BB158" s="537">
        <f t="shared" si="180"/>
        <v>0</v>
      </c>
      <c r="BC158" s="537">
        <f t="shared" si="181"/>
        <v>0</v>
      </c>
      <c r="BD158" s="374"/>
      <c r="BE158" s="374"/>
    </row>
    <row r="159" spans="1:57">
      <c r="A159" s="528" t="s">
        <v>504</v>
      </c>
      <c r="B159" s="528" t="s">
        <v>206</v>
      </c>
      <c r="C159" s="528" t="s">
        <v>802</v>
      </c>
      <c r="D159" s="542" t="s">
        <v>540</v>
      </c>
      <c r="E159" s="529">
        <f t="shared" si="163"/>
        <v>1.2</v>
      </c>
      <c r="F159" s="530"/>
      <c r="G159" s="530"/>
      <c r="H159" s="530"/>
      <c r="I159" s="530"/>
      <c r="J159" s="530"/>
      <c r="K159" s="530">
        <v>1.2</v>
      </c>
      <c r="L159" s="530"/>
      <c r="M159" s="530"/>
      <c r="N159" s="530"/>
      <c r="O159" s="530"/>
      <c r="P159" s="530"/>
      <c r="Q159" s="530"/>
      <c r="R159" s="530"/>
      <c r="S159" s="530"/>
      <c r="T159" s="530"/>
      <c r="U159" s="530"/>
      <c r="V159" s="529">
        <f t="shared" si="164"/>
        <v>0.3</v>
      </c>
      <c r="W159" s="530"/>
      <c r="X159" s="530"/>
      <c r="Y159" s="530"/>
      <c r="Z159" s="530"/>
      <c r="AA159" s="530"/>
      <c r="AB159" s="530">
        <v>0.3</v>
      </c>
      <c r="AC159" s="530"/>
      <c r="AD159" s="530"/>
      <c r="AE159" s="530"/>
      <c r="AF159" s="530"/>
      <c r="AG159" s="530"/>
      <c r="AH159" s="530"/>
      <c r="AI159" s="530"/>
      <c r="AJ159" s="530"/>
      <c r="AK159" s="530"/>
      <c r="AL159" s="530"/>
      <c r="AM159" s="529">
        <f t="shared" si="165"/>
        <v>1.5</v>
      </c>
      <c r="AN159" s="537">
        <f t="shared" si="166"/>
        <v>0</v>
      </c>
      <c r="AO159" s="537">
        <f t="shared" si="167"/>
        <v>0</v>
      </c>
      <c r="AP159" s="537">
        <f t="shared" si="168"/>
        <v>0</v>
      </c>
      <c r="AQ159" s="537">
        <f t="shared" si="169"/>
        <v>0</v>
      </c>
      <c r="AR159" s="537">
        <f t="shared" si="170"/>
        <v>0</v>
      </c>
      <c r="AS159" s="537">
        <f t="shared" si="171"/>
        <v>1.5</v>
      </c>
      <c r="AT159" s="537">
        <f t="shared" si="172"/>
        <v>0</v>
      </c>
      <c r="AU159" s="537">
        <f t="shared" si="173"/>
        <v>0</v>
      </c>
      <c r="AV159" s="537">
        <f t="shared" si="174"/>
        <v>0</v>
      </c>
      <c r="AW159" s="537">
        <f t="shared" si="175"/>
        <v>0</v>
      </c>
      <c r="AX159" s="537">
        <f t="shared" si="176"/>
        <v>0</v>
      </c>
      <c r="AY159" s="537">
        <f t="shared" si="177"/>
        <v>0</v>
      </c>
      <c r="AZ159" s="537">
        <f t="shared" si="178"/>
        <v>0</v>
      </c>
      <c r="BA159" s="537">
        <f t="shared" si="179"/>
        <v>0</v>
      </c>
      <c r="BB159" s="537">
        <f t="shared" si="180"/>
        <v>0</v>
      </c>
      <c r="BC159" s="537">
        <f t="shared" si="181"/>
        <v>0</v>
      </c>
      <c r="BD159" s="374"/>
      <c r="BE159" s="374"/>
    </row>
    <row r="160" spans="1:57">
      <c r="A160" s="528" t="s">
        <v>504</v>
      </c>
      <c r="B160" s="528" t="s">
        <v>206</v>
      </c>
      <c r="C160" s="528" t="s">
        <v>803</v>
      </c>
      <c r="D160" s="542" t="s">
        <v>789</v>
      </c>
      <c r="E160" s="529">
        <f t="shared" si="163"/>
        <v>2.68</v>
      </c>
      <c r="F160" s="530"/>
      <c r="G160" s="530"/>
      <c r="H160" s="530"/>
      <c r="I160" s="530"/>
      <c r="J160" s="530"/>
      <c r="K160" s="530">
        <v>1.68</v>
      </c>
      <c r="L160" s="530"/>
      <c r="M160" s="530"/>
      <c r="N160" s="530"/>
      <c r="O160" s="530"/>
      <c r="P160" s="530">
        <v>1</v>
      </c>
      <c r="Q160" s="530"/>
      <c r="R160" s="530"/>
      <c r="S160" s="530"/>
      <c r="T160" s="530"/>
      <c r="U160" s="530"/>
      <c r="V160" s="529">
        <f t="shared" si="164"/>
        <v>0.42</v>
      </c>
      <c r="W160" s="530"/>
      <c r="X160" s="530"/>
      <c r="Y160" s="530"/>
      <c r="Z160" s="530"/>
      <c r="AA160" s="530"/>
      <c r="AB160" s="530">
        <v>0.42</v>
      </c>
      <c r="AC160" s="530"/>
      <c r="AD160" s="530"/>
      <c r="AE160" s="530"/>
      <c r="AF160" s="530"/>
      <c r="AG160" s="530"/>
      <c r="AH160" s="530"/>
      <c r="AI160" s="530"/>
      <c r="AJ160" s="530"/>
      <c r="AK160" s="530"/>
      <c r="AL160" s="530"/>
      <c r="AM160" s="529">
        <f t="shared" si="165"/>
        <v>3.1</v>
      </c>
      <c r="AN160" s="537">
        <f t="shared" si="166"/>
        <v>0</v>
      </c>
      <c r="AO160" s="537">
        <f t="shared" si="167"/>
        <v>0</v>
      </c>
      <c r="AP160" s="537">
        <f t="shared" si="168"/>
        <v>0</v>
      </c>
      <c r="AQ160" s="537">
        <f t="shared" si="169"/>
        <v>0</v>
      </c>
      <c r="AR160" s="537">
        <f t="shared" si="170"/>
        <v>0</v>
      </c>
      <c r="AS160" s="537">
        <f t="shared" si="171"/>
        <v>2.1</v>
      </c>
      <c r="AT160" s="537">
        <f t="shared" si="172"/>
        <v>0</v>
      </c>
      <c r="AU160" s="537">
        <f t="shared" si="173"/>
        <v>0</v>
      </c>
      <c r="AV160" s="537">
        <f t="shared" si="174"/>
        <v>0</v>
      </c>
      <c r="AW160" s="537">
        <f t="shared" si="175"/>
        <v>0</v>
      </c>
      <c r="AX160" s="537">
        <f t="shared" si="176"/>
        <v>1</v>
      </c>
      <c r="AY160" s="537">
        <f t="shared" si="177"/>
        <v>0</v>
      </c>
      <c r="AZ160" s="537">
        <f t="shared" si="178"/>
        <v>0</v>
      </c>
      <c r="BA160" s="537">
        <f t="shared" si="179"/>
        <v>0</v>
      </c>
      <c r="BB160" s="537">
        <f t="shared" si="180"/>
        <v>0</v>
      </c>
      <c r="BC160" s="537">
        <f t="shared" si="181"/>
        <v>0</v>
      </c>
      <c r="BD160" s="374"/>
      <c r="BE160" s="374"/>
    </row>
    <row r="161" ht="24" spans="1:57">
      <c r="A161" s="528" t="s">
        <v>504</v>
      </c>
      <c r="B161" s="528" t="s">
        <v>206</v>
      </c>
      <c r="C161" s="528" t="s">
        <v>557</v>
      </c>
      <c r="D161" s="542" t="s">
        <v>804</v>
      </c>
      <c r="E161" s="529">
        <f t="shared" si="163"/>
        <v>7.99</v>
      </c>
      <c r="F161" s="530"/>
      <c r="G161" s="530"/>
      <c r="H161" s="530"/>
      <c r="I161" s="530"/>
      <c r="J161" s="530"/>
      <c r="K161" s="530">
        <v>6</v>
      </c>
      <c r="L161" s="530"/>
      <c r="M161" s="530"/>
      <c r="N161" s="530"/>
      <c r="O161" s="530"/>
      <c r="P161" s="530">
        <v>1.99</v>
      </c>
      <c r="Q161" s="530"/>
      <c r="R161" s="530"/>
      <c r="S161" s="530"/>
      <c r="T161" s="530"/>
      <c r="U161" s="530"/>
      <c r="V161" s="529">
        <f t="shared" si="164"/>
        <v>1.23</v>
      </c>
      <c r="W161" s="530"/>
      <c r="X161" s="530"/>
      <c r="Y161" s="530"/>
      <c r="Z161" s="530"/>
      <c r="AA161" s="530"/>
      <c r="AB161" s="530">
        <v>1.23</v>
      </c>
      <c r="AC161" s="530"/>
      <c r="AD161" s="530"/>
      <c r="AE161" s="530"/>
      <c r="AF161" s="530"/>
      <c r="AG161" s="530"/>
      <c r="AH161" s="530"/>
      <c r="AI161" s="530"/>
      <c r="AJ161" s="530"/>
      <c r="AK161" s="530"/>
      <c r="AL161" s="530"/>
      <c r="AM161" s="529">
        <f t="shared" si="165"/>
        <v>9.22</v>
      </c>
      <c r="AN161" s="537">
        <f t="shared" si="166"/>
        <v>0</v>
      </c>
      <c r="AO161" s="537">
        <f t="shared" si="167"/>
        <v>0</v>
      </c>
      <c r="AP161" s="537">
        <f t="shared" si="168"/>
        <v>0</v>
      </c>
      <c r="AQ161" s="537">
        <f t="shared" si="169"/>
        <v>0</v>
      </c>
      <c r="AR161" s="537">
        <f t="shared" si="170"/>
        <v>0</v>
      </c>
      <c r="AS161" s="537">
        <f t="shared" si="171"/>
        <v>7.23</v>
      </c>
      <c r="AT161" s="537">
        <f t="shared" si="172"/>
        <v>0</v>
      </c>
      <c r="AU161" s="537">
        <f t="shared" si="173"/>
        <v>0</v>
      </c>
      <c r="AV161" s="537">
        <f t="shared" si="174"/>
        <v>0</v>
      </c>
      <c r="AW161" s="537">
        <f t="shared" si="175"/>
        <v>0</v>
      </c>
      <c r="AX161" s="537">
        <f t="shared" si="176"/>
        <v>1.99</v>
      </c>
      <c r="AY161" s="537">
        <f t="shared" si="177"/>
        <v>0</v>
      </c>
      <c r="AZ161" s="537">
        <f t="shared" si="178"/>
        <v>0</v>
      </c>
      <c r="BA161" s="537">
        <f t="shared" si="179"/>
        <v>0</v>
      </c>
      <c r="BB161" s="537">
        <f t="shared" si="180"/>
        <v>0</v>
      </c>
      <c r="BC161" s="537">
        <f t="shared" si="181"/>
        <v>0</v>
      </c>
      <c r="BD161" s="374"/>
      <c r="BE161" s="374"/>
    </row>
    <row r="162" ht="24" spans="1:57">
      <c r="A162" s="528" t="s">
        <v>504</v>
      </c>
      <c r="B162" s="528" t="s">
        <v>206</v>
      </c>
      <c r="C162" s="528" t="s">
        <v>561</v>
      </c>
      <c r="D162" s="542" t="s">
        <v>805</v>
      </c>
      <c r="E162" s="529">
        <f t="shared" si="163"/>
        <v>8.436</v>
      </c>
      <c r="F162" s="530"/>
      <c r="G162" s="530"/>
      <c r="H162" s="530"/>
      <c r="I162" s="530"/>
      <c r="J162" s="530"/>
      <c r="K162" s="530">
        <v>7.44</v>
      </c>
      <c r="L162" s="530"/>
      <c r="M162" s="530"/>
      <c r="N162" s="530"/>
      <c r="O162" s="530"/>
      <c r="P162" s="530">
        <v>0.996</v>
      </c>
      <c r="Q162" s="530"/>
      <c r="R162" s="530"/>
      <c r="S162" s="530"/>
      <c r="T162" s="530"/>
      <c r="U162" s="530"/>
      <c r="V162" s="529">
        <f t="shared" si="164"/>
        <v>2.74</v>
      </c>
      <c r="W162" s="530"/>
      <c r="X162" s="530"/>
      <c r="Y162" s="530"/>
      <c r="Z162" s="530"/>
      <c r="AA162" s="530"/>
      <c r="AB162" s="530">
        <v>2.74</v>
      </c>
      <c r="AC162" s="530"/>
      <c r="AD162" s="530"/>
      <c r="AE162" s="530"/>
      <c r="AF162" s="530"/>
      <c r="AG162" s="530"/>
      <c r="AH162" s="530"/>
      <c r="AI162" s="530"/>
      <c r="AJ162" s="530"/>
      <c r="AK162" s="530"/>
      <c r="AL162" s="530"/>
      <c r="AM162" s="529">
        <f t="shared" si="165"/>
        <v>11.176</v>
      </c>
      <c r="AN162" s="537">
        <f t="shared" si="166"/>
        <v>0</v>
      </c>
      <c r="AO162" s="537">
        <f t="shared" si="167"/>
        <v>0</v>
      </c>
      <c r="AP162" s="537">
        <f t="shared" si="168"/>
        <v>0</v>
      </c>
      <c r="AQ162" s="537">
        <f t="shared" si="169"/>
        <v>0</v>
      </c>
      <c r="AR162" s="537">
        <f t="shared" si="170"/>
        <v>0</v>
      </c>
      <c r="AS162" s="537">
        <f t="shared" si="171"/>
        <v>10.18</v>
      </c>
      <c r="AT162" s="537">
        <f t="shared" si="172"/>
        <v>0</v>
      </c>
      <c r="AU162" s="537">
        <f t="shared" si="173"/>
        <v>0</v>
      </c>
      <c r="AV162" s="537">
        <f t="shared" si="174"/>
        <v>0</v>
      </c>
      <c r="AW162" s="537">
        <f t="shared" si="175"/>
        <v>0</v>
      </c>
      <c r="AX162" s="537">
        <f t="shared" si="176"/>
        <v>0.996</v>
      </c>
      <c r="AY162" s="537">
        <f t="shared" si="177"/>
        <v>0</v>
      </c>
      <c r="AZ162" s="537">
        <f t="shared" si="178"/>
        <v>0</v>
      </c>
      <c r="BA162" s="537">
        <f t="shared" si="179"/>
        <v>0</v>
      </c>
      <c r="BB162" s="537">
        <f t="shared" si="180"/>
        <v>0</v>
      </c>
      <c r="BC162" s="537">
        <f t="shared" si="181"/>
        <v>0</v>
      </c>
      <c r="BD162" s="374"/>
      <c r="BE162" s="374"/>
    </row>
    <row r="163" ht="24" spans="1:57">
      <c r="A163" s="528" t="s">
        <v>504</v>
      </c>
      <c r="B163" s="528" t="s">
        <v>203</v>
      </c>
      <c r="C163" s="528" t="s">
        <v>563</v>
      </c>
      <c r="D163" s="542" t="s">
        <v>564</v>
      </c>
      <c r="E163" s="529">
        <f t="shared" si="163"/>
        <v>1.5</v>
      </c>
      <c r="F163" s="530"/>
      <c r="G163" s="530"/>
      <c r="H163" s="530"/>
      <c r="I163" s="530"/>
      <c r="J163" s="530"/>
      <c r="K163" s="530">
        <v>1.2</v>
      </c>
      <c r="L163" s="530"/>
      <c r="M163" s="530"/>
      <c r="N163" s="530"/>
      <c r="O163" s="530">
        <v>0.3</v>
      </c>
      <c r="P163" s="530"/>
      <c r="Q163" s="530"/>
      <c r="R163" s="530"/>
      <c r="S163" s="530"/>
      <c r="T163" s="530"/>
      <c r="U163" s="530"/>
      <c r="V163" s="529">
        <f t="shared" si="164"/>
        <v>0.3</v>
      </c>
      <c r="W163" s="530"/>
      <c r="X163" s="530"/>
      <c r="Y163" s="530"/>
      <c r="Z163" s="530"/>
      <c r="AA163" s="530"/>
      <c r="AB163" s="530">
        <v>0.3</v>
      </c>
      <c r="AC163" s="530"/>
      <c r="AD163" s="530"/>
      <c r="AE163" s="530"/>
      <c r="AF163" s="530"/>
      <c r="AG163" s="530"/>
      <c r="AH163" s="530"/>
      <c r="AI163" s="530"/>
      <c r="AJ163" s="530"/>
      <c r="AK163" s="530"/>
      <c r="AL163" s="530"/>
      <c r="AM163" s="529">
        <f t="shared" si="165"/>
        <v>1.8</v>
      </c>
      <c r="AN163" s="537">
        <f t="shared" si="166"/>
        <v>0</v>
      </c>
      <c r="AO163" s="537">
        <f t="shared" si="167"/>
        <v>0</v>
      </c>
      <c r="AP163" s="537">
        <f t="shared" si="168"/>
        <v>0</v>
      </c>
      <c r="AQ163" s="537">
        <f t="shared" si="169"/>
        <v>0</v>
      </c>
      <c r="AR163" s="537">
        <f t="shared" si="170"/>
        <v>0</v>
      </c>
      <c r="AS163" s="537">
        <f t="shared" si="171"/>
        <v>1.5</v>
      </c>
      <c r="AT163" s="537">
        <f t="shared" si="172"/>
        <v>0</v>
      </c>
      <c r="AU163" s="537">
        <f t="shared" si="173"/>
        <v>0</v>
      </c>
      <c r="AV163" s="537">
        <f t="shared" si="174"/>
        <v>0</v>
      </c>
      <c r="AW163" s="537">
        <f t="shared" si="175"/>
        <v>0.3</v>
      </c>
      <c r="AX163" s="537">
        <f t="shared" si="176"/>
        <v>0</v>
      </c>
      <c r="AY163" s="537">
        <f t="shared" si="177"/>
        <v>0</v>
      </c>
      <c r="AZ163" s="537">
        <f t="shared" si="178"/>
        <v>0</v>
      </c>
      <c r="BA163" s="537">
        <f t="shared" si="179"/>
        <v>0</v>
      </c>
      <c r="BB163" s="537">
        <f t="shared" si="180"/>
        <v>0</v>
      </c>
      <c r="BC163" s="537">
        <f t="shared" si="181"/>
        <v>0</v>
      </c>
      <c r="BD163" s="374"/>
      <c r="BE163" s="374"/>
    </row>
    <row r="164" s="508" customFormat="1" ht="20.15" customHeight="1" spans="1:57">
      <c r="A164" s="523"/>
      <c r="B164" s="524"/>
      <c r="C164" s="525" t="s">
        <v>135</v>
      </c>
      <c r="D164" s="526">
        <v>212</v>
      </c>
      <c r="E164" s="527">
        <f>SUM(E165:E172)</f>
        <v>28.088</v>
      </c>
      <c r="F164" s="527">
        <f t="shared" ref="F164:AK164" si="182">SUM(F165:F172)</f>
        <v>0</v>
      </c>
      <c r="G164" s="527">
        <f t="shared" si="182"/>
        <v>0</v>
      </c>
      <c r="H164" s="527">
        <f t="shared" si="182"/>
        <v>0</v>
      </c>
      <c r="I164" s="527">
        <f t="shared" si="182"/>
        <v>0</v>
      </c>
      <c r="J164" s="527">
        <f t="shared" si="182"/>
        <v>0</v>
      </c>
      <c r="K164" s="527">
        <f t="shared" si="182"/>
        <v>16.64</v>
      </c>
      <c r="L164" s="527">
        <f t="shared" si="182"/>
        <v>0</v>
      </c>
      <c r="M164" s="527">
        <f t="shared" si="182"/>
        <v>0</v>
      </c>
      <c r="N164" s="527">
        <f t="shared" si="182"/>
        <v>0</v>
      </c>
      <c r="O164" s="527">
        <f t="shared" si="182"/>
        <v>4.478</v>
      </c>
      <c r="P164" s="527">
        <f t="shared" si="182"/>
        <v>6.97</v>
      </c>
      <c r="Q164" s="527">
        <f t="shared" si="182"/>
        <v>0</v>
      </c>
      <c r="R164" s="527">
        <f t="shared" si="182"/>
        <v>0</v>
      </c>
      <c r="S164" s="527">
        <f t="shared" si="182"/>
        <v>0</v>
      </c>
      <c r="T164" s="527">
        <f t="shared" si="182"/>
        <v>0</v>
      </c>
      <c r="U164" s="527">
        <f t="shared" si="182"/>
        <v>0</v>
      </c>
      <c r="V164" s="527">
        <f t="shared" si="182"/>
        <v>7.905</v>
      </c>
      <c r="W164" s="527">
        <f t="shared" si="182"/>
        <v>0</v>
      </c>
      <c r="X164" s="527">
        <f t="shared" si="182"/>
        <v>0</v>
      </c>
      <c r="Y164" s="527">
        <f t="shared" si="182"/>
        <v>0</v>
      </c>
      <c r="Z164" s="527">
        <f t="shared" si="182"/>
        <v>0</v>
      </c>
      <c r="AA164" s="527">
        <f t="shared" si="182"/>
        <v>0</v>
      </c>
      <c r="AB164" s="527">
        <f t="shared" si="182"/>
        <v>4.3</v>
      </c>
      <c r="AC164" s="527">
        <f t="shared" si="182"/>
        <v>0</v>
      </c>
      <c r="AD164" s="527">
        <f t="shared" si="182"/>
        <v>0</v>
      </c>
      <c r="AE164" s="527">
        <f t="shared" si="182"/>
        <v>0</v>
      </c>
      <c r="AF164" s="527">
        <f t="shared" si="182"/>
        <v>2.426</v>
      </c>
      <c r="AG164" s="527">
        <f t="shared" si="182"/>
        <v>1.179</v>
      </c>
      <c r="AH164" s="527">
        <f t="shared" si="182"/>
        <v>0</v>
      </c>
      <c r="AI164" s="527">
        <f t="shared" si="182"/>
        <v>0</v>
      </c>
      <c r="AJ164" s="527">
        <f t="shared" si="182"/>
        <v>0</v>
      </c>
      <c r="AK164" s="527">
        <f t="shared" si="182"/>
        <v>0</v>
      </c>
      <c r="AL164" s="527">
        <f t="shared" ref="AL164:BC164" si="183">SUM(AL165:AL172)</f>
        <v>0</v>
      </c>
      <c r="AM164" s="527">
        <f t="shared" si="183"/>
        <v>35.993</v>
      </c>
      <c r="AN164" s="527">
        <f t="shared" si="183"/>
        <v>0</v>
      </c>
      <c r="AO164" s="527">
        <f t="shared" si="183"/>
        <v>0</v>
      </c>
      <c r="AP164" s="527">
        <f t="shared" si="183"/>
        <v>0</v>
      </c>
      <c r="AQ164" s="527">
        <f t="shared" si="183"/>
        <v>0</v>
      </c>
      <c r="AR164" s="527">
        <f t="shared" si="183"/>
        <v>0</v>
      </c>
      <c r="AS164" s="527">
        <f t="shared" si="183"/>
        <v>20.94</v>
      </c>
      <c r="AT164" s="527">
        <f t="shared" si="183"/>
        <v>0</v>
      </c>
      <c r="AU164" s="527">
        <f t="shared" si="183"/>
        <v>0</v>
      </c>
      <c r="AV164" s="527">
        <f t="shared" si="183"/>
        <v>0</v>
      </c>
      <c r="AW164" s="527">
        <f t="shared" si="183"/>
        <v>6.904</v>
      </c>
      <c r="AX164" s="527">
        <f t="shared" si="183"/>
        <v>8.149</v>
      </c>
      <c r="AY164" s="527">
        <f t="shared" si="183"/>
        <v>0</v>
      </c>
      <c r="AZ164" s="527">
        <f t="shared" si="183"/>
        <v>0</v>
      </c>
      <c r="BA164" s="527">
        <f t="shared" si="183"/>
        <v>0</v>
      </c>
      <c r="BB164" s="527">
        <f t="shared" si="183"/>
        <v>0</v>
      </c>
      <c r="BC164" s="527">
        <f t="shared" si="183"/>
        <v>0</v>
      </c>
      <c r="BD164" s="332"/>
      <c r="BE164" s="332"/>
    </row>
    <row r="165" ht="24" spans="1:57">
      <c r="A165" s="528" t="s">
        <v>261</v>
      </c>
      <c r="B165" s="528" t="s">
        <v>203</v>
      </c>
      <c r="C165" s="528" t="s">
        <v>565</v>
      </c>
      <c r="D165" s="542" t="s">
        <v>566</v>
      </c>
      <c r="E165" s="529">
        <f t="shared" ref="E165:E172" si="184">SUM(F165:U165)</f>
        <v>10.318</v>
      </c>
      <c r="F165" s="530"/>
      <c r="G165" s="530"/>
      <c r="H165" s="530"/>
      <c r="I165" s="530"/>
      <c r="J165" s="530"/>
      <c r="K165" s="530">
        <v>5.84</v>
      </c>
      <c r="L165" s="530"/>
      <c r="M165" s="530"/>
      <c r="N165" s="530"/>
      <c r="O165" s="530">
        <v>4.478</v>
      </c>
      <c r="P165" s="530"/>
      <c r="Q165" s="530"/>
      <c r="R165" s="530"/>
      <c r="S165" s="530"/>
      <c r="T165" s="530"/>
      <c r="U165" s="530"/>
      <c r="V165" s="529">
        <f t="shared" si="164"/>
        <v>3.386</v>
      </c>
      <c r="W165" s="530"/>
      <c r="X165" s="530"/>
      <c r="Y165" s="530"/>
      <c r="Z165" s="530"/>
      <c r="AA165" s="530"/>
      <c r="AB165" s="530">
        <v>0.96</v>
      </c>
      <c r="AC165" s="530"/>
      <c r="AD165" s="530"/>
      <c r="AE165" s="530"/>
      <c r="AF165" s="530">
        <v>2.426</v>
      </c>
      <c r="AG165" s="530"/>
      <c r="AH165" s="530"/>
      <c r="AI165" s="530"/>
      <c r="AJ165" s="530"/>
      <c r="AK165" s="530"/>
      <c r="AL165" s="530"/>
      <c r="AM165" s="529">
        <f t="shared" si="165"/>
        <v>13.704</v>
      </c>
      <c r="AN165" s="537">
        <f t="shared" si="166"/>
        <v>0</v>
      </c>
      <c r="AO165" s="537">
        <f t="shared" si="167"/>
        <v>0</v>
      </c>
      <c r="AP165" s="537">
        <f t="shared" si="168"/>
        <v>0</v>
      </c>
      <c r="AQ165" s="537">
        <f t="shared" si="169"/>
        <v>0</v>
      </c>
      <c r="AR165" s="537">
        <f t="shared" si="170"/>
        <v>0</v>
      </c>
      <c r="AS165" s="537">
        <f t="shared" si="171"/>
        <v>6.8</v>
      </c>
      <c r="AT165" s="537">
        <f t="shared" si="172"/>
        <v>0</v>
      </c>
      <c r="AU165" s="537">
        <f t="shared" si="173"/>
        <v>0</v>
      </c>
      <c r="AV165" s="537">
        <f t="shared" si="174"/>
        <v>0</v>
      </c>
      <c r="AW165" s="537">
        <f t="shared" si="175"/>
        <v>6.904</v>
      </c>
      <c r="AX165" s="537">
        <f t="shared" si="176"/>
        <v>0</v>
      </c>
      <c r="AY165" s="537">
        <f t="shared" si="177"/>
        <v>0</v>
      </c>
      <c r="AZ165" s="537">
        <f t="shared" si="178"/>
        <v>0</v>
      </c>
      <c r="BA165" s="537">
        <f t="shared" si="179"/>
        <v>0</v>
      </c>
      <c r="BB165" s="537">
        <f t="shared" si="180"/>
        <v>0</v>
      </c>
      <c r="BC165" s="537">
        <f t="shared" si="181"/>
        <v>0</v>
      </c>
      <c r="BD165" s="374"/>
      <c r="BE165" s="374"/>
    </row>
    <row r="166" ht="24" spans="1:57">
      <c r="A166" s="528" t="s">
        <v>261</v>
      </c>
      <c r="B166" s="528" t="s">
        <v>206</v>
      </c>
      <c r="C166" s="528" t="s">
        <v>582</v>
      </c>
      <c r="D166" s="542" t="s">
        <v>583</v>
      </c>
      <c r="E166" s="529">
        <f t="shared" si="184"/>
        <v>4.94</v>
      </c>
      <c r="F166" s="530"/>
      <c r="G166" s="530"/>
      <c r="H166" s="530"/>
      <c r="I166" s="530"/>
      <c r="J166" s="530"/>
      <c r="K166" s="530">
        <v>0.96</v>
      </c>
      <c r="L166" s="530"/>
      <c r="M166" s="530"/>
      <c r="N166" s="530"/>
      <c r="O166" s="530"/>
      <c r="P166" s="530">
        <v>3.98</v>
      </c>
      <c r="Q166" s="530"/>
      <c r="R166" s="530"/>
      <c r="S166" s="530"/>
      <c r="T166" s="530"/>
      <c r="U166" s="530"/>
      <c r="V166" s="529">
        <f t="shared" si="164"/>
        <v>0.672</v>
      </c>
      <c r="W166" s="530"/>
      <c r="X166" s="530"/>
      <c r="Y166" s="530"/>
      <c r="Z166" s="530"/>
      <c r="AA166" s="530"/>
      <c r="AB166" s="530">
        <v>0.24</v>
      </c>
      <c r="AC166" s="530"/>
      <c r="AD166" s="530"/>
      <c r="AE166" s="530"/>
      <c r="AF166" s="530"/>
      <c r="AG166" s="530">
        <v>0.432</v>
      </c>
      <c r="AH166" s="530"/>
      <c r="AI166" s="530"/>
      <c r="AJ166" s="530"/>
      <c r="AK166" s="530"/>
      <c r="AL166" s="530"/>
      <c r="AM166" s="529">
        <f t="shared" si="165"/>
        <v>5.612</v>
      </c>
      <c r="AN166" s="537">
        <f t="shared" si="166"/>
        <v>0</v>
      </c>
      <c r="AO166" s="537">
        <f t="shared" si="167"/>
        <v>0</v>
      </c>
      <c r="AP166" s="537">
        <f t="shared" si="168"/>
        <v>0</v>
      </c>
      <c r="AQ166" s="537">
        <f t="shared" si="169"/>
        <v>0</v>
      </c>
      <c r="AR166" s="537">
        <f t="shared" si="170"/>
        <v>0</v>
      </c>
      <c r="AS166" s="537">
        <f t="shared" si="171"/>
        <v>1.2</v>
      </c>
      <c r="AT166" s="537">
        <f t="shared" si="172"/>
        <v>0</v>
      </c>
      <c r="AU166" s="537">
        <f t="shared" si="173"/>
        <v>0</v>
      </c>
      <c r="AV166" s="537">
        <f t="shared" si="174"/>
        <v>0</v>
      </c>
      <c r="AW166" s="537">
        <f t="shared" si="175"/>
        <v>0</v>
      </c>
      <c r="AX166" s="537">
        <f t="shared" si="176"/>
        <v>4.412</v>
      </c>
      <c r="AY166" s="537">
        <f t="shared" si="177"/>
        <v>0</v>
      </c>
      <c r="AZ166" s="537">
        <f t="shared" si="178"/>
        <v>0</v>
      </c>
      <c r="BA166" s="537">
        <f t="shared" si="179"/>
        <v>0</v>
      </c>
      <c r="BB166" s="537">
        <f t="shared" si="180"/>
        <v>0</v>
      </c>
      <c r="BC166" s="537">
        <f t="shared" si="181"/>
        <v>0</v>
      </c>
      <c r="BD166" s="374"/>
      <c r="BE166" s="374"/>
    </row>
    <row r="167" ht="24" spans="1:57">
      <c r="A167" s="1" t="s">
        <v>261</v>
      </c>
      <c r="B167" s="1" t="s">
        <v>206</v>
      </c>
      <c r="C167" s="1" t="s">
        <v>577</v>
      </c>
      <c r="D167" s="543" t="s">
        <v>578</v>
      </c>
      <c r="E167" s="529">
        <f t="shared" si="184"/>
        <v>0.72</v>
      </c>
      <c r="F167" s="530"/>
      <c r="G167" s="530"/>
      <c r="H167" s="530"/>
      <c r="I167" s="530"/>
      <c r="J167" s="530"/>
      <c r="K167" s="530">
        <v>0.72</v>
      </c>
      <c r="L167" s="530"/>
      <c r="M167" s="530"/>
      <c r="N167" s="530"/>
      <c r="O167" s="530"/>
      <c r="P167" s="530"/>
      <c r="Q167" s="530"/>
      <c r="R167" s="530"/>
      <c r="S167" s="530"/>
      <c r="T167" s="530"/>
      <c r="U167" s="530"/>
      <c r="V167" s="529">
        <f t="shared" si="164"/>
        <v>0.43</v>
      </c>
      <c r="W167" s="530"/>
      <c r="X167" s="530"/>
      <c r="Y167" s="530"/>
      <c r="Z167" s="530"/>
      <c r="AA167" s="530"/>
      <c r="AB167" s="530">
        <v>0.43</v>
      </c>
      <c r="AC167" s="530"/>
      <c r="AD167" s="530"/>
      <c r="AE167" s="530"/>
      <c r="AF167" s="530"/>
      <c r="AG167" s="530"/>
      <c r="AH167" s="530"/>
      <c r="AI167" s="530"/>
      <c r="AJ167" s="530"/>
      <c r="AK167" s="530"/>
      <c r="AL167" s="530"/>
      <c r="AM167" s="529">
        <f t="shared" si="165"/>
        <v>1.15</v>
      </c>
      <c r="AN167" s="537">
        <f t="shared" si="166"/>
        <v>0</v>
      </c>
      <c r="AO167" s="537">
        <f t="shared" si="167"/>
        <v>0</v>
      </c>
      <c r="AP167" s="537">
        <f t="shared" si="168"/>
        <v>0</v>
      </c>
      <c r="AQ167" s="537">
        <f t="shared" si="169"/>
        <v>0</v>
      </c>
      <c r="AR167" s="537">
        <f t="shared" si="170"/>
        <v>0</v>
      </c>
      <c r="AS167" s="537">
        <f t="shared" si="171"/>
        <v>1.15</v>
      </c>
      <c r="AT167" s="537">
        <f t="shared" si="172"/>
        <v>0</v>
      </c>
      <c r="AU167" s="537">
        <f t="shared" si="173"/>
        <v>0</v>
      </c>
      <c r="AV167" s="537">
        <f t="shared" si="174"/>
        <v>0</v>
      </c>
      <c r="AW167" s="537">
        <f t="shared" si="175"/>
        <v>0</v>
      </c>
      <c r="AX167" s="537">
        <f t="shared" si="176"/>
        <v>0</v>
      </c>
      <c r="AY167" s="537">
        <f t="shared" si="177"/>
        <v>0</v>
      </c>
      <c r="AZ167" s="537">
        <f t="shared" si="178"/>
        <v>0</v>
      </c>
      <c r="BA167" s="537">
        <f t="shared" si="179"/>
        <v>0</v>
      </c>
      <c r="BB167" s="537">
        <f t="shared" si="180"/>
        <v>0</v>
      </c>
      <c r="BC167" s="537">
        <f t="shared" si="181"/>
        <v>0</v>
      </c>
      <c r="BD167" s="374"/>
      <c r="BE167" s="374"/>
    </row>
    <row r="168" ht="41" customHeight="1" spans="1:57">
      <c r="A168" s="1" t="s">
        <v>261</v>
      </c>
      <c r="B168" s="1" t="s">
        <v>206</v>
      </c>
      <c r="C168" s="1" t="s">
        <v>575</v>
      </c>
      <c r="D168" s="543" t="s">
        <v>574</v>
      </c>
      <c r="E168" s="529">
        <f t="shared" si="184"/>
        <v>0.24</v>
      </c>
      <c r="F168" s="530"/>
      <c r="G168" s="530"/>
      <c r="H168" s="530"/>
      <c r="I168" s="530"/>
      <c r="J168" s="530"/>
      <c r="K168" s="530">
        <v>0.24</v>
      </c>
      <c r="L168" s="530"/>
      <c r="M168" s="530"/>
      <c r="N168" s="530"/>
      <c r="O168" s="530"/>
      <c r="P168" s="530"/>
      <c r="Q168" s="530"/>
      <c r="R168" s="530"/>
      <c r="S168" s="530"/>
      <c r="T168" s="530"/>
      <c r="U168" s="530"/>
      <c r="V168" s="529">
        <f t="shared" si="164"/>
        <v>0.06</v>
      </c>
      <c r="W168" s="530"/>
      <c r="X168" s="530"/>
      <c r="Y168" s="530"/>
      <c r="Z168" s="530"/>
      <c r="AA168" s="530"/>
      <c r="AB168" s="530">
        <v>0.06</v>
      </c>
      <c r="AC168" s="530"/>
      <c r="AD168" s="530"/>
      <c r="AE168" s="530"/>
      <c r="AF168" s="530"/>
      <c r="AG168" s="530"/>
      <c r="AH168" s="530"/>
      <c r="AI168" s="530"/>
      <c r="AJ168" s="530"/>
      <c r="AK168" s="530"/>
      <c r="AL168" s="530"/>
      <c r="AM168" s="529">
        <f t="shared" si="165"/>
        <v>0.3</v>
      </c>
      <c r="AN168" s="537">
        <f t="shared" si="166"/>
        <v>0</v>
      </c>
      <c r="AO168" s="537">
        <f t="shared" si="167"/>
        <v>0</v>
      </c>
      <c r="AP168" s="537">
        <f t="shared" si="168"/>
        <v>0</v>
      </c>
      <c r="AQ168" s="537">
        <f t="shared" si="169"/>
        <v>0</v>
      </c>
      <c r="AR168" s="537">
        <f t="shared" si="170"/>
        <v>0</v>
      </c>
      <c r="AS168" s="537">
        <f t="shared" si="171"/>
        <v>0.3</v>
      </c>
      <c r="AT168" s="537">
        <f t="shared" si="172"/>
        <v>0</v>
      </c>
      <c r="AU168" s="537">
        <f t="shared" si="173"/>
        <v>0</v>
      </c>
      <c r="AV168" s="537">
        <f t="shared" si="174"/>
        <v>0</v>
      </c>
      <c r="AW168" s="537">
        <f t="shared" si="175"/>
        <v>0</v>
      </c>
      <c r="AX168" s="537">
        <f t="shared" si="176"/>
        <v>0</v>
      </c>
      <c r="AY168" s="537">
        <f t="shared" si="177"/>
        <v>0</v>
      </c>
      <c r="AZ168" s="537">
        <f t="shared" si="178"/>
        <v>0</v>
      </c>
      <c r="BA168" s="537">
        <f t="shared" si="179"/>
        <v>0</v>
      </c>
      <c r="BB168" s="537">
        <f t="shared" si="180"/>
        <v>0</v>
      </c>
      <c r="BC168" s="537">
        <f t="shared" si="181"/>
        <v>0</v>
      </c>
      <c r="BD168" s="374"/>
      <c r="BE168" s="374"/>
    </row>
    <row r="169" ht="32" customHeight="1" spans="1:57">
      <c r="A169" s="1" t="s">
        <v>261</v>
      </c>
      <c r="B169" s="1" t="s">
        <v>203</v>
      </c>
      <c r="C169" s="1" t="s">
        <v>567</v>
      </c>
      <c r="D169" s="543" t="s">
        <v>568</v>
      </c>
      <c r="E169" s="529">
        <f t="shared" si="184"/>
        <v>0</v>
      </c>
      <c r="F169" s="530"/>
      <c r="G169" s="530"/>
      <c r="H169" s="530"/>
      <c r="I169" s="530"/>
      <c r="J169" s="530"/>
      <c r="K169" s="530"/>
      <c r="L169" s="530"/>
      <c r="M169" s="530"/>
      <c r="N169" s="530"/>
      <c r="O169" s="530"/>
      <c r="P169" s="530"/>
      <c r="Q169" s="530"/>
      <c r="R169" s="530"/>
      <c r="S169" s="530"/>
      <c r="T169" s="530"/>
      <c r="U169" s="530"/>
      <c r="V169" s="529">
        <f t="shared" si="164"/>
        <v>0.51</v>
      </c>
      <c r="W169" s="530"/>
      <c r="X169" s="530"/>
      <c r="Y169" s="530"/>
      <c r="Z169" s="530"/>
      <c r="AA169" s="530"/>
      <c r="AB169" s="530">
        <v>0.51</v>
      </c>
      <c r="AC169" s="530"/>
      <c r="AD169" s="530"/>
      <c r="AE169" s="530"/>
      <c r="AF169" s="530"/>
      <c r="AG169" s="530"/>
      <c r="AH169" s="530"/>
      <c r="AI169" s="530"/>
      <c r="AJ169" s="530"/>
      <c r="AK169" s="530"/>
      <c r="AL169" s="530"/>
      <c r="AM169" s="529">
        <f t="shared" si="165"/>
        <v>0.51</v>
      </c>
      <c r="AN169" s="537">
        <f t="shared" si="166"/>
        <v>0</v>
      </c>
      <c r="AO169" s="537">
        <f t="shared" si="167"/>
        <v>0</v>
      </c>
      <c r="AP169" s="537">
        <f t="shared" si="168"/>
        <v>0</v>
      </c>
      <c r="AQ169" s="537">
        <f t="shared" si="169"/>
        <v>0</v>
      </c>
      <c r="AR169" s="537">
        <f t="shared" si="170"/>
        <v>0</v>
      </c>
      <c r="AS169" s="537">
        <f t="shared" si="171"/>
        <v>0.51</v>
      </c>
      <c r="AT169" s="537">
        <f t="shared" si="172"/>
        <v>0</v>
      </c>
      <c r="AU169" s="537">
        <f t="shared" si="173"/>
        <v>0</v>
      </c>
      <c r="AV169" s="537">
        <f t="shared" si="174"/>
        <v>0</v>
      </c>
      <c r="AW169" s="537">
        <f t="shared" si="175"/>
        <v>0</v>
      </c>
      <c r="AX169" s="537">
        <f t="shared" si="176"/>
        <v>0</v>
      </c>
      <c r="AY169" s="537">
        <f t="shared" si="177"/>
        <v>0</v>
      </c>
      <c r="AZ169" s="537">
        <f t="shared" si="178"/>
        <v>0</v>
      </c>
      <c r="BA169" s="537">
        <f t="shared" si="179"/>
        <v>0</v>
      </c>
      <c r="BB169" s="537">
        <f t="shared" si="180"/>
        <v>0</v>
      </c>
      <c r="BC169" s="537">
        <f t="shared" si="181"/>
        <v>0</v>
      </c>
      <c r="BD169" s="374"/>
      <c r="BE169" s="374"/>
    </row>
    <row r="170" ht="24" spans="1:57">
      <c r="A170" s="528" t="s">
        <v>261</v>
      </c>
      <c r="B170" s="1" t="s">
        <v>206</v>
      </c>
      <c r="C170" s="1" t="s">
        <v>579</v>
      </c>
      <c r="D170" s="543" t="s">
        <v>580</v>
      </c>
      <c r="E170" s="529">
        <f t="shared" si="184"/>
        <v>10.43</v>
      </c>
      <c r="F170" s="530"/>
      <c r="G170" s="530"/>
      <c r="H170" s="530"/>
      <c r="I170" s="530"/>
      <c r="J170" s="530"/>
      <c r="K170" s="530">
        <v>7.44</v>
      </c>
      <c r="L170" s="530"/>
      <c r="M170" s="530"/>
      <c r="N170" s="530"/>
      <c r="O170" s="530"/>
      <c r="P170" s="530">
        <v>2.99</v>
      </c>
      <c r="Q170" s="530"/>
      <c r="R170" s="530"/>
      <c r="S170" s="530"/>
      <c r="T170" s="530"/>
      <c r="U170" s="530"/>
      <c r="V170" s="529">
        <f t="shared" si="164"/>
        <v>2.537</v>
      </c>
      <c r="W170" s="530"/>
      <c r="X170" s="530"/>
      <c r="Y170" s="530"/>
      <c r="Z170" s="530"/>
      <c r="AA170" s="530"/>
      <c r="AB170" s="530">
        <v>1.79</v>
      </c>
      <c r="AC170" s="530"/>
      <c r="AD170" s="530"/>
      <c r="AE170" s="530"/>
      <c r="AF170" s="530"/>
      <c r="AG170" s="530">
        <v>0.747</v>
      </c>
      <c r="AH170" s="530"/>
      <c r="AI170" s="530"/>
      <c r="AJ170" s="530"/>
      <c r="AK170" s="530"/>
      <c r="AL170" s="530"/>
      <c r="AM170" s="529">
        <f t="shared" si="165"/>
        <v>12.967</v>
      </c>
      <c r="AN170" s="537">
        <f t="shared" si="166"/>
        <v>0</v>
      </c>
      <c r="AO170" s="537">
        <f t="shared" si="167"/>
        <v>0</v>
      </c>
      <c r="AP170" s="537">
        <f t="shared" si="168"/>
        <v>0</v>
      </c>
      <c r="AQ170" s="537">
        <f t="shared" si="169"/>
        <v>0</v>
      </c>
      <c r="AR170" s="537">
        <f t="shared" si="170"/>
        <v>0</v>
      </c>
      <c r="AS170" s="537">
        <f t="shared" si="171"/>
        <v>9.23</v>
      </c>
      <c r="AT170" s="537">
        <f t="shared" si="172"/>
        <v>0</v>
      </c>
      <c r="AU170" s="537">
        <f t="shared" si="173"/>
        <v>0</v>
      </c>
      <c r="AV170" s="537">
        <f t="shared" si="174"/>
        <v>0</v>
      </c>
      <c r="AW170" s="537">
        <f t="shared" si="175"/>
        <v>0</v>
      </c>
      <c r="AX170" s="537">
        <f t="shared" si="176"/>
        <v>3.737</v>
      </c>
      <c r="AY170" s="537">
        <f t="shared" si="177"/>
        <v>0</v>
      </c>
      <c r="AZ170" s="537">
        <f t="shared" si="178"/>
        <v>0</v>
      </c>
      <c r="BA170" s="537">
        <f t="shared" si="179"/>
        <v>0</v>
      </c>
      <c r="BB170" s="537">
        <f t="shared" si="180"/>
        <v>0</v>
      </c>
      <c r="BC170" s="537">
        <f t="shared" si="181"/>
        <v>0</v>
      </c>
      <c r="BD170" s="374"/>
      <c r="BE170" s="374"/>
    </row>
    <row r="171" ht="24" spans="1:57">
      <c r="A171" s="1" t="s">
        <v>261</v>
      </c>
      <c r="B171" s="1" t="s">
        <v>206</v>
      </c>
      <c r="C171" s="1" t="s">
        <v>581</v>
      </c>
      <c r="D171" s="543" t="s">
        <v>580</v>
      </c>
      <c r="E171" s="529">
        <f t="shared" si="184"/>
        <v>0.96</v>
      </c>
      <c r="F171" s="530"/>
      <c r="G171" s="530"/>
      <c r="H171" s="530"/>
      <c r="I171" s="530"/>
      <c r="J171" s="530"/>
      <c r="K171" s="530">
        <v>0.96</v>
      </c>
      <c r="L171" s="530"/>
      <c r="M171" s="530"/>
      <c r="N171" s="530"/>
      <c r="O171" s="530"/>
      <c r="P171" s="530"/>
      <c r="Q171" s="530"/>
      <c r="R171" s="530"/>
      <c r="S171" s="530"/>
      <c r="T171" s="530"/>
      <c r="U171" s="530"/>
      <c r="V171" s="529">
        <f t="shared" si="164"/>
        <v>0.24</v>
      </c>
      <c r="W171" s="530"/>
      <c r="X171" s="530"/>
      <c r="Y171" s="530"/>
      <c r="Z171" s="530"/>
      <c r="AA171" s="530"/>
      <c r="AB171" s="530">
        <v>0.24</v>
      </c>
      <c r="AC171" s="530"/>
      <c r="AD171" s="530"/>
      <c r="AE171" s="530"/>
      <c r="AF171" s="530"/>
      <c r="AG171" s="530"/>
      <c r="AH171" s="530"/>
      <c r="AI171" s="530"/>
      <c r="AJ171" s="530"/>
      <c r="AK171" s="530"/>
      <c r="AL171" s="530"/>
      <c r="AM171" s="529">
        <f t="shared" si="165"/>
        <v>1.2</v>
      </c>
      <c r="AN171" s="537">
        <f t="shared" si="166"/>
        <v>0</v>
      </c>
      <c r="AO171" s="537">
        <f t="shared" si="167"/>
        <v>0</v>
      </c>
      <c r="AP171" s="537">
        <f t="shared" si="168"/>
        <v>0</v>
      </c>
      <c r="AQ171" s="537">
        <f t="shared" si="169"/>
        <v>0</v>
      </c>
      <c r="AR171" s="537">
        <f t="shared" si="170"/>
        <v>0</v>
      </c>
      <c r="AS171" s="537">
        <f t="shared" si="171"/>
        <v>1.2</v>
      </c>
      <c r="AT171" s="537">
        <f t="shared" si="172"/>
        <v>0</v>
      </c>
      <c r="AU171" s="537">
        <f t="shared" si="173"/>
        <v>0</v>
      </c>
      <c r="AV171" s="537">
        <f t="shared" si="174"/>
        <v>0</v>
      </c>
      <c r="AW171" s="537">
        <f t="shared" si="175"/>
        <v>0</v>
      </c>
      <c r="AX171" s="537">
        <f t="shared" si="176"/>
        <v>0</v>
      </c>
      <c r="AY171" s="537">
        <f t="shared" si="177"/>
        <v>0</v>
      </c>
      <c r="AZ171" s="537">
        <f t="shared" si="178"/>
        <v>0</v>
      </c>
      <c r="BA171" s="537">
        <f t="shared" si="179"/>
        <v>0</v>
      </c>
      <c r="BB171" s="537">
        <f t="shared" si="180"/>
        <v>0</v>
      </c>
      <c r="BC171" s="537">
        <f t="shared" si="181"/>
        <v>0</v>
      </c>
      <c r="BD171" s="374"/>
      <c r="BE171" s="374"/>
    </row>
    <row r="172" ht="25" customHeight="1" spans="1:57">
      <c r="A172" s="1" t="s">
        <v>261</v>
      </c>
      <c r="B172" s="1" t="s">
        <v>206</v>
      </c>
      <c r="C172" s="1" t="s">
        <v>570</v>
      </c>
      <c r="D172" s="543" t="s">
        <v>568</v>
      </c>
      <c r="E172" s="529">
        <f t="shared" si="184"/>
        <v>0.48</v>
      </c>
      <c r="F172" s="530"/>
      <c r="G172" s="530"/>
      <c r="H172" s="530"/>
      <c r="I172" s="530"/>
      <c r="J172" s="530"/>
      <c r="K172" s="530">
        <v>0.48</v>
      </c>
      <c r="L172" s="530"/>
      <c r="M172" s="530"/>
      <c r="N172" s="530"/>
      <c r="O172" s="530"/>
      <c r="P172" s="530"/>
      <c r="Q172" s="530"/>
      <c r="R172" s="530"/>
      <c r="S172" s="530"/>
      <c r="T172" s="530"/>
      <c r="U172" s="530"/>
      <c r="V172" s="529">
        <f t="shared" si="164"/>
        <v>0.0700000000000001</v>
      </c>
      <c r="W172" s="530"/>
      <c r="X172" s="530"/>
      <c r="Y172" s="530"/>
      <c r="Z172" s="530"/>
      <c r="AA172" s="530"/>
      <c r="AB172" s="530">
        <v>0.0700000000000001</v>
      </c>
      <c r="AC172" s="530"/>
      <c r="AD172" s="530"/>
      <c r="AE172" s="530"/>
      <c r="AF172" s="530"/>
      <c r="AG172" s="530"/>
      <c r="AH172" s="530"/>
      <c r="AI172" s="530"/>
      <c r="AJ172" s="530"/>
      <c r="AK172" s="530"/>
      <c r="AL172" s="530"/>
      <c r="AM172" s="529">
        <f t="shared" si="165"/>
        <v>0.55</v>
      </c>
      <c r="AN172" s="537">
        <f t="shared" si="166"/>
        <v>0</v>
      </c>
      <c r="AO172" s="537">
        <f t="shared" si="167"/>
        <v>0</v>
      </c>
      <c r="AP172" s="537">
        <f t="shared" si="168"/>
        <v>0</v>
      </c>
      <c r="AQ172" s="537">
        <f t="shared" si="169"/>
        <v>0</v>
      </c>
      <c r="AR172" s="537">
        <f t="shared" si="170"/>
        <v>0</v>
      </c>
      <c r="AS172" s="537">
        <f t="shared" si="171"/>
        <v>0.55</v>
      </c>
      <c r="AT172" s="537">
        <f t="shared" si="172"/>
        <v>0</v>
      </c>
      <c r="AU172" s="537">
        <f t="shared" si="173"/>
        <v>0</v>
      </c>
      <c r="AV172" s="537">
        <f t="shared" si="174"/>
        <v>0</v>
      </c>
      <c r="AW172" s="537">
        <f t="shared" si="175"/>
        <v>0</v>
      </c>
      <c r="AX172" s="537">
        <f t="shared" si="176"/>
        <v>0</v>
      </c>
      <c r="AY172" s="537">
        <f t="shared" si="177"/>
        <v>0</v>
      </c>
      <c r="AZ172" s="537">
        <f t="shared" si="178"/>
        <v>0</v>
      </c>
      <c r="BA172" s="537">
        <f t="shared" si="179"/>
        <v>0</v>
      </c>
      <c r="BB172" s="537">
        <f t="shared" si="180"/>
        <v>0</v>
      </c>
      <c r="BC172" s="537">
        <f t="shared" si="181"/>
        <v>0</v>
      </c>
      <c r="BD172" s="374"/>
      <c r="BE172" s="374"/>
    </row>
    <row r="173" s="508" customFormat="1" ht="20.15" customHeight="1" spans="1:57">
      <c r="A173" s="523"/>
      <c r="B173" s="524"/>
      <c r="C173" s="525" t="s">
        <v>136</v>
      </c>
      <c r="D173" s="526">
        <v>213</v>
      </c>
      <c r="E173" s="527">
        <f t="shared" ref="E173:U173" si="185">SUM(E174:E199)</f>
        <v>4555.026</v>
      </c>
      <c r="F173" s="527">
        <f t="shared" si="185"/>
        <v>0</v>
      </c>
      <c r="G173" s="527">
        <f t="shared" si="185"/>
        <v>0</v>
      </c>
      <c r="H173" s="527">
        <f t="shared" si="185"/>
        <v>0</v>
      </c>
      <c r="I173" s="527">
        <f t="shared" si="185"/>
        <v>0</v>
      </c>
      <c r="J173" s="527">
        <f t="shared" si="185"/>
        <v>0</v>
      </c>
      <c r="K173" s="527">
        <f t="shared" si="185"/>
        <v>102.36</v>
      </c>
      <c r="L173" s="527">
        <f t="shared" si="185"/>
        <v>0</v>
      </c>
      <c r="M173" s="527">
        <f t="shared" si="185"/>
        <v>0</v>
      </c>
      <c r="N173" s="527">
        <f t="shared" si="185"/>
        <v>0</v>
      </c>
      <c r="O173" s="527">
        <f t="shared" si="185"/>
        <v>120.254</v>
      </c>
      <c r="P173" s="527">
        <f t="shared" si="185"/>
        <v>0</v>
      </c>
      <c r="Q173" s="527">
        <f t="shared" si="185"/>
        <v>2.58</v>
      </c>
      <c r="R173" s="527">
        <f t="shared" si="185"/>
        <v>0</v>
      </c>
      <c r="S173" s="527">
        <f t="shared" si="185"/>
        <v>1441.122</v>
      </c>
      <c r="T173" s="527">
        <f t="shared" si="185"/>
        <v>2888.71</v>
      </c>
      <c r="U173" s="527">
        <f t="shared" si="185"/>
        <v>0</v>
      </c>
      <c r="V173" s="527">
        <f t="shared" ref="V173:BC173" si="186">SUM(V174:V199)</f>
        <v>6.25</v>
      </c>
      <c r="W173" s="527">
        <f t="shared" si="186"/>
        <v>0</v>
      </c>
      <c r="X173" s="527">
        <f t="shared" si="186"/>
        <v>0</v>
      </c>
      <c r="Y173" s="527">
        <f t="shared" si="186"/>
        <v>0</v>
      </c>
      <c r="Z173" s="527">
        <f t="shared" si="186"/>
        <v>0</v>
      </c>
      <c r="AA173" s="527">
        <f t="shared" si="186"/>
        <v>0</v>
      </c>
      <c r="AB173" s="527">
        <f t="shared" si="186"/>
        <v>22.71</v>
      </c>
      <c r="AC173" s="527">
        <f t="shared" si="186"/>
        <v>0</v>
      </c>
      <c r="AD173" s="527">
        <f t="shared" si="186"/>
        <v>0</v>
      </c>
      <c r="AE173" s="527">
        <f t="shared" si="186"/>
        <v>0</v>
      </c>
      <c r="AF173" s="527">
        <f t="shared" si="186"/>
        <v>2.64</v>
      </c>
      <c r="AG173" s="527">
        <f t="shared" si="186"/>
        <v>0</v>
      </c>
      <c r="AH173" s="527">
        <f t="shared" si="186"/>
        <v>-0.16</v>
      </c>
      <c r="AI173" s="527">
        <f t="shared" si="186"/>
        <v>0</v>
      </c>
      <c r="AJ173" s="527">
        <f t="shared" si="186"/>
        <v>-2.98</v>
      </c>
      <c r="AK173" s="527">
        <f t="shared" si="186"/>
        <v>-26.64</v>
      </c>
      <c r="AL173" s="527">
        <f t="shared" si="186"/>
        <v>10.68</v>
      </c>
      <c r="AM173" s="527">
        <f t="shared" si="186"/>
        <v>4561.276</v>
      </c>
      <c r="AN173" s="536">
        <f t="shared" si="186"/>
        <v>0</v>
      </c>
      <c r="AO173" s="536">
        <f t="shared" si="186"/>
        <v>0</v>
      </c>
      <c r="AP173" s="536">
        <f t="shared" si="186"/>
        <v>0</v>
      </c>
      <c r="AQ173" s="536">
        <f t="shared" si="186"/>
        <v>0</v>
      </c>
      <c r="AR173" s="536">
        <f t="shared" si="186"/>
        <v>0</v>
      </c>
      <c r="AS173" s="536">
        <f t="shared" si="186"/>
        <v>125.07</v>
      </c>
      <c r="AT173" s="536">
        <f t="shared" si="186"/>
        <v>0</v>
      </c>
      <c r="AU173" s="536">
        <f t="shared" si="186"/>
        <v>0</v>
      </c>
      <c r="AV173" s="536">
        <f t="shared" si="186"/>
        <v>0</v>
      </c>
      <c r="AW173" s="536">
        <f t="shared" si="186"/>
        <v>122.894</v>
      </c>
      <c r="AX173" s="536">
        <f t="shared" si="186"/>
        <v>0</v>
      </c>
      <c r="AY173" s="536">
        <f t="shared" si="186"/>
        <v>2.42</v>
      </c>
      <c r="AZ173" s="536">
        <f t="shared" si="186"/>
        <v>0</v>
      </c>
      <c r="BA173" s="536">
        <f t="shared" si="186"/>
        <v>1438.142</v>
      </c>
      <c r="BB173" s="536">
        <f t="shared" si="186"/>
        <v>2862.07</v>
      </c>
      <c r="BC173" s="536">
        <f t="shared" si="186"/>
        <v>10.68</v>
      </c>
      <c r="BD173" s="332"/>
      <c r="BE173" s="332"/>
    </row>
    <row r="174" ht="24" spans="1:57">
      <c r="A174" s="528" t="s">
        <v>584</v>
      </c>
      <c r="B174" s="528" t="s">
        <v>203</v>
      </c>
      <c r="C174" s="528" t="s">
        <v>585</v>
      </c>
      <c r="D174" s="542" t="s">
        <v>586</v>
      </c>
      <c r="E174" s="529">
        <f t="shared" ref="E174:E179" si="187">SUM(F174:U174)</f>
        <v>92.76</v>
      </c>
      <c r="F174" s="530"/>
      <c r="G174" s="530"/>
      <c r="H174" s="530"/>
      <c r="I174" s="530"/>
      <c r="J174" s="530"/>
      <c r="K174" s="530">
        <v>41.04</v>
      </c>
      <c r="L174" s="530"/>
      <c r="M174" s="530"/>
      <c r="N174" s="530"/>
      <c r="O174" s="530">
        <v>49.14</v>
      </c>
      <c r="P174" s="530"/>
      <c r="Q174" s="530">
        <v>2.58</v>
      </c>
      <c r="R174" s="530"/>
      <c r="S174" s="530"/>
      <c r="T174" s="530"/>
      <c r="U174" s="530"/>
      <c r="V174" s="529">
        <f>SUM(W174:AL174)</f>
        <v>11.91</v>
      </c>
      <c r="W174" s="530"/>
      <c r="X174" s="530"/>
      <c r="Y174" s="530"/>
      <c r="Z174" s="530"/>
      <c r="AA174" s="530"/>
      <c r="AB174" s="530">
        <v>11.24</v>
      </c>
      <c r="AC174" s="530"/>
      <c r="AD174" s="530"/>
      <c r="AE174" s="530"/>
      <c r="AF174" s="530">
        <v>0.83</v>
      </c>
      <c r="AG174" s="530"/>
      <c r="AH174" s="530">
        <v>-0.16</v>
      </c>
      <c r="AI174" s="530"/>
      <c r="AJ174" s="530"/>
      <c r="AK174" s="530"/>
      <c r="AL174" s="530"/>
      <c r="AM174" s="529">
        <f>SUM(AN174:BC174)</f>
        <v>104.67</v>
      </c>
      <c r="AN174" s="537">
        <f t="shared" ref="AN174:BC174" si="188">F174+W174</f>
        <v>0</v>
      </c>
      <c r="AO174" s="537">
        <f t="shared" si="188"/>
        <v>0</v>
      </c>
      <c r="AP174" s="537">
        <f t="shared" si="188"/>
        <v>0</v>
      </c>
      <c r="AQ174" s="537">
        <f t="shared" si="188"/>
        <v>0</v>
      </c>
      <c r="AR174" s="537">
        <f t="shared" si="188"/>
        <v>0</v>
      </c>
      <c r="AS174" s="537">
        <f t="shared" si="188"/>
        <v>52.28</v>
      </c>
      <c r="AT174" s="537">
        <f t="shared" si="188"/>
        <v>0</v>
      </c>
      <c r="AU174" s="537">
        <f t="shared" si="188"/>
        <v>0</v>
      </c>
      <c r="AV174" s="537">
        <f t="shared" si="188"/>
        <v>0</v>
      </c>
      <c r="AW174" s="537">
        <f t="shared" si="188"/>
        <v>49.97</v>
      </c>
      <c r="AX174" s="537">
        <f t="shared" si="188"/>
        <v>0</v>
      </c>
      <c r="AY174" s="537">
        <f t="shared" si="188"/>
        <v>2.42</v>
      </c>
      <c r="AZ174" s="537">
        <f t="shared" si="188"/>
        <v>0</v>
      </c>
      <c r="BA174" s="537">
        <f t="shared" si="188"/>
        <v>0</v>
      </c>
      <c r="BB174" s="537">
        <f t="shared" si="188"/>
        <v>0</v>
      </c>
      <c r="BC174" s="537">
        <f t="shared" si="188"/>
        <v>0</v>
      </c>
      <c r="BD174" s="304" t="s">
        <v>806</v>
      </c>
      <c r="BE174" s="304" t="s">
        <v>806</v>
      </c>
    </row>
    <row r="175" ht="24" spans="1:57">
      <c r="A175" s="528" t="s">
        <v>584</v>
      </c>
      <c r="B175" s="528" t="s">
        <v>203</v>
      </c>
      <c r="C175" s="528" t="s">
        <v>587</v>
      </c>
      <c r="D175" s="542" t="s">
        <v>586</v>
      </c>
      <c r="E175" s="529">
        <f t="shared" si="187"/>
        <v>11.82</v>
      </c>
      <c r="F175" s="530"/>
      <c r="G175" s="530"/>
      <c r="H175" s="530"/>
      <c r="I175" s="530"/>
      <c r="J175" s="530"/>
      <c r="K175" s="530">
        <v>6.72</v>
      </c>
      <c r="L175" s="530"/>
      <c r="M175" s="530"/>
      <c r="N175" s="530"/>
      <c r="O175" s="530">
        <v>5.1</v>
      </c>
      <c r="P175" s="530"/>
      <c r="Q175" s="530"/>
      <c r="R175" s="530"/>
      <c r="S175" s="530"/>
      <c r="T175" s="530"/>
      <c r="U175" s="530"/>
      <c r="V175" s="529">
        <f t="shared" ref="V175:V179" si="189">SUM(W175:AL175)</f>
        <v>0.690000000000001</v>
      </c>
      <c r="W175" s="530"/>
      <c r="X175" s="530"/>
      <c r="Y175" s="530"/>
      <c r="Z175" s="530"/>
      <c r="AA175" s="530"/>
      <c r="AB175" s="530">
        <v>1.68</v>
      </c>
      <c r="AC175" s="530"/>
      <c r="AD175" s="530"/>
      <c r="AE175" s="530"/>
      <c r="AF175" s="530">
        <v>-0.99</v>
      </c>
      <c r="AG175" s="530"/>
      <c r="AH175" s="530"/>
      <c r="AI175" s="530"/>
      <c r="AJ175" s="530"/>
      <c r="AK175" s="530"/>
      <c r="AL175" s="530"/>
      <c r="AM175" s="529">
        <f t="shared" ref="AM175:AM179" si="190">SUM(AN175:BC175)</f>
        <v>12.51</v>
      </c>
      <c r="AN175" s="537">
        <f t="shared" ref="AN175:BC175" si="191">F175+W175</f>
        <v>0</v>
      </c>
      <c r="AO175" s="537">
        <f t="shared" si="191"/>
        <v>0</v>
      </c>
      <c r="AP175" s="537">
        <f t="shared" si="191"/>
        <v>0</v>
      </c>
      <c r="AQ175" s="537">
        <f t="shared" si="191"/>
        <v>0</v>
      </c>
      <c r="AR175" s="537">
        <f t="shared" si="191"/>
        <v>0</v>
      </c>
      <c r="AS175" s="537">
        <f t="shared" si="191"/>
        <v>8.4</v>
      </c>
      <c r="AT175" s="537">
        <f t="shared" si="191"/>
        <v>0</v>
      </c>
      <c r="AU175" s="537">
        <f t="shared" si="191"/>
        <v>0</v>
      </c>
      <c r="AV175" s="537">
        <f t="shared" si="191"/>
        <v>0</v>
      </c>
      <c r="AW175" s="537">
        <f t="shared" si="191"/>
        <v>4.11</v>
      </c>
      <c r="AX175" s="537">
        <f t="shared" si="191"/>
        <v>0</v>
      </c>
      <c r="AY175" s="537">
        <f t="shared" si="191"/>
        <v>0</v>
      </c>
      <c r="AZ175" s="537">
        <f t="shared" si="191"/>
        <v>0</v>
      </c>
      <c r="BA175" s="537">
        <f t="shared" si="191"/>
        <v>0</v>
      </c>
      <c r="BB175" s="537">
        <f t="shared" si="191"/>
        <v>0</v>
      </c>
      <c r="BC175" s="537">
        <f t="shared" si="191"/>
        <v>0</v>
      </c>
      <c r="BD175" s="304"/>
      <c r="BE175" s="304"/>
    </row>
    <row r="176" ht="31" customHeight="1" spans="1:57">
      <c r="A176" s="528" t="s">
        <v>590</v>
      </c>
      <c r="B176" s="528" t="s">
        <v>203</v>
      </c>
      <c r="C176" s="528" t="s">
        <v>591</v>
      </c>
      <c r="D176" s="542" t="s">
        <v>592</v>
      </c>
      <c r="E176" s="529">
        <f t="shared" si="187"/>
        <v>78.33</v>
      </c>
      <c r="F176" s="530"/>
      <c r="G176" s="530"/>
      <c r="H176" s="530"/>
      <c r="I176" s="530"/>
      <c r="J176" s="530"/>
      <c r="K176" s="530">
        <v>31.36</v>
      </c>
      <c r="L176" s="530"/>
      <c r="M176" s="530"/>
      <c r="N176" s="530"/>
      <c r="O176" s="530">
        <v>46.97</v>
      </c>
      <c r="P176" s="530"/>
      <c r="Q176" s="530"/>
      <c r="R176" s="530"/>
      <c r="S176" s="530"/>
      <c r="T176" s="530"/>
      <c r="U176" s="530"/>
      <c r="V176" s="529">
        <f t="shared" si="189"/>
        <v>9.44</v>
      </c>
      <c r="W176" s="530"/>
      <c r="X176" s="530"/>
      <c r="Y176" s="530"/>
      <c r="Z176" s="530"/>
      <c r="AA176" s="530"/>
      <c r="AB176" s="530">
        <v>6.64</v>
      </c>
      <c r="AC176" s="530"/>
      <c r="AD176" s="530"/>
      <c r="AE176" s="530"/>
      <c r="AF176" s="530">
        <v>2.8</v>
      </c>
      <c r="AG176" s="530"/>
      <c r="AH176" s="530"/>
      <c r="AI176" s="530"/>
      <c r="AJ176" s="530"/>
      <c r="AK176" s="530"/>
      <c r="AL176" s="530"/>
      <c r="AM176" s="529">
        <f t="shared" si="190"/>
        <v>87.77</v>
      </c>
      <c r="AN176" s="537">
        <f t="shared" ref="AN176:BC176" si="192">F176+W176</f>
        <v>0</v>
      </c>
      <c r="AO176" s="537">
        <f t="shared" si="192"/>
        <v>0</v>
      </c>
      <c r="AP176" s="537">
        <f t="shared" si="192"/>
        <v>0</v>
      </c>
      <c r="AQ176" s="537">
        <f t="shared" si="192"/>
        <v>0</v>
      </c>
      <c r="AR176" s="537">
        <f t="shared" si="192"/>
        <v>0</v>
      </c>
      <c r="AS176" s="537">
        <f t="shared" si="192"/>
        <v>38</v>
      </c>
      <c r="AT176" s="537">
        <f t="shared" si="192"/>
        <v>0</v>
      </c>
      <c r="AU176" s="537">
        <f t="shared" si="192"/>
        <v>0</v>
      </c>
      <c r="AV176" s="537">
        <f t="shared" si="192"/>
        <v>0</v>
      </c>
      <c r="AW176" s="537">
        <f t="shared" si="192"/>
        <v>49.77</v>
      </c>
      <c r="AX176" s="537">
        <f t="shared" si="192"/>
        <v>0</v>
      </c>
      <c r="AY176" s="537">
        <f t="shared" si="192"/>
        <v>0</v>
      </c>
      <c r="AZ176" s="537">
        <f t="shared" si="192"/>
        <v>0</v>
      </c>
      <c r="BA176" s="537">
        <f t="shared" si="192"/>
        <v>0</v>
      </c>
      <c r="BB176" s="537">
        <f t="shared" si="192"/>
        <v>0</v>
      </c>
      <c r="BC176" s="537">
        <f t="shared" si="192"/>
        <v>0</v>
      </c>
      <c r="BD176" s="374"/>
      <c r="BE176" s="374"/>
    </row>
    <row r="177" ht="50" customHeight="1" spans="1:57">
      <c r="A177" s="528" t="s">
        <v>590</v>
      </c>
      <c r="B177" s="528" t="s">
        <v>206</v>
      </c>
      <c r="C177" s="528" t="s">
        <v>597</v>
      </c>
      <c r="D177" s="542" t="s">
        <v>598</v>
      </c>
      <c r="E177" s="529">
        <f t="shared" si="187"/>
        <v>3.6</v>
      </c>
      <c r="F177" s="530"/>
      <c r="G177" s="530"/>
      <c r="H177" s="530"/>
      <c r="I177" s="530"/>
      <c r="J177" s="530"/>
      <c r="K177" s="530">
        <v>3.6</v>
      </c>
      <c r="L177" s="530"/>
      <c r="M177" s="530"/>
      <c r="N177" s="530"/>
      <c r="O177" s="530"/>
      <c r="P177" s="530"/>
      <c r="Q177" s="530"/>
      <c r="R177" s="530"/>
      <c r="S177" s="530"/>
      <c r="T177" s="530"/>
      <c r="U177" s="530"/>
      <c r="V177" s="529">
        <f t="shared" si="189"/>
        <v>-3.6</v>
      </c>
      <c r="W177" s="530"/>
      <c r="X177" s="530"/>
      <c r="Y177" s="530"/>
      <c r="Z177" s="530"/>
      <c r="AA177" s="530"/>
      <c r="AB177" s="530">
        <v>-3.6</v>
      </c>
      <c r="AC177" s="530"/>
      <c r="AD177" s="530"/>
      <c r="AE177" s="530"/>
      <c r="AF177" s="530"/>
      <c r="AG177" s="530"/>
      <c r="AH177" s="530"/>
      <c r="AI177" s="530"/>
      <c r="AJ177" s="530"/>
      <c r="AK177" s="530"/>
      <c r="AL177" s="530"/>
      <c r="AM177" s="529">
        <f t="shared" si="190"/>
        <v>0</v>
      </c>
      <c r="AN177" s="537">
        <f t="shared" ref="AN177:BC177" si="193">F177+W177</f>
        <v>0</v>
      </c>
      <c r="AO177" s="537">
        <f t="shared" si="193"/>
        <v>0</v>
      </c>
      <c r="AP177" s="537">
        <f t="shared" si="193"/>
        <v>0</v>
      </c>
      <c r="AQ177" s="537">
        <f t="shared" si="193"/>
        <v>0</v>
      </c>
      <c r="AR177" s="537">
        <f t="shared" si="193"/>
        <v>0</v>
      </c>
      <c r="AS177" s="537">
        <f t="shared" si="193"/>
        <v>0</v>
      </c>
      <c r="AT177" s="537">
        <f t="shared" si="193"/>
        <v>0</v>
      </c>
      <c r="AU177" s="537">
        <f t="shared" si="193"/>
        <v>0</v>
      </c>
      <c r="AV177" s="537">
        <f t="shared" si="193"/>
        <v>0</v>
      </c>
      <c r="AW177" s="537">
        <f t="shared" si="193"/>
        <v>0</v>
      </c>
      <c r="AX177" s="537">
        <f t="shared" si="193"/>
        <v>0</v>
      </c>
      <c r="AY177" s="537">
        <f t="shared" si="193"/>
        <v>0</v>
      </c>
      <c r="AZ177" s="537">
        <f t="shared" si="193"/>
        <v>0</v>
      </c>
      <c r="BA177" s="537">
        <f t="shared" si="193"/>
        <v>0</v>
      </c>
      <c r="BB177" s="537">
        <f t="shared" si="193"/>
        <v>0</v>
      </c>
      <c r="BC177" s="537">
        <f t="shared" si="193"/>
        <v>0</v>
      </c>
      <c r="BD177" s="374"/>
      <c r="BE177" s="374"/>
    </row>
    <row r="178" ht="24" spans="1:57">
      <c r="A178" s="528" t="s">
        <v>590</v>
      </c>
      <c r="B178" s="528" t="s">
        <v>203</v>
      </c>
      <c r="C178" s="528" t="s">
        <v>594</v>
      </c>
      <c r="D178" s="542" t="s">
        <v>592</v>
      </c>
      <c r="E178" s="529">
        <f t="shared" si="187"/>
        <v>3.24</v>
      </c>
      <c r="F178" s="530"/>
      <c r="G178" s="530"/>
      <c r="H178" s="530"/>
      <c r="I178" s="530"/>
      <c r="J178" s="530"/>
      <c r="K178" s="530">
        <v>3.24</v>
      </c>
      <c r="L178" s="530"/>
      <c r="M178" s="530"/>
      <c r="N178" s="530"/>
      <c r="O178" s="530"/>
      <c r="P178" s="530"/>
      <c r="Q178" s="530"/>
      <c r="R178" s="530"/>
      <c r="S178" s="530"/>
      <c r="T178" s="530"/>
      <c r="U178" s="530"/>
      <c r="V178" s="529">
        <f t="shared" si="189"/>
        <v>1.26</v>
      </c>
      <c r="W178" s="530"/>
      <c r="X178" s="530"/>
      <c r="Y178" s="530"/>
      <c r="Z178" s="530"/>
      <c r="AA178" s="530"/>
      <c r="AB178" s="530">
        <v>1.26</v>
      </c>
      <c r="AC178" s="530"/>
      <c r="AD178" s="530"/>
      <c r="AE178" s="530"/>
      <c r="AF178" s="530"/>
      <c r="AG178" s="530"/>
      <c r="AH178" s="530"/>
      <c r="AI178" s="530"/>
      <c r="AJ178" s="530"/>
      <c r="AK178" s="530"/>
      <c r="AL178" s="530"/>
      <c r="AM178" s="529">
        <f t="shared" si="190"/>
        <v>4.5</v>
      </c>
      <c r="AN178" s="537">
        <f t="shared" ref="AN178:BC178" si="194">F178+W178</f>
        <v>0</v>
      </c>
      <c r="AO178" s="537">
        <f t="shared" si="194"/>
        <v>0</v>
      </c>
      <c r="AP178" s="537">
        <f t="shared" si="194"/>
        <v>0</v>
      </c>
      <c r="AQ178" s="537">
        <f t="shared" si="194"/>
        <v>0</v>
      </c>
      <c r="AR178" s="537">
        <f t="shared" si="194"/>
        <v>0</v>
      </c>
      <c r="AS178" s="537">
        <f t="shared" si="194"/>
        <v>4.5</v>
      </c>
      <c r="AT178" s="537">
        <f t="shared" si="194"/>
        <v>0</v>
      </c>
      <c r="AU178" s="537">
        <f t="shared" si="194"/>
        <v>0</v>
      </c>
      <c r="AV178" s="537">
        <f t="shared" si="194"/>
        <v>0</v>
      </c>
      <c r="AW178" s="537">
        <f t="shared" si="194"/>
        <v>0</v>
      </c>
      <c r="AX178" s="537">
        <f t="shared" si="194"/>
        <v>0</v>
      </c>
      <c r="AY178" s="537">
        <f t="shared" si="194"/>
        <v>0</v>
      </c>
      <c r="AZ178" s="537">
        <f t="shared" si="194"/>
        <v>0</v>
      </c>
      <c r="BA178" s="537">
        <f t="shared" si="194"/>
        <v>0</v>
      </c>
      <c r="BB178" s="537">
        <f t="shared" si="194"/>
        <v>0</v>
      </c>
      <c r="BC178" s="537">
        <f t="shared" si="194"/>
        <v>0</v>
      </c>
      <c r="BD178" s="374"/>
      <c r="BE178" s="374"/>
    </row>
    <row r="179" ht="28" customHeight="1" spans="1:57">
      <c r="A179" s="528" t="s">
        <v>590</v>
      </c>
      <c r="B179" s="528" t="s">
        <v>206</v>
      </c>
      <c r="C179" s="528" t="s">
        <v>595</v>
      </c>
      <c r="D179" s="542" t="s">
        <v>598</v>
      </c>
      <c r="E179" s="529">
        <f t="shared" si="187"/>
        <v>0</v>
      </c>
      <c r="F179" s="530"/>
      <c r="G179" s="530"/>
      <c r="H179" s="530"/>
      <c r="I179" s="530"/>
      <c r="J179" s="530"/>
      <c r="K179" s="530"/>
      <c r="L179" s="530"/>
      <c r="M179" s="530"/>
      <c r="N179" s="530"/>
      <c r="O179" s="530"/>
      <c r="P179" s="530"/>
      <c r="Q179" s="530"/>
      <c r="R179" s="530"/>
      <c r="S179" s="530"/>
      <c r="T179" s="530"/>
      <c r="U179" s="530"/>
      <c r="V179" s="529">
        <f t="shared" si="189"/>
        <v>10.68</v>
      </c>
      <c r="W179" s="530"/>
      <c r="X179" s="530"/>
      <c r="Y179" s="530"/>
      <c r="Z179" s="530"/>
      <c r="AA179" s="530"/>
      <c r="AB179" s="530"/>
      <c r="AC179" s="530"/>
      <c r="AD179" s="530"/>
      <c r="AE179" s="530"/>
      <c r="AF179" s="530"/>
      <c r="AG179" s="530"/>
      <c r="AH179" s="530"/>
      <c r="AI179" s="530"/>
      <c r="AJ179" s="530"/>
      <c r="AK179" s="530"/>
      <c r="AL179" s="530">
        <v>10.68</v>
      </c>
      <c r="AM179" s="529">
        <f t="shared" si="190"/>
        <v>10.68</v>
      </c>
      <c r="AN179" s="537">
        <f t="shared" ref="AN179:BC179" si="195">F179+W179</f>
        <v>0</v>
      </c>
      <c r="AO179" s="537">
        <f t="shared" si="195"/>
        <v>0</v>
      </c>
      <c r="AP179" s="537">
        <f t="shared" si="195"/>
        <v>0</v>
      </c>
      <c r="AQ179" s="537">
        <f t="shared" si="195"/>
        <v>0</v>
      </c>
      <c r="AR179" s="537">
        <f t="shared" si="195"/>
        <v>0</v>
      </c>
      <c r="AS179" s="537">
        <f t="shared" si="195"/>
        <v>0</v>
      </c>
      <c r="AT179" s="537">
        <f t="shared" si="195"/>
        <v>0</v>
      </c>
      <c r="AU179" s="537">
        <f t="shared" si="195"/>
        <v>0</v>
      </c>
      <c r="AV179" s="537">
        <f t="shared" si="195"/>
        <v>0</v>
      </c>
      <c r="AW179" s="537">
        <f t="shared" si="195"/>
        <v>0</v>
      </c>
      <c r="AX179" s="537">
        <f t="shared" si="195"/>
        <v>0</v>
      </c>
      <c r="AY179" s="537">
        <f t="shared" si="195"/>
        <v>0</v>
      </c>
      <c r="AZ179" s="537">
        <f t="shared" si="195"/>
        <v>0</v>
      </c>
      <c r="BA179" s="537">
        <f t="shared" si="195"/>
        <v>0</v>
      </c>
      <c r="BB179" s="537">
        <f t="shared" si="195"/>
        <v>0</v>
      </c>
      <c r="BC179" s="537">
        <f t="shared" si="195"/>
        <v>10.68</v>
      </c>
      <c r="BD179" s="374" t="s">
        <v>807</v>
      </c>
      <c r="BE179" s="374" t="s">
        <v>807</v>
      </c>
    </row>
    <row r="180" ht="24" spans="1:57">
      <c r="A180" s="528" t="s">
        <v>584</v>
      </c>
      <c r="B180" s="528" t="s">
        <v>483</v>
      </c>
      <c r="C180" s="528" t="s">
        <v>603</v>
      </c>
      <c r="D180" s="542" t="s">
        <v>604</v>
      </c>
      <c r="E180" s="529">
        <f t="shared" ref="E180:E199" si="196">SUM(F180:U180)</f>
        <v>4.32</v>
      </c>
      <c r="F180" s="530"/>
      <c r="G180" s="530"/>
      <c r="H180" s="530"/>
      <c r="I180" s="530"/>
      <c r="J180" s="530"/>
      <c r="K180" s="530">
        <v>4.32</v>
      </c>
      <c r="L180" s="530"/>
      <c r="M180" s="530"/>
      <c r="N180" s="530"/>
      <c r="O180" s="530"/>
      <c r="P180" s="530"/>
      <c r="Q180" s="530"/>
      <c r="R180" s="530"/>
      <c r="S180" s="530"/>
      <c r="T180" s="530"/>
      <c r="U180" s="530"/>
      <c r="V180" s="529">
        <f t="shared" ref="V180:V210" si="197">SUM(W180:AL180)</f>
        <v>1.21</v>
      </c>
      <c r="W180" s="530"/>
      <c r="X180" s="530"/>
      <c r="Y180" s="530"/>
      <c r="Z180" s="530"/>
      <c r="AA180" s="530"/>
      <c r="AB180" s="530">
        <v>1.21</v>
      </c>
      <c r="AC180" s="530"/>
      <c r="AD180" s="530"/>
      <c r="AE180" s="530"/>
      <c r="AF180" s="530"/>
      <c r="AG180" s="530"/>
      <c r="AH180" s="530"/>
      <c r="AI180" s="530"/>
      <c r="AJ180" s="530"/>
      <c r="AK180" s="530"/>
      <c r="AL180" s="530"/>
      <c r="AM180" s="529">
        <f t="shared" ref="AM180:AM210" si="198">SUM(AN180:BC180)</f>
        <v>5.53</v>
      </c>
      <c r="AN180" s="537">
        <f t="shared" ref="AN180:AN210" si="199">F180+W180</f>
        <v>0</v>
      </c>
      <c r="AO180" s="537">
        <f t="shared" ref="AO180:AO210" si="200">G180+X180</f>
        <v>0</v>
      </c>
      <c r="AP180" s="537">
        <f t="shared" ref="AP180:AP210" si="201">H180+Y180</f>
        <v>0</v>
      </c>
      <c r="AQ180" s="537">
        <f t="shared" ref="AQ180:AQ210" si="202">I180+Z180</f>
        <v>0</v>
      </c>
      <c r="AR180" s="537">
        <f t="shared" ref="AR180:AR210" si="203">J180+AA180</f>
        <v>0</v>
      </c>
      <c r="AS180" s="537">
        <f t="shared" ref="AS180:AS211" si="204">K180+AB180</f>
        <v>5.53</v>
      </c>
      <c r="AT180" s="537">
        <f t="shared" ref="AT180:AT210" si="205">L180+AC180</f>
        <v>0</v>
      </c>
      <c r="AU180" s="537">
        <f t="shared" ref="AU180:AU210" si="206">M180+AD180</f>
        <v>0</v>
      </c>
      <c r="AV180" s="537">
        <f t="shared" ref="AV180:AV210" si="207">N180+AE180</f>
        <v>0</v>
      </c>
      <c r="AW180" s="537">
        <f t="shared" ref="AW180:AW210" si="208">O180+AF180</f>
        <v>0</v>
      </c>
      <c r="AX180" s="537">
        <f t="shared" ref="AX180:AX210" si="209">P180+AG180</f>
        <v>0</v>
      </c>
      <c r="AY180" s="537">
        <f t="shared" ref="AY180:AY210" si="210">Q180+AH180</f>
        <v>0</v>
      </c>
      <c r="AZ180" s="537">
        <f t="shared" ref="AZ180:AZ210" si="211">R180+AI180</f>
        <v>0</v>
      </c>
      <c r="BA180" s="537">
        <f t="shared" ref="BA180:BA210" si="212">S180+AJ180</f>
        <v>0</v>
      </c>
      <c r="BB180" s="537">
        <f t="shared" ref="BB180:BB210" si="213">T180+AK180</f>
        <v>0</v>
      </c>
      <c r="BC180" s="537">
        <f t="shared" ref="BC180:BC210" si="214">U180+AL180</f>
        <v>0</v>
      </c>
      <c r="BD180" s="374"/>
      <c r="BE180" s="374"/>
    </row>
    <row r="181" ht="24" spans="1:57">
      <c r="A181" s="528" t="s">
        <v>584</v>
      </c>
      <c r="B181" s="528" t="s">
        <v>203</v>
      </c>
      <c r="C181" s="528" t="s">
        <v>599</v>
      </c>
      <c r="D181" s="542" t="s">
        <v>600</v>
      </c>
      <c r="E181" s="529">
        <f t="shared" si="196"/>
        <v>31.124</v>
      </c>
      <c r="F181" s="530"/>
      <c r="G181" s="530"/>
      <c r="H181" s="530"/>
      <c r="I181" s="530"/>
      <c r="J181" s="530"/>
      <c r="K181" s="530">
        <v>12.08</v>
      </c>
      <c r="L181" s="530"/>
      <c r="M181" s="530"/>
      <c r="N181" s="530"/>
      <c r="O181" s="530">
        <v>19.044</v>
      </c>
      <c r="P181" s="530"/>
      <c r="Q181" s="530"/>
      <c r="R181" s="530"/>
      <c r="S181" s="530"/>
      <c r="T181" s="530"/>
      <c r="U181" s="530"/>
      <c r="V181" s="529">
        <f t="shared" si="197"/>
        <v>4.07</v>
      </c>
      <c r="W181" s="530"/>
      <c r="X181" s="530"/>
      <c r="Y181" s="530"/>
      <c r="Z181" s="530"/>
      <c r="AA181" s="530"/>
      <c r="AB181" s="530">
        <v>4.07</v>
      </c>
      <c r="AC181" s="530"/>
      <c r="AD181" s="530"/>
      <c r="AE181" s="530"/>
      <c r="AF181" s="530"/>
      <c r="AG181" s="530"/>
      <c r="AH181" s="530"/>
      <c r="AI181" s="530"/>
      <c r="AJ181" s="530"/>
      <c r="AK181" s="530"/>
      <c r="AL181" s="530"/>
      <c r="AM181" s="529">
        <f t="shared" si="198"/>
        <v>35.194</v>
      </c>
      <c r="AN181" s="537">
        <f t="shared" si="199"/>
        <v>0</v>
      </c>
      <c r="AO181" s="537">
        <f t="shared" si="200"/>
        <v>0</v>
      </c>
      <c r="AP181" s="537">
        <f t="shared" si="201"/>
        <v>0</v>
      </c>
      <c r="AQ181" s="537">
        <f t="shared" si="202"/>
        <v>0</v>
      </c>
      <c r="AR181" s="537">
        <f t="shared" si="203"/>
        <v>0</v>
      </c>
      <c r="AS181" s="537">
        <f t="shared" si="204"/>
        <v>16.15</v>
      </c>
      <c r="AT181" s="537">
        <f t="shared" si="205"/>
        <v>0</v>
      </c>
      <c r="AU181" s="537">
        <f t="shared" si="206"/>
        <v>0</v>
      </c>
      <c r="AV181" s="537">
        <f t="shared" si="207"/>
        <v>0</v>
      </c>
      <c r="AW181" s="537">
        <f t="shared" si="208"/>
        <v>19.044</v>
      </c>
      <c r="AX181" s="537">
        <f t="shared" si="209"/>
        <v>0</v>
      </c>
      <c r="AY181" s="537">
        <f t="shared" si="210"/>
        <v>0</v>
      </c>
      <c r="AZ181" s="537">
        <f t="shared" si="211"/>
        <v>0</v>
      </c>
      <c r="BA181" s="537">
        <f t="shared" si="212"/>
        <v>0</v>
      </c>
      <c r="BB181" s="537">
        <f t="shared" si="213"/>
        <v>0</v>
      </c>
      <c r="BC181" s="537">
        <f t="shared" si="214"/>
        <v>0</v>
      </c>
      <c r="BD181" s="304"/>
      <c r="BE181" s="304"/>
    </row>
    <row r="182" ht="24" spans="1:57">
      <c r="A182" s="528" t="s">
        <v>584</v>
      </c>
      <c r="B182" s="528" t="s">
        <v>483</v>
      </c>
      <c r="C182" s="528" t="s">
        <v>599</v>
      </c>
      <c r="D182" s="542" t="s">
        <v>604</v>
      </c>
      <c r="E182" s="529">
        <f t="shared" si="196"/>
        <v>137.4</v>
      </c>
      <c r="F182" s="530"/>
      <c r="G182" s="530"/>
      <c r="H182" s="530"/>
      <c r="I182" s="530"/>
      <c r="J182" s="530"/>
      <c r="K182" s="530">
        <v>0</v>
      </c>
      <c r="L182" s="530"/>
      <c r="M182" s="530"/>
      <c r="N182" s="530"/>
      <c r="O182" s="530"/>
      <c r="P182" s="530"/>
      <c r="Q182" s="530"/>
      <c r="R182" s="530"/>
      <c r="S182" s="530">
        <v>137.4</v>
      </c>
      <c r="T182" s="530"/>
      <c r="U182" s="530"/>
      <c r="V182" s="529">
        <f t="shared" si="197"/>
        <v>0.21</v>
      </c>
      <c r="W182" s="530"/>
      <c r="X182" s="530"/>
      <c r="Y182" s="530"/>
      <c r="Z182" s="530"/>
      <c r="AA182" s="530"/>
      <c r="AB182" s="530">
        <v>0.21</v>
      </c>
      <c r="AC182" s="530"/>
      <c r="AD182" s="530"/>
      <c r="AE182" s="530"/>
      <c r="AF182" s="530"/>
      <c r="AG182" s="530"/>
      <c r="AH182" s="530"/>
      <c r="AI182" s="530"/>
      <c r="AJ182" s="530"/>
      <c r="AK182" s="530"/>
      <c r="AL182" s="530"/>
      <c r="AM182" s="529">
        <f t="shared" si="198"/>
        <v>137.61</v>
      </c>
      <c r="AN182" s="537">
        <f t="shared" si="199"/>
        <v>0</v>
      </c>
      <c r="AO182" s="537">
        <f t="shared" si="200"/>
        <v>0</v>
      </c>
      <c r="AP182" s="537">
        <f t="shared" si="201"/>
        <v>0</v>
      </c>
      <c r="AQ182" s="537">
        <f t="shared" si="202"/>
        <v>0</v>
      </c>
      <c r="AR182" s="537">
        <f t="shared" si="203"/>
        <v>0</v>
      </c>
      <c r="AS182" s="537">
        <f t="shared" si="204"/>
        <v>0.21</v>
      </c>
      <c r="AT182" s="537">
        <f t="shared" si="205"/>
        <v>0</v>
      </c>
      <c r="AU182" s="537">
        <f t="shared" si="206"/>
        <v>0</v>
      </c>
      <c r="AV182" s="537">
        <f t="shared" si="207"/>
        <v>0</v>
      </c>
      <c r="AW182" s="537">
        <f t="shared" si="208"/>
        <v>0</v>
      </c>
      <c r="AX182" s="537">
        <f t="shared" si="209"/>
        <v>0</v>
      </c>
      <c r="AY182" s="537">
        <f t="shared" si="210"/>
        <v>0</v>
      </c>
      <c r="AZ182" s="537">
        <f t="shared" si="211"/>
        <v>0</v>
      </c>
      <c r="BA182" s="537">
        <f t="shared" si="212"/>
        <v>137.4</v>
      </c>
      <c r="BB182" s="537">
        <f t="shared" si="213"/>
        <v>0</v>
      </c>
      <c r="BC182" s="537">
        <f t="shared" si="214"/>
        <v>0</v>
      </c>
      <c r="BD182" s="304"/>
      <c r="BE182" s="304" t="s">
        <v>808</v>
      </c>
    </row>
    <row r="183" ht="30" customHeight="1" spans="1:57">
      <c r="A183" s="528" t="s">
        <v>226</v>
      </c>
      <c r="B183" s="528" t="s">
        <v>203</v>
      </c>
      <c r="C183" s="528" t="s">
        <v>227</v>
      </c>
      <c r="D183" s="542" t="s">
        <v>809</v>
      </c>
      <c r="E183" s="529">
        <f t="shared" si="196"/>
        <v>561.577</v>
      </c>
      <c r="F183" s="530"/>
      <c r="G183" s="530"/>
      <c r="H183" s="530"/>
      <c r="I183" s="530"/>
      <c r="J183" s="530"/>
      <c r="K183" s="530"/>
      <c r="L183" s="530"/>
      <c r="M183" s="530"/>
      <c r="N183" s="530"/>
      <c r="O183" s="530"/>
      <c r="P183" s="530"/>
      <c r="Q183" s="530"/>
      <c r="R183" s="530"/>
      <c r="S183" s="530">
        <v>67.807</v>
      </c>
      <c r="T183" s="530">
        <v>493.77</v>
      </c>
      <c r="U183" s="530"/>
      <c r="V183" s="529">
        <f t="shared" si="197"/>
        <v>-12.43</v>
      </c>
      <c r="W183" s="530"/>
      <c r="X183" s="530"/>
      <c r="Y183" s="530"/>
      <c r="Z183" s="530"/>
      <c r="AA183" s="530"/>
      <c r="AB183" s="530"/>
      <c r="AC183" s="530"/>
      <c r="AD183" s="530"/>
      <c r="AE183" s="530"/>
      <c r="AF183" s="530"/>
      <c r="AG183" s="530"/>
      <c r="AH183" s="530"/>
      <c r="AI183" s="530"/>
      <c r="AJ183" s="530"/>
      <c r="AK183" s="530">
        <v>-12.43</v>
      </c>
      <c r="AL183" s="530"/>
      <c r="AM183" s="529">
        <f t="shared" si="198"/>
        <v>549.147</v>
      </c>
      <c r="AN183" s="537">
        <f t="shared" si="199"/>
        <v>0</v>
      </c>
      <c r="AO183" s="537">
        <f t="shared" si="200"/>
        <v>0</v>
      </c>
      <c r="AP183" s="537">
        <f t="shared" si="201"/>
        <v>0</v>
      </c>
      <c r="AQ183" s="537">
        <f t="shared" si="202"/>
        <v>0</v>
      </c>
      <c r="AR183" s="537">
        <f t="shared" si="203"/>
        <v>0</v>
      </c>
      <c r="AS183" s="537">
        <f t="shared" si="204"/>
        <v>0</v>
      </c>
      <c r="AT183" s="537">
        <f t="shared" si="205"/>
        <v>0</v>
      </c>
      <c r="AU183" s="537">
        <f t="shared" si="206"/>
        <v>0</v>
      </c>
      <c r="AV183" s="537">
        <f t="shared" si="207"/>
        <v>0</v>
      </c>
      <c r="AW183" s="537">
        <f t="shared" si="208"/>
        <v>0</v>
      </c>
      <c r="AX183" s="537">
        <f t="shared" si="209"/>
        <v>0</v>
      </c>
      <c r="AY183" s="537">
        <f t="shared" si="210"/>
        <v>0</v>
      </c>
      <c r="AZ183" s="537">
        <f t="shared" si="211"/>
        <v>0</v>
      </c>
      <c r="BA183" s="537">
        <f t="shared" si="212"/>
        <v>67.807</v>
      </c>
      <c r="BB183" s="537">
        <f t="shared" si="213"/>
        <v>481.34</v>
      </c>
      <c r="BC183" s="537">
        <f t="shared" si="214"/>
        <v>0</v>
      </c>
      <c r="BD183" s="374"/>
      <c r="BE183" s="374"/>
    </row>
    <row r="184" ht="30" customHeight="1" spans="1:57">
      <c r="A184" s="528" t="s">
        <v>226</v>
      </c>
      <c r="B184" s="528" t="s">
        <v>203</v>
      </c>
      <c r="C184" s="528" t="s">
        <v>229</v>
      </c>
      <c r="D184" s="542" t="s">
        <v>809</v>
      </c>
      <c r="E184" s="529">
        <f t="shared" si="196"/>
        <v>409.756</v>
      </c>
      <c r="F184" s="530"/>
      <c r="G184" s="530"/>
      <c r="H184" s="530"/>
      <c r="I184" s="530"/>
      <c r="J184" s="530"/>
      <c r="K184" s="530"/>
      <c r="L184" s="530"/>
      <c r="M184" s="530"/>
      <c r="N184" s="530"/>
      <c r="O184" s="530"/>
      <c r="P184" s="530"/>
      <c r="Q184" s="530"/>
      <c r="R184" s="530"/>
      <c r="S184" s="530">
        <v>101.966</v>
      </c>
      <c r="T184" s="530">
        <f>188.34+119.45</f>
        <v>307.79</v>
      </c>
      <c r="U184" s="530"/>
      <c r="V184" s="529">
        <f t="shared" si="197"/>
        <v>-15.42</v>
      </c>
      <c r="W184" s="530"/>
      <c r="X184" s="530"/>
      <c r="Y184" s="530"/>
      <c r="Z184" s="530"/>
      <c r="AA184" s="530"/>
      <c r="AB184" s="530"/>
      <c r="AC184" s="530"/>
      <c r="AD184" s="530"/>
      <c r="AE184" s="530"/>
      <c r="AF184" s="530"/>
      <c r="AG184" s="530"/>
      <c r="AH184" s="530"/>
      <c r="AI184" s="530"/>
      <c r="AJ184" s="530">
        <v>-1.21</v>
      </c>
      <c r="AK184" s="530">
        <v>-14.21</v>
      </c>
      <c r="AL184" s="530"/>
      <c r="AM184" s="529">
        <f t="shared" si="198"/>
        <v>394.336</v>
      </c>
      <c r="AN184" s="537">
        <f t="shared" si="199"/>
        <v>0</v>
      </c>
      <c r="AO184" s="537">
        <f t="shared" si="200"/>
        <v>0</v>
      </c>
      <c r="AP184" s="537">
        <f t="shared" si="201"/>
        <v>0</v>
      </c>
      <c r="AQ184" s="537">
        <f t="shared" si="202"/>
        <v>0</v>
      </c>
      <c r="AR184" s="537">
        <f t="shared" si="203"/>
        <v>0</v>
      </c>
      <c r="AS184" s="537">
        <f t="shared" si="204"/>
        <v>0</v>
      </c>
      <c r="AT184" s="537">
        <f t="shared" si="205"/>
        <v>0</v>
      </c>
      <c r="AU184" s="537">
        <f t="shared" si="206"/>
        <v>0</v>
      </c>
      <c r="AV184" s="537">
        <f t="shared" si="207"/>
        <v>0</v>
      </c>
      <c r="AW184" s="537">
        <f t="shared" si="208"/>
        <v>0</v>
      </c>
      <c r="AX184" s="537">
        <f t="shared" si="209"/>
        <v>0</v>
      </c>
      <c r="AY184" s="537">
        <f t="shared" si="210"/>
        <v>0</v>
      </c>
      <c r="AZ184" s="537">
        <f t="shared" si="211"/>
        <v>0</v>
      </c>
      <c r="BA184" s="537">
        <f t="shared" si="212"/>
        <v>100.756</v>
      </c>
      <c r="BB184" s="537">
        <f t="shared" si="213"/>
        <v>293.58</v>
      </c>
      <c r="BC184" s="537">
        <f t="shared" si="214"/>
        <v>0</v>
      </c>
      <c r="BD184" s="374"/>
      <c r="BE184" s="374" t="s">
        <v>810</v>
      </c>
    </row>
    <row r="185" ht="30" customHeight="1" spans="1:57">
      <c r="A185" s="528" t="s">
        <v>226</v>
      </c>
      <c r="B185" s="528" t="s">
        <v>203</v>
      </c>
      <c r="C185" s="528" t="s">
        <v>231</v>
      </c>
      <c r="D185" s="542" t="s">
        <v>809</v>
      </c>
      <c r="E185" s="529">
        <f t="shared" si="196"/>
        <v>113.97</v>
      </c>
      <c r="F185" s="530"/>
      <c r="G185" s="530"/>
      <c r="H185" s="530"/>
      <c r="I185" s="530"/>
      <c r="J185" s="530"/>
      <c r="K185" s="530"/>
      <c r="L185" s="530"/>
      <c r="M185" s="530"/>
      <c r="N185" s="530"/>
      <c r="O185" s="530"/>
      <c r="P185" s="530"/>
      <c r="Q185" s="530"/>
      <c r="R185" s="530"/>
      <c r="S185" s="530">
        <v>43.23</v>
      </c>
      <c r="T185" s="530">
        <v>70.74</v>
      </c>
      <c r="U185" s="530"/>
      <c r="V185" s="529">
        <f t="shared" si="197"/>
        <v>-1.96</v>
      </c>
      <c r="W185" s="530"/>
      <c r="X185" s="530"/>
      <c r="Y185" s="530"/>
      <c r="Z185" s="530"/>
      <c r="AA185" s="530"/>
      <c r="AB185" s="530"/>
      <c r="AC185" s="530"/>
      <c r="AD185" s="530"/>
      <c r="AE185" s="530"/>
      <c r="AF185" s="530"/>
      <c r="AG185" s="530"/>
      <c r="AH185" s="530"/>
      <c r="AI185" s="530"/>
      <c r="AJ185" s="530">
        <v>-1.96</v>
      </c>
      <c r="AK185" s="530"/>
      <c r="AL185" s="530"/>
      <c r="AM185" s="529">
        <f t="shared" si="198"/>
        <v>112.01</v>
      </c>
      <c r="AN185" s="537">
        <f t="shared" si="199"/>
        <v>0</v>
      </c>
      <c r="AO185" s="537">
        <f t="shared" si="200"/>
        <v>0</v>
      </c>
      <c r="AP185" s="537">
        <f t="shared" si="201"/>
        <v>0</v>
      </c>
      <c r="AQ185" s="537">
        <f t="shared" si="202"/>
        <v>0</v>
      </c>
      <c r="AR185" s="537">
        <f t="shared" si="203"/>
        <v>0</v>
      </c>
      <c r="AS185" s="537">
        <f t="shared" si="204"/>
        <v>0</v>
      </c>
      <c r="AT185" s="537">
        <f t="shared" si="205"/>
        <v>0</v>
      </c>
      <c r="AU185" s="537">
        <f t="shared" si="206"/>
        <v>0</v>
      </c>
      <c r="AV185" s="537">
        <f t="shared" si="207"/>
        <v>0</v>
      </c>
      <c r="AW185" s="537">
        <f t="shared" si="208"/>
        <v>0</v>
      </c>
      <c r="AX185" s="537">
        <f t="shared" si="209"/>
        <v>0</v>
      </c>
      <c r="AY185" s="537">
        <f t="shared" si="210"/>
        <v>0</v>
      </c>
      <c r="AZ185" s="537">
        <f t="shared" si="211"/>
        <v>0</v>
      </c>
      <c r="BA185" s="537">
        <f t="shared" si="212"/>
        <v>41.27</v>
      </c>
      <c r="BB185" s="537">
        <f t="shared" si="213"/>
        <v>70.74</v>
      </c>
      <c r="BC185" s="537">
        <f t="shared" si="214"/>
        <v>0</v>
      </c>
      <c r="BD185" s="374"/>
      <c r="BE185" s="374"/>
    </row>
    <row r="186" ht="30" customHeight="1" spans="1:57">
      <c r="A186" s="528" t="s">
        <v>226</v>
      </c>
      <c r="B186" s="528" t="s">
        <v>203</v>
      </c>
      <c r="C186" s="528" t="s">
        <v>233</v>
      </c>
      <c r="D186" s="542" t="s">
        <v>809</v>
      </c>
      <c r="E186" s="529">
        <f t="shared" si="196"/>
        <v>276.596</v>
      </c>
      <c r="F186" s="530"/>
      <c r="G186" s="530"/>
      <c r="H186" s="530"/>
      <c r="I186" s="530"/>
      <c r="J186" s="530"/>
      <c r="K186" s="530"/>
      <c r="L186" s="530"/>
      <c r="M186" s="530"/>
      <c r="N186" s="530"/>
      <c r="O186" s="530"/>
      <c r="P186" s="530"/>
      <c r="Q186" s="530"/>
      <c r="R186" s="530"/>
      <c r="S186" s="530">
        <v>94.226</v>
      </c>
      <c r="T186" s="530">
        <v>182.37</v>
      </c>
      <c r="U186" s="530"/>
      <c r="V186" s="529">
        <f t="shared" si="197"/>
        <v>-0.98</v>
      </c>
      <c r="W186" s="530"/>
      <c r="X186" s="530"/>
      <c r="Y186" s="530"/>
      <c r="Z186" s="530"/>
      <c r="AA186" s="530"/>
      <c r="AB186" s="530"/>
      <c r="AC186" s="530"/>
      <c r="AD186" s="530"/>
      <c r="AE186" s="530"/>
      <c r="AF186" s="530"/>
      <c r="AG186" s="530"/>
      <c r="AH186" s="530"/>
      <c r="AI186" s="530"/>
      <c r="AJ186" s="530">
        <v>-0.98</v>
      </c>
      <c r="AK186" s="530"/>
      <c r="AL186" s="530"/>
      <c r="AM186" s="529">
        <f t="shared" si="198"/>
        <v>275.616</v>
      </c>
      <c r="AN186" s="537">
        <f t="shared" si="199"/>
        <v>0</v>
      </c>
      <c r="AO186" s="537">
        <f t="shared" si="200"/>
        <v>0</v>
      </c>
      <c r="AP186" s="537">
        <f t="shared" si="201"/>
        <v>0</v>
      </c>
      <c r="AQ186" s="537">
        <f t="shared" si="202"/>
        <v>0</v>
      </c>
      <c r="AR186" s="537">
        <f t="shared" si="203"/>
        <v>0</v>
      </c>
      <c r="AS186" s="537">
        <f t="shared" si="204"/>
        <v>0</v>
      </c>
      <c r="AT186" s="537">
        <f t="shared" si="205"/>
        <v>0</v>
      </c>
      <c r="AU186" s="537">
        <f t="shared" si="206"/>
        <v>0</v>
      </c>
      <c r="AV186" s="537">
        <f t="shared" si="207"/>
        <v>0</v>
      </c>
      <c r="AW186" s="537">
        <f t="shared" si="208"/>
        <v>0</v>
      </c>
      <c r="AX186" s="537">
        <f t="shared" si="209"/>
        <v>0</v>
      </c>
      <c r="AY186" s="537">
        <f t="shared" si="210"/>
        <v>0</v>
      </c>
      <c r="AZ186" s="537">
        <f t="shared" si="211"/>
        <v>0</v>
      </c>
      <c r="BA186" s="537">
        <f t="shared" si="212"/>
        <v>93.246</v>
      </c>
      <c r="BB186" s="537">
        <f t="shared" si="213"/>
        <v>182.37</v>
      </c>
      <c r="BC186" s="537">
        <f t="shared" si="214"/>
        <v>0</v>
      </c>
      <c r="BD186" s="374"/>
      <c r="BE186" s="374"/>
    </row>
    <row r="187" ht="30" customHeight="1" spans="1:57">
      <c r="A187" s="528" t="s">
        <v>226</v>
      </c>
      <c r="B187" s="528" t="s">
        <v>203</v>
      </c>
      <c r="C187" s="528" t="s">
        <v>235</v>
      </c>
      <c r="D187" s="542" t="s">
        <v>809</v>
      </c>
      <c r="E187" s="529">
        <f t="shared" si="196"/>
        <v>190.654</v>
      </c>
      <c r="F187" s="530"/>
      <c r="G187" s="530"/>
      <c r="H187" s="530"/>
      <c r="I187" s="530"/>
      <c r="J187" s="530"/>
      <c r="K187" s="530"/>
      <c r="L187" s="530"/>
      <c r="M187" s="530"/>
      <c r="N187" s="530"/>
      <c r="O187" s="530"/>
      <c r="P187" s="530"/>
      <c r="Q187" s="530"/>
      <c r="R187" s="530"/>
      <c r="S187" s="530">
        <v>70.444</v>
      </c>
      <c r="T187" s="530">
        <v>120.21</v>
      </c>
      <c r="U187" s="530"/>
      <c r="V187" s="529">
        <f t="shared" si="197"/>
        <v>-2.1</v>
      </c>
      <c r="W187" s="530"/>
      <c r="X187" s="530"/>
      <c r="Y187" s="530"/>
      <c r="Z187" s="530"/>
      <c r="AA187" s="530"/>
      <c r="AB187" s="530"/>
      <c r="AC187" s="530"/>
      <c r="AD187" s="530"/>
      <c r="AE187" s="530"/>
      <c r="AF187" s="530"/>
      <c r="AG187" s="530"/>
      <c r="AH187" s="530"/>
      <c r="AI187" s="530"/>
      <c r="AJ187" s="530">
        <v>-2.1</v>
      </c>
      <c r="AK187" s="530"/>
      <c r="AL187" s="530"/>
      <c r="AM187" s="529">
        <f t="shared" si="198"/>
        <v>188.554</v>
      </c>
      <c r="AN187" s="537">
        <f t="shared" si="199"/>
        <v>0</v>
      </c>
      <c r="AO187" s="537">
        <f t="shared" si="200"/>
        <v>0</v>
      </c>
      <c r="AP187" s="537">
        <f t="shared" si="201"/>
        <v>0</v>
      </c>
      <c r="AQ187" s="537">
        <f t="shared" si="202"/>
        <v>0</v>
      </c>
      <c r="AR187" s="537">
        <f t="shared" si="203"/>
        <v>0</v>
      </c>
      <c r="AS187" s="537">
        <f t="shared" si="204"/>
        <v>0</v>
      </c>
      <c r="AT187" s="537">
        <f t="shared" si="205"/>
        <v>0</v>
      </c>
      <c r="AU187" s="537">
        <f t="shared" si="206"/>
        <v>0</v>
      </c>
      <c r="AV187" s="537">
        <f t="shared" si="207"/>
        <v>0</v>
      </c>
      <c r="AW187" s="537">
        <f t="shared" si="208"/>
        <v>0</v>
      </c>
      <c r="AX187" s="537">
        <f t="shared" si="209"/>
        <v>0</v>
      </c>
      <c r="AY187" s="537">
        <f t="shared" si="210"/>
        <v>0</v>
      </c>
      <c r="AZ187" s="537">
        <f t="shared" si="211"/>
        <v>0</v>
      </c>
      <c r="BA187" s="537">
        <f t="shared" si="212"/>
        <v>68.344</v>
      </c>
      <c r="BB187" s="537">
        <f t="shared" si="213"/>
        <v>120.21</v>
      </c>
      <c r="BC187" s="537">
        <f t="shared" si="214"/>
        <v>0</v>
      </c>
      <c r="BD187" s="374"/>
      <c r="BE187" s="374"/>
    </row>
    <row r="188" ht="30" customHeight="1" spans="1:57">
      <c r="A188" s="528" t="s">
        <v>226</v>
      </c>
      <c r="B188" s="528" t="s">
        <v>203</v>
      </c>
      <c r="C188" s="528" t="s">
        <v>237</v>
      </c>
      <c r="D188" s="542" t="s">
        <v>809</v>
      </c>
      <c r="E188" s="529">
        <f t="shared" si="196"/>
        <v>93.574</v>
      </c>
      <c r="F188" s="530"/>
      <c r="G188" s="530"/>
      <c r="H188" s="530"/>
      <c r="I188" s="530"/>
      <c r="J188" s="530"/>
      <c r="K188" s="530"/>
      <c r="L188" s="530"/>
      <c r="M188" s="530"/>
      <c r="N188" s="530"/>
      <c r="O188" s="530"/>
      <c r="P188" s="530"/>
      <c r="Q188" s="530"/>
      <c r="R188" s="530"/>
      <c r="S188" s="530">
        <v>32.614</v>
      </c>
      <c r="T188" s="530">
        <v>60.96</v>
      </c>
      <c r="U188" s="530"/>
      <c r="V188" s="529">
        <f t="shared" si="197"/>
        <v>-2.15</v>
      </c>
      <c r="W188" s="530"/>
      <c r="X188" s="530"/>
      <c r="Y188" s="530"/>
      <c r="Z188" s="530"/>
      <c r="AA188" s="530"/>
      <c r="AB188" s="530"/>
      <c r="AC188" s="530"/>
      <c r="AD188" s="530"/>
      <c r="AE188" s="530"/>
      <c r="AF188" s="530"/>
      <c r="AG188" s="530"/>
      <c r="AH188" s="530"/>
      <c r="AI188" s="530"/>
      <c r="AJ188" s="530">
        <v>-2.15</v>
      </c>
      <c r="AK188" s="530"/>
      <c r="AL188" s="530"/>
      <c r="AM188" s="529">
        <f t="shared" si="198"/>
        <v>91.424</v>
      </c>
      <c r="AN188" s="537">
        <f t="shared" si="199"/>
        <v>0</v>
      </c>
      <c r="AO188" s="537">
        <f t="shared" si="200"/>
        <v>0</v>
      </c>
      <c r="AP188" s="537">
        <f t="shared" si="201"/>
        <v>0</v>
      </c>
      <c r="AQ188" s="537">
        <f t="shared" si="202"/>
        <v>0</v>
      </c>
      <c r="AR188" s="537">
        <f t="shared" si="203"/>
        <v>0</v>
      </c>
      <c r="AS188" s="537">
        <f t="shared" si="204"/>
        <v>0</v>
      </c>
      <c r="AT188" s="537">
        <f t="shared" si="205"/>
        <v>0</v>
      </c>
      <c r="AU188" s="537">
        <f t="shared" si="206"/>
        <v>0</v>
      </c>
      <c r="AV188" s="537">
        <f t="shared" si="207"/>
        <v>0</v>
      </c>
      <c r="AW188" s="537">
        <f t="shared" si="208"/>
        <v>0</v>
      </c>
      <c r="AX188" s="537">
        <f t="shared" si="209"/>
        <v>0</v>
      </c>
      <c r="AY188" s="537">
        <f t="shared" si="210"/>
        <v>0</v>
      </c>
      <c r="AZ188" s="537">
        <f t="shared" si="211"/>
        <v>0</v>
      </c>
      <c r="BA188" s="537">
        <f t="shared" si="212"/>
        <v>30.464</v>
      </c>
      <c r="BB188" s="537">
        <f t="shared" si="213"/>
        <v>60.96</v>
      </c>
      <c r="BC188" s="537">
        <f t="shared" si="214"/>
        <v>0</v>
      </c>
      <c r="BD188" s="374"/>
      <c r="BE188" s="374"/>
    </row>
    <row r="189" ht="30" customHeight="1" spans="1:57">
      <c r="A189" s="528" t="s">
        <v>226</v>
      </c>
      <c r="B189" s="528" t="s">
        <v>203</v>
      </c>
      <c r="C189" s="528" t="s">
        <v>239</v>
      </c>
      <c r="D189" s="542" t="s">
        <v>809</v>
      </c>
      <c r="E189" s="529">
        <f t="shared" si="196"/>
        <v>131.732</v>
      </c>
      <c r="F189" s="530"/>
      <c r="G189" s="530"/>
      <c r="H189" s="530"/>
      <c r="I189" s="530"/>
      <c r="J189" s="530"/>
      <c r="K189" s="530"/>
      <c r="L189" s="530"/>
      <c r="M189" s="530"/>
      <c r="N189" s="530"/>
      <c r="O189" s="530"/>
      <c r="P189" s="530"/>
      <c r="Q189" s="530"/>
      <c r="R189" s="530"/>
      <c r="S189" s="530">
        <v>42.752</v>
      </c>
      <c r="T189" s="530">
        <v>88.98</v>
      </c>
      <c r="U189" s="530"/>
      <c r="V189" s="529">
        <f t="shared" si="197"/>
        <v>-1.89</v>
      </c>
      <c r="W189" s="530"/>
      <c r="X189" s="530"/>
      <c r="Y189" s="530"/>
      <c r="Z189" s="530"/>
      <c r="AA189" s="530"/>
      <c r="AB189" s="530"/>
      <c r="AC189" s="530"/>
      <c r="AD189" s="530"/>
      <c r="AE189" s="530"/>
      <c r="AF189" s="530"/>
      <c r="AG189" s="530"/>
      <c r="AH189" s="530"/>
      <c r="AI189" s="530"/>
      <c r="AJ189" s="530">
        <v>-1.89</v>
      </c>
      <c r="AK189" s="530"/>
      <c r="AL189" s="530"/>
      <c r="AM189" s="529">
        <f t="shared" si="198"/>
        <v>129.842</v>
      </c>
      <c r="AN189" s="537">
        <f t="shared" si="199"/>
        <v>0</v>
      </c>
      <c r="AO189" s="537">
        <f t="shared" si="200"/>
        <v>0</v>
      </c>
      <c r="AP189" s="537">
        <f t="shared" si="201"/>
        <v>0</v>
      </c>
      <c r="AQ189" s="537">
        <f t="shared" si="202"/>
        <v>0</v>
      </c>
      <c r="AR189" s="537">
        <f t="shared" si="203"/>
        <v>0</v>
      </c>
      <c r="AS189" s="537">
        <f t="shared" si="204"/>
        <v>0</v>
      </c>
      <c r="AT189" s="537">
        <f t="shared" si="205"/>
        <v>0</v>
      </c>
      <c r="AU189" s="537">
        <f t="shared" si="206"/>
        <v>0</v>
      </c>
      <c r="AV189" s="537">
        <f t="shared" si="207"/>
        <v>0</v>
      </c>
      <c r="AW189" s="537">
        <f t="shared" si="208"/>
        <v>0</v>
      </c>
      <c r="AX189" s="537">
        <f t="shared" si="209"/>
        <v>0</v>
      </c>
      <c r="AY189" s="537">
        <f t="shared" si="210"/>
        <v>0</v>
      </c>
      <c r="AZ189" s="537">
        <f t="shared" si="211"/>
        <v>0</v>
      </c>
      <c r="BA189" s="537">
        <f t="shared" si="212"/>
        <v>40.862</v>
      </c>
      <c r="BB189" s="537">
        <f t="shared" si="213"/>
        <v>88.98</v>
      </c>
      <c r="BC189" s="537">
        <f t="shared" si="214"/>
        <v>0</v>
      </c>
      <c r="BD189" s="374"/>
      <c r="BE189" s="374"/>
    </row>
    <row r="190" ht="30" customHeight="1" spans="1:57">
      <c r="A190" s="528" t="s">
        <v>226</v>
      </c>
      <c r="B190" s="528" t="s">
        <v>203</v>
      </c>
      <c r="C190" s="528" t="s">
        <v>241</v>
      </c>
      <c r="D190" s="542" t="s">
        <v>809</v>
      </c>
      <c r="E190" s="529">
        <f t="shared" si="196"/>
        <v>111.917</v>
      </c>
      <c r="F190" s="530"/>
      <c r="G190" s="530"/>
      <c r="H190" s="530"/>
      <c r="I190" s="530"/>
      <c r="J190" s="530"/>
      <c r="K190" s="530"/>
      <c r="L190" s="530"/>
      <c r="M190" s="530"/>
      <c r="N190" s="530"/>
      <c r="O190" s="530"/>
      <c r="P190" s="530"/>
      <c r="Q190" s="530"/>
      <c r="R190" s="530"/>
      <c r="S190" s="530">
        <v>41.447</v>
      </c>
      <c r="T190" s="530">
        <v>70.47</v>
      </c>
      <c r="U190" s="530"/>
      <c r="V190" s="529">
        <f t="shared" si="197"/>
        <v>-0.6</v>
      </c>
      <c r="W190" s="530"/>
      <c r="X190" s="530"/>
      <c r="Y190" s="530"/>
      <c r="Z190" s="530"/>
      <c r="AA190" s="530"/>
      <c r="AB190" s="530"/>
      <c r="AC190" s="530"/>
      <c r="AD190" s="530"/>
      <c r="AE190" s="530"/>
      <c r="AF190" s="530"/>
      <c r="AG190" s="530"/>
      <c r="AH190" s="530"/>
      <c r="AI190" s="530"/>
      <c r="AJ190" s="530">
        <v>-0.6</v>
      </c>
      <c r="AK190" s="530"/>
      <c r="AL190" s="530"/>
      <c r="AM190" s="529">
        <f t="shared" si="198"/>
        <v>111.317</v>
      </c>
      <c r="AN190" s="537">
        <f t="shared" si="199"/>
        <v>0</v>
      </c>
      <c r="AO190" s="537">
        <f t="shared" si="200"/>
        <v>0</v>
      </c>
      <c r="AP190" s="537">
        <f t="shared" si="201"/>
        <v>0</v>
      </c>
      <c r="AQ190" s="537">
        <f t="shared" si="202"/>
        <v>0</v>
      </c>
      <c r="AR190" s="537">
        <f t="shared" si="203"/>
        <v>0</v>
      </c>
      <c r="AS190" s="537">
        <f t="shared" si="204"/>
        <v>0</v>
      </c>
      <c r="AT190" s="537">
        <f t="shared" si="205"/>
        <v>0</v>
      </c>
      <c r="AU190" s="537">
        <f t="shared" si="206"/>
        <v>0</v>
      </c>
      <c r="AV190" s="537">
        <f t="shared" si="207"/>
        <v>0</v>
      </c>
      <c r="AW190" s="537">
        <f t="shared" si="208"/>
        <v>0</v>
      </c>
      <c r="AX190" s="537">
        <f t="shared" si="209"/>
        <v>0</v>
      </c>
      <c r="AY190" s="537">
        <f t="shared" si="210"/>
        <v>0</v>
      </c>
      <c r="AZ190" s="537">
        <f t="shared" si="211"/>
        <v>0</v>
      </c>
      <c r="BA190" s="537">
        <f t="shared" si="212"/>
        <v>40.847</v>
      </c>
      <c r="BB190" s="537">
        <f t="shared" si="213"/>
        <v>70.47</v>
      </c>
      <c r="BC190" s="537">
        <f t="shared" si="214"/>
        <v>0</v>
      </c>
      <c r="BD190" s="374"/>
      <c r="BE190" s="374"/>
    </row>
    <row r="191" ht="30" customHeight="1" spans="1:57">
      <c r="A191" s="528" t="s">
        <v>226</v>
      </c>
      <c r="B191" s="528" t="s">
        <v>203</v>
      </c>
      <c r="C191" s="528" t="s">
        <v>243</v>
      </c>
      <c r="D191" s="542" t="s">
        <v>809</v>
      </c>
      <c r="E191" s="529">
        <f t="shared" si="196"/>
        <v>317.833</v>
      </c>
      <c r="F191" s="530"/>
      <c r="G191" s="530"/>
      <c r="H191" s="530"/>
      <c r="I191" s="530"/>
      <c r="J191" s="530"/>
      <c r="K191" s="530"/>
      <c r="L191" s="530"/>
      <c r="M191" s="530"/>
      <c r="N191" s="530"/>
      <c r="O191" s="530"/>
      <c r="P191" s="530"/>
      <c r="Q191" s="530"/>
      <c r="R191" s="530"/>
      <c r="S191" s="530">
        <v>119.363</v>
      </c>
      <c r="T191" s="530">
        <f>177.6+20.87</f>
        <v>198.47</v>
      </c>
      <c r="U191" s="530"/>
      <c r="V191" s="529">
        <f t="shared" si="197"/>
        <v>1.7</v>
      </c>
      <c r="W191" s="530"/>
      <c r="X191" s="530"/>
      <c r="Y191" s="530"/>
      <c r="Z191" s="530"/>
      <c r="AA191" s="530"/>
      <c r="AB191" s="530"/>
      <c r="AC191" s="530"/>
      <c r="AD191" s="530"/>
      <c r="AE191" s="530"/>
      <c r="AF191" s="530"/>
      <c r="AG191" s="530"/>
      <c r="AH191" s="530"/>
      <c r="AI191" s="530"/>
      <c r="AJ191" s="530">
        <v>1.7</v>
      </c>
      <c r="AK191" s="530"/>
      <c r="AL191" s="530"/>
      <c r="AM191" s="529">
        <f t="shared" si="198"/>
        <v>319.533</v>
      </c>
      <c r="AN191" s="537">
        <f t="shared" si="199"/>
        <v>0</v>
      </c>
      <c r="AO191" s="537">
        <f t="shared" si="200"/>
        <v>0</v>
      </c>
      <c r="AP191" s="537">
        <f t="shared" si="201"/>
        <v>0</v>
      </c>
      <c r="AQ191" s="537">
        <f t="shared" si="202"/>
        <v>0</v>
      </c>
      <c r="AR191" s="537">
        <f t="shared" si="203"/>
        <v>0</v>
      </c>
      <c r="AS191" s="537">
        <f t="shared" si="204"/>
        <v>0</v>
      </c>
      <c r="AT191" s="537">
        <f t="shared" si="205"/>
        <v>0</v>
      </c>
      <c r="AU191" s="537">
        <f t="shared" si="206"/>
        <v>0</v>
      </c>
      <c r="AV191" s="537">
        <f t="shared" si="207"/>
        <v>0</v>
      </c>
      <c r="AW191" s="537">
        <f t="shared" si="208"/>
        <v>0</v>
      </c>
      <c r="AX191" s="537">
        <f t="shared" si="209"/>
        <v>0</v>
      </c>
      <c r="AY191" s="537">
        <f t="shared" si="210"/>
        <v>0</v>
      </c>
      <c r="AZ191" s="537">
        <f t="shared" si="211"/>
        <v>0</v>
      </c>
      <c r="BA191" s="537">
        <f t="shared" si="212"/>
        <v>121.063</v>
      </c>
      <c r="BB191" s="537">
        <f t="shared" si="213"/>
        <v>198.47</v>
      </c>
      <c r="BC191" s="537">
        <f t="shared" si="214"/>
        <v>0</v>
      </c>
      <c r="BD191" s="374"/>
      <c r="BE191" s="374" t="s">
        <v>811</v>
      </c>
    </row>
    <row r="192" ht="30" customHeight="1" spans="1:57">
      <c r="A192" s="528" t="s">
        <v>226</v>
      </c>
      <c r="B192" s="528" t="s">
        <v>203</v>
      </c>
      <c r="C192" s="528" t="s">
        <v>245</v>
      </c>
      <c r="D192" s="542" t="s">
        <v>809</v>
      </c>
      <c r="E192" s="529">
        <f t="shared" si="196"/>
        <v>177.293</v>
      </c>
      <c r="F192" s="530"/>
      <c r="G192" s="530"/>
      <c r="H192" s="530"/>
      <c r="I192" s="530"/>
      <c r="J192" s="530"/>
      <c r="K192" s="530"/>
      <c r="L192" s="530"/>
      <c r="M192" s="530"/>
      <c r="N192" s="530"/>
      <c r="O192" s="530"/>
      <c r="P192" s="530"/>
      <c r="Q192" s="530"/>
      <c r="R192" s="530"/>
      <c r="S192" s="530">
        <v>62.393</v>
      </c>
      <c r="T192" s="530">
        <v>114.9</v>
      </c>
      <c r="U192" s="530"/>
      <c r="V192" s="529">
        <f t="shared" si="197"/>
        <v>-1.22</v>
      </c>
      <c r="W192" s="530"/>
      <c r="X192" s="530"/>
      <c r="Y192" s="530"/>
      <c r="Z192" s="530"/>
      <c r="AA192" s="530"/>
      <c r="AB192" s="530"/>
      <c r="AC192" s="530"/>
      <c r="AD192" s="530"/>
      <c r="AE192" s="530"/>
      <c r="AF192" s="530"/>
      <c r="AG192" s="530"/>
      <c r="AH192" s="530"/>
      <c r="AI192" s="530"/>
      <c r="AJ192" s="530">
        <v>-1.22</v>
      </c>
      <c r="AK192" s="530"/>
      <c r="AL192" s="530"/>
      <c r="AM192" s="529">
        <f t="shared" si="198"/>
        <v>176.073</v>
      </c>
      <c r="AN192" s="537">
        <f t="shared" si="199"/>
        <v>0</v>
      </c>
      <c r="AO192" s="537">
        <f t="shared" si="200"/>
        <v>0</v>
      </c>
      <c r="AP192" s="537">
        <f t="shared" si="201"/>
        <v>0</v>
      </c>
      <c r="AQ192" s="537">
        <f t="shared" si="202"/>
        <v>0</v>
      </c>
      <c r="AR192" s="537">
        <f t="shared" si="203"/>
        <v>0</v>
      </c>
      <c r="AS192" s="537">
        <f t="shared" si="204"/>
        <v>0</v>
      </c>
      <c r="AT192" s="537">
        <f t="shared" si="205"/>
        <v>0</v>
      </c>
      <c r="AU192" s="537">
        <f t="shared" si="206"/>
        <v>0</v>
      </c>
      <c r="AV192" s="537">
        <f t="shared" si="207"/>
        <v>0</v>
      </c>
      <c r="AW192" s="537">
        <f t="shared" si="208"/>
        <v>0</v>
      </c>
      <c r="AX192" s="537">
        <f t="shared" si="209"/>
        <v>0</v>
      </c>
      <c r="AY192" s="537">
        <f t="shared" si="210"/>
        <v>0</v>
      </c>
      <c r="AZ192" s="537">
        <f t="shared" si="211"/>
        <v>0</v>
      </c>
      <c r="BA192" s="537">
        <f t="shared" si="212"/>
        <v>61.173</v>
      </c>
      <c r="BB192" s="537">
        <f t="shared" si="213"/>
        <v>114.9</v>
      </c>
      <c r="BC192" s="537">
        <f t="shared" si="214"/>
        <v>0</v>
      </c>
      <c r="BD192" s="374"/>
      <c r="BE192" s="374"/>
    </row>
    <row r="193" ht="30" customHeight="1" spans="1:57">
      <c r="A193" s="528" t="s">
        <v>226</v>
      </c>
      <c r="B193" s="528" t="s">
        <v>203</v>
      </c>
      <c r="C193" s="528" t="s">
        <v>247</v>
      </c>
      <c r="D193" s="542" t="s">
        <v>809</v>
      </c>
      <c r="E193" s="529">
        <f t="shared" si="196"/>
        <v>347.529</v>
      </c>
      <c r="F193" s="530"/>
      <c r="G193" s="530"/>
      <c r="H193" s="530"/>
      <c r="I193" s="530"/>
      <c r="J193" s="530"/>
      <c r="K193" s="530"/>
      <c r="L193" s="530"/>
      <c r="M193" s="530"/>
      <c r="N193" s="530"/>
      <c r="O193" s="530"/>
      <c r="P193" s="530"/>
      <c r="Q193" s="530"/>
      <c r="R193" s="530"/>
      <c r="S193" s="530">
        <v>130.209</v>
      </c>
      <c r="T193" s="530">
        <v>217.32</v>
      </c>
      <c r="U193" s="530"/>
      <c r="V193" s="529">
        <f t="shared" si="197"/>
        <v>0.98</v>
      </c>
      <c r="W193" s="530"/>
      <c r="X193" s="530"/>
      <c r="Y193" s="530"/>
      <c r="Z193" s="530"/>
      <c r="AA193" s="530"/>
      <c r="AB193" s="530"/>
      <c r="AC193" s="530"/>
      <c r="AD193" s="530"/>
      <c r="AE193" s="530"/>
      <c r="AF193" s="530"/>
      <c r="AG193" s="530"/>
      <c r="AH193" s="530"/>
      <c r="AI193" s="530"/>
      <c r="AJ193" s="530">
        <v>0.98</v>
      </c>
      <c r="AK193" s="530"/>
      <c r="AL193" s="530"/>
      <c r="AM193" s="529">
        <f t="shared" si="198"/>
        <v>348.509</v>
      </c>
      <c r="AN193" s="537">
        <f t="shared" si="199"/>
        <v>0</v>
      </c>
      <c r="AO193" s="537">
        <f t="shared" si="200"/>
        <v>0</v>
      </c>
      <c r="AP193" s="537">
        <f t="shared" si="201"/>
        <v>0</v>
      </c>
      <c r="AQ193" s="537">
        <f t="shared" si="202"/>
        <v>0</v>
      </c>
      <c r="AR193" s="537">
        <f t="shared" si="203"/>
        <v>0</v>
      </c>
      <c r="AS193" s="537">
        <f t="shared" si="204"/>
        <v>0</v>
      </c>
      <c r="AT193" s="537">
        <f t="shared" si="205"/>
        <v>0</v>
      </c>
      <c r="AU193" s="537">
        <f t="shared" si="206"/>
        <v>0</v>
      </c>
      <c r="AV193" s="537">
        <f t="shared" si="207"/>
        <v>0</v>
      </c>
      <c r="AW193" s="537">
        <f t="shared" si="208"/>
        <v>0</v>
      </c>
      <c r="AX193" s="537">
        <f t="shared" si="209"/>
        <v>0</v>
      </c>
      <c r="AY193" s="537">
        <f t="shared" si="210"/>
        <v>0</v>
      </c>
      <c r="AZ193" s="537">
        <f t="shared" si="211"/>
        <v>0</v>
      </c>
      <c r="BA193" s="537">
        <f t="shared" si="212"/>
        <v>131.189</v>
      </c>
      <c r="BB193" s="537">
        <f t="shared" si="213"/>
        <v>217.32</v>
      </c>
      <c r="BC193" s="537">
        <f t="shared" si="214"/>
        <v>0</v>
      </c>
      <c r="BD193" s="374"/>
      <c r="BE193" s="374"/>
    </row>
    <row r="194" ht="30" customHeight="1" spans="1:57">
      <c r="A194" s="528" t="s">
        <v>226</v>
      </c>
      <c r="B194" s="528" t="s">
        <v>203</v>
      </c>
      <c r="C194" s="528" t="s">
        <v>249</v>
      </c>
      <c r="D194" s="542" t="s">
        <v>809</v>
      </c>
      <c r="E194" s="529">
        <f t="shared" si="196"/>
        <v>322.112</v>
      </c>
      <c r="F194" s="530"/>
      <c r="G194" s="530"/>
      <c r="H194" s="530"/>
      <c r="I194" s="530"/>
      <c r="J194" s="530"/>
      <c r="K194" s="530"/>
      <c r="L194" s="530"/>
      <c r="M194" s="530"/>
      <c r="N194" s="530"/>
      <c r="O194" s="530"/>
      <c r="P194" s="530"/>
      <c r="Q194" s="530"/>
      <c r="R194" s="530"/>
      <c r="S194" s="530">
        <v>107.042</v>
      </c>
      <c r="T194" s="530">
        <v>215.07</v>
      </c>
      <c r="U194" s="530"/>
      <c r="V194" s="529">
        <f t="shared" si="197"/>
        <v>2.67</v>
      </c>
      <c r="W194" s="530"/>
      <c r="X194" s="530"/>
      <c r="Y194" s="530"/>
      <c r="Z194" s="530"/>
      <c r="AA194" s="530"/>
      <c r="AB194" s="530"/>
      <c r="AC194" s="530"/>
      <c r="AD194" s="530"/>
      <c r="AE194" s="530"/>
      <c r="AF194" s="530"/>
      <c r="AG194" s="530"/>
      <c r="AH194" s="530"/>
      <c r="AI194" s="530"/>
      <c r="AJ194" s="530">
        <v>2.67</v>
      </c>
      <c r="AK194" s="530"/>
      <c r="AL194" s="530"/>
      <c r="AM194" s="529">
        <f t="shared" si="198"/>
        <v>324.782</v>
      </c>
      <c r="AN194" s="537">
        <f t="shared" si="199"/>
        <v>0</v>
      </c>
      <c r="AO194" s="537">
        <f t="shared" si="200"/>
        <v>0</v>
      </c>
      <c r="AP194" s="537">
        <f t="shared" si="201"/>
        <v>0</v>
      </c>
      <c r="AQ194" s="537">
        <f t="shared" si="202"/>
        <v>0</v>
      </c>
      <c r="AR194" s="537">
        <f t="shared" si="203"/>
        <v>0</v>
      </c>
      <c r="AS194" s="537">
        <f t="shared" si="204"/>
        <v>0</v>
      </c>
      <c r="AT194" s="537">
        <f t="shared" si="205"/>
        <v>0</v>
      </c>
      <c r="AU194" s="537">
        <f t="shared" si="206"/>
        <v>0</v>
      </c>
      <c r="AV194" s="537">
        <f t="shared" si="207"/>
        <v>0</v>
      </c>
      <c r="AW194" s="537">
        <f t="shared" si="208"/>
        <v>0</v>
      </c>
      <c r="AX194" s="537">
        <f t="shared" si="209"/>
        <v>0</v>
      </c>
      <c r="AY194" s="537">
        <f t="shared" si="210"/>
        <v>0</v>
      </c>
      <c r="AZ194" s="537">
        <f t="shared" si="211"/>
        <v>0</v>
      </c>
      <c r="BA194" s="537">
        <f t="shared" si="212"/>
        <v>109.712</v>
      </c>
      <c r="BB194" s="537">
        <f t="shared" si="213"/>
        <v>215.07</v>
      </c>
      <c r="BC194" s="537">
        <f t="shared" si="214"/>
        <v>0</v>
      </c>
      <c r="BD194" s="374"/>
      <c r="BE194" s="374"/>
    </row>
    <row r="195" ht="30" customHeight="1" spans="1:57">
      <c r="A195" s="528" t="s">
        <v>226</v>
      </c>
      <c r="B195" s="528" t="s">
        <v>203</v>
      </c>
      <c r="C195" s="528" t="s">
        <v>251</v>
      </c>
      <c r="D195" s="528" t="s">
        <v>809</v>
      </c>
      <c r="E195" s="529">
        <f t="shared" si="196"/>
        <v>324.961</v>
      </c>
      <c r="F195" s="530"/>
      <c r="G195" s="530"/>
      <c r="H195" s="530"/>
      <c r="I195" s="530"/>
      <c r="J195" s="530"/>
      <c r="K195" s="530"/>
      <c r="L195" s="530"/>
      <c r="M195" s="530"/>
      <c r="N195" s="530"/>
      <c r="O195" s="530"/>
      <c r="P195" s="530"/>
      <c r="Q195" s="530"/>
      <c r="R195" s="530"/>
      <c r="S195" s="530">
        <v>106.261</v>
      </c>
      <c r="T195" s="530">
        <v>218.7</v>
      </c>
      <c r="U195" s="530"/>
      <c r="V195" s="529">
        <f t="shared" si="197"/>
        <v>2.59</v>
      </c>
      <c r="W195" s="530"/>
      <c r="X195" s="530"/>
      <c r="Y195" s="530"/>
      <c r="Z195" s="530"/>
      <c r="AA195" s="530"/>
      <c r="AB195" s="530"/>
      <c r="AC195" s="530"/>
      <c r="AD195" s="530"/>
      <c r="AE195" s="530"/>
      <c r="AF195" s="530"/>
      <c r="AG195" s="530"/>
      <c r="AH195" s="530"/>
      <c r="AI195" s="530"/>
      <c r="AJ195" s="530">
        <v>2.59</v>
      </c>
      <c r="AK195" s="530"/>
      <c r="AL195" s="530"/>
      <c r="AM195" s="529">
        <f t="shared" si="198"/>
        <v>327.551</v>
      </c>
      <c r="AN195" s="537">
        <f t="shared" si="199"/>
        <v>0</v>
      </c>
      <c r="AO195" s="537">
        <f t="shared" si="200"/>
        <v>0</v>
      </c>
      <c r="AP195" s="537">
        <f t="shared" si="201"/>
        <v>0</v>
      </c>
      <c r="AQ195" s="537">
        <f t="shared" si="202"/>
        <v>0</v>
      </c>
      <c r="AR195" s="537">
        <f t="shared" si="203"/>
        <v>0</v>
      </c>
      <c r="AS195" s="537">
        <f t="shared" si="204"/>
        <v>0</v>
      </c>
      <c r="AT195" s="537">
        <f t="shared" si="205"/>
        <v>0</v>
      </c>
      <c r="AU195" s="537">
        <f t="shared" si="206"/>
        <v>0</v>
      </c>
      <c r="AV195" s="537">
        <f t="shared" si="207"/>
        <v>0</v>
      </c>
      <c r="AW195" s="537">
        <f t="shared" si="208"/>
        <v>0</v>
      </c>
      <c r="AX195" s="537">
        <f t="shared" si="209"/>
        <v>0</v>
      </c>
      <c r="AY195" s="537">
        <f t="shared" si="210"/>
        <v>0</v>
      </c>
      <c r="AZ195" s="537">
        <f t="shared" si="211"/>
        <v>0</v>
      </c>
      <c r="BA195" s="537">
        <f t="shared" si="212"/>
        <v>108.851</v>
      </c>
      <c r="BB195" s="537">
        <f t="shared" si="213"/>
        <v>218.7</v>
      </c>
      <c r="BC195" s="537">
        <f t="shared" si="214"/>
        <v>0</v>
      </c>
      <c r="BD195" s="374"/>
      <c r="BE195" s="374"/>
    </row>
    <row r="196" ht="30" customHeight="1" spans="1:57">
      <c r="A196" s="528" t="s">
        <v>226</v>
      </c>
      <c r="B196" s="528" t="s">
        <v>203</v>
      </c>
      <c r="C196" s="528" t="s">
        <v>253</v>
      </c>
      <c r="D196" s="542" t="s">
        <v>809</v>
      </c>
      <c r="E196" s="529">
        <f t="shared" si="196"/>
        <v>242.611</v>
      </c>
      <c r="F196" s="530"/>
      <c r="G196" s="530"/>
      <c r="H196" s="530"/>
      <c r="I196" s="530"/>
      <c r="J196" s="530"/>
      <c r="K196" s="530"/>
      <c r="L196" s="530"/>
      <c r="M196" s="530"/>
      <c r="N196" s="530"/>
      <c r="O196" s="530"/>
      <c r="P196" s="530"/>
      <c r="Q196" s="530"/>
      <c r="R196" s="530"/>
      <c r="S196" s="530">
        <v>81.931</v>
      </c>
      <c r="T196" s="530">
        <v>160.68</v>
      </c>
      <c r="U196" s="530"/>
      <c r="V196" s="529">
        <f t="shared" si="197"/>
        <v>0.02</v>
      </c>
      <c r="W196" s="530"/>
      <c r="X196" s="530"/>
      <c r="Y196" s="530"/>
      <c r="Z196" s="530"/>
      <c r="AA196" s="530"/>
      <c r="AB196" s="530"/>
      <c r="AC196" s="530"/>
      <c r="AD196" s="530"/>
      <c r="AE196" s="530"/>
      <c r="AF196" s="530"/>
      <c r="AG196" s="530"/>
      <c r="AH196" s="530"/>
      <c r="AI196" s="530"/>
      <c r="AJ196" s="530">
        <v>0.02</v>
      </c>
      <c r="AK196" s="530"/>
      <c r="AL196" s="530"/>
      <c r="AM196" s="529">
        <f t="shared" si="198"/>
        <v>242.631</v>
      </c>
      <c r="AN196" s="537">
        <f t="shared" si="199"/>
        <v>0</v>
      </c>
      <c r="AO196" s="537">
        <f t="shared" si="200"/>
        <v>0</v>
      </c>
      <c r="AP196" s="537">
        <f t="shared" si="201"/>
        <v>0</v>
      </c>
      <c r="AQ196" s="537">
        <f t="shared" si="202"/>
        <v>0</v>
      </c>
      <c r="AR196" s="537">
        <f t="shared" si="203"/>
        <v>0</v>
      </c>
      <c r="AS196" s="537">
        <f t="shared" si="204"/>
        <v>0</v>
      </c>
      <c r="AT196" s="537">
        <f t="shared" si="205"/>
        <v>0</v>
      </c>
      <c r="AU196" s="537">
        <f t="shared" si="206"/>
        <v>0</v>
      </c>
      <c r="AV196" s="537">
        <f t="shared" si="207"/>
        <v>0</v>
      </c>
      <c r="AW196" s="537">
        <f t="shared" si="208"/>
        <v>0</v>
      </c>
      <c r="AX196" s="537">
        <f t="shared" si="209"/>
        <v>0</v>
      </c>
      <c r="AY196" s="537">
        <f t="shared" si="210"/>
        <v>0</v>
      </c>
      <c r="AZ196" s="537">
        <f t="shared" si="211"/>
        <v>0</v>
      </c>
      <c r="BA196" s="537">
        <f t="shared" si="212"/>
        <v>81.951</v>
      </c>
      <c r="BB196" s="537">
        <f t="shared" si="213"/>
        <v>160.68</v>
      </c>
      <c r="BC196" s="537">
        <f t="shared" si="214"/>
        <v>0</v>
      </c>
      <c r="BD196" s="374"/>
      <c r="BE196" s="374"/>
    </row>
    <row r="197" ht="30" customHeight="1" spans="1:57">
      <c r="A197" s="528" t="s">
        <v>226</v>
      </c>
      <c r="B197" s="528" t="s">
        <v>203</v>
      </c>
      <c r="C197" s="528" t="s">
        <v>255</v>
      </c>
      <c r="D197" s="542" t="s">
        <v>809</v>
      </c>
      <c r="E197" s="529">
        <f t="shared" si="196"/>
        <v>259.067</v>
      </c>
      <c r="F197" s="530"/>
      <c r="G197" s="530"/>
      <c r="H197" s="530"/>
      <c r="I197" s="530"/>
      <c r="J197" s="530"/>
      <c r="K197" s="530"/>
      <c r="L197" s="530"/>
      <c r="M197" s="530"/>
      <c r="N197" s="530"/>
      <c r="O197" s="530"/>
      <c r="P197" s="530"/>
      <c r="Q197" s="530"/>
      <c r="R197" s="530"/>
      <c r="S197" s="530">
        <v>93.467</v>
      </c>
      <c r="T197" s="530">
        <v>165.6</v>
      </c>
      <c r="U197" s="530"/>
      <c r="V197" s="529">
        <f t="shared" si="197"/>
        <v>0.99</v>
      </c>
      <c r="W197" s="530"/>
      <c r="X197" s="530"/>
      <c r="Y197" s="530"/>
      <c r="Z197" s="530"/>
      <c r="AA197" s="530"/>
      <c r="AB197" s="530"/>
      <c r="AC197" s="530"/>
      <c r="AD197" s="530"/>
      <c r="AE197" s="530"/>
      <c r="AF197" s="530"/>
      <c r="AG197" s="530"/>
      <c r="AH197" s="530"/>
      <c r="AI197" s="530"/>
      <c r="AJ197" s="530">
        <v>0.99</v>
      </c>
      <c r="AK197" s="530"/>
      <c r="AL197" s="530"/>
      <c r="AM197" s="529">
        <f t="shared" si="198"/>
        <v>260.057</v>
      </c>
      <c r="AN197" s="537">
        <f t="shared" si="199"/>
        <v>0</v>
      </c>
      <c r="AO197" s="537">
        <f t="shared" si="200"/>
        <v>0</v>
      </c>
      <c r="AP197" s="537">
        <f t="shared" si="201"/>
        <v>0</v>
      </c>
      <c r="AQ197" s="537">
        <f t="shared" si="202"/>
        <v>0</v>
      </c>
      <c r="AR197" s="537">
        <f t="shared" si="203"/>
        <v>0</v>
      </c>
      <c r="AS197" s="537">
        <f t="shared" si="204"/>
        <v>0</v>
      </c>
      <c r="AT197" s="537">
        <f t="shared" si="205"/>
        <v>0</v>
      </c>
      <c r="AU197" s="537">
        <f t="shared" si="206"/>
        <v>0</v>
      </c>
      <c r="AV197" s="537">
        <f t="shared" si="207"/>
        <v>0</v>
      </c>
      <c r="AW197" s="537">
        <f t="shared" si="208"/>
        <v>0</v>
      </c>
      <c r="AX197" s="537">
        <f t="shared" si="209"/>
        <v>0</v>
      </c>
      <c r="AY197" s="537">
        <f t="shared" si="210"/>
        <v>0</v>
      </c>
      <c r="AZ197" s="537">
        <f t="shared" si="211"/>
        <v>0</v>
      </c>
      <c r="BA197" s="537">
        <f t="shared" si="212"/>
        <v>94.457</v>
      </c>
      <c r="BB197" s="537">
        <f t="shared" si="213"/>
        <v>165.6</v>
      </c>
      <c r="BC197" s="537">
        <f t="shared" si="214"/>
        <v>0</v>
      </c>
      <c r="BD197" s="374"/>
      <c r="BE197" s="374"/>
    </row>
    <row r="198" ht="30" customHeight="1" spans="1:57">
      <c r="A198" s="528" t="s">
        <v>226</v>
      </c>
      <c r="B198" s="528" t="s">
        <v>203</v>
      </c>
      <c r="C198" s="528" t="s">
        <v>257</v>
      </c>
      <c r="D198" s="542" t="s">
        <v>809</v>
      </c>
      <c r="E198" s="529">
        <f t="shared" si="196"/>
        <v>207.494</v>
      </c>
      <c r="F198" s="530"/>
      <c r="G198" s="530"/>
      <c r="H198" s="530"/>
      <c r="I198" s="530"/>
      <c r="J198" s="530"/>
      <c r="K198" s="530"/>
      <c r="L198" s="530"/>
      <c r="M198" s="530"/>
      <c r="N198" s="530"/>
      <c r="O198" s="530"/>
      <c r="P198" s="530"/>
      <c r="Q198" s="530"/>
      <c r="R198" s="530"/>
      <c r="S198" s="530">
        <v>67.754</v>
      </c>
      <c r="T198" s="530">
        <v>139.74</v>
      </c>
      <c r="U198" s="530"/>
      <c r="V198" s="529">
        <f t="shared" si="197"/>
        <v>-0.11</v>
      </c>
      <c r="W198" s="530"/>
      <c r="X198" s="530"/>
      <c r="Y198" s="530"/>
      <c r="Z198" s="530"/>
      <c r="AA198" s="530"/>
      <c r="AB198" s="530"/>
      <c r="AC198" s="530"/>
      <c r="AD198" s="530"/>
      <c r="AE198" s="530"/>
      <c r="AF198" s="530"/>
      <c r="AG198" s="530"/>
      <c r="AH198" s="530"/>
      <c r="AI198" s="530"/>
      <c r="AJ198" s="530">
        <v>-0.11</v>
      </c>
      <c r="AK198" s="530"/>
      <c r="AL198" s="530"/>
      <c r="AM198" s="529">
        <f t="shared" si="198"/>
        <v>207.384</v>
      </c>
      <c r="AN198" s="537">
        <f t="shared" si="199"/>
        <v>0</v>
      </c>
      <c r="AO198" s="537">
        <f t="shared" si="200"/>
        <v>0</v>
      </c>
      <c r="AP198" s="537">
        <f t="shared" si="201"/>
        <v>0</v>
      </c>
      <c r="AQ198" s="537">
        <f t="shared" si="202"/>
        <v>0</v>
      </c>
      <c r="AR198" s="537">
        <f t="shared" si="203"/>
        <v>0</v>
      </c>
      <c r="AS198" s="537">
        <f t="shared" si="204"/>
        <v>0</v>
      </c>
      <c r="AT198" s="537">
        <f t="shared" si="205"/>
        <v>0</v>
      </c>
      <c r="AU198" s="537">
        <f t="shared" si="206"/>
        <v>0</v>
      </c>
      <c r="AV198" s="537">
        <f t="shared" si="207"/>
        <v>0</v>
      </c>
      <c r="AW198" s="537">
        <f t="shared" si="208"/>
        <v>0</v>
      </c>
      <c r="AX198" s="537">
        <f t="shared" si="209"/>
        <v>0</v>
      </c>
      <c r="AY198" s="537">
        <f t="shared" si="210"/>
        <v>0</v>
      </c>
      <c r="AZ198" s="537">
        <f t="shared" si="211"/>
        <v>0</v>
      </c>
      <c r="BA198" s="537">
        <f t="shared" si="212"/>
        <v>67.644</v>
      </c>
      <c r="BB198" s="537">
        <f t="shared" si="213"/>
        <v>139.74</v>
      </c>
      <c r="BC198" s="537">
        <f t="shared" si="214"/>
        <v>0</v>
      </c>
      <c r="BD198" s="374"/>
      <c r="BE198" s="374"/>
    </row>
    <row r="199" ht="30" customHeight="1" spans="1:57">
      <c r="A199" s="528" t="s">
        <v>226</v>
      </c>
      <c r="B199" s="528" t="s">
        <v>203</v>
      </c>
      <c r="C199" s="528" t="s">
        <v>259</v>
      </c>
      <c r="D199" s="542" t="s">
        <v>809</v>
      </c>
      <c r="E199" s="529">
        <f t="shared" si="196"/>
        <v>103.756</v>
      </c>
      <c r="F199" s="530"/>
      <c r="G199" s="530"/>
      <c r="H199" s="530"/>
      <c r="I199" s="530"/>
      <c r="J199" s="530"/>
      <c r="K199" s="530"/>
      <c r="L199" s="530"/>
      <c r="M199" s="530"/>
      <c r="N199" s="530"/>
      <c r="O199" s="530"/>
      <c r="P199" s="530"/>
      <c r="Q199" s="530"/>
      <c r="R199" s="530"/>
      <c r="S199" s="530">
        <v>40.816</v>
      </c>
      <c r="T199" s="530">
        <v>62.94</v>
      </c>
      <c r="U199" s="530"/>
      <c r="V199" s="529">
        <f t="shared" si="197"/>
        <v>0.29</v>
      </c>
      <c r="W199" s="530"/>
      <c r="X199" s="530"/>
      <c r="Y199" s="530"/>
      <c r="Z199" s="530"/>
      <c r="AA199" s="530"/>
      <c r="AB199" s="530"/>
      <c r="AC199" s="530"/>
      <c r="AD199" s="530"/>
      <c r="AE199" s="530"/>
      <c r="AF199" s="530"/>
      <c r="AG199" s="530"/>
      <c r="AH199" s="530"/>
      <c r="AI199" s="530"/>
      <c r="AJ199" s="530">
        <v>0.29</v>
      </c>
      <c r="AK199" s="530"/>
      <c r="AL199" s="530"/>
      <c r="AM199" s="529">
        <f t="shared" si="198"/>
        <v>104.046</v>
      </c>
      <c r="AN199" s="537">
        <f t="shared" si="199"/>
        <v>0</v>
      </c>
      <c r="AO199" s="537">
        <f t="shared" si="200"/>
        <v>0</v>
      </c>
      <c r="AP199" s="537">
        <f t="shared" si="201"/>
        <v>0</v>
      </c>
      <c r="AQ199" s="537">
        <f t="shared" si="202"/>
        <v>0</v>
      </c>
      <c r="AR199" s="537">
        <f t="shared" si="203"/>
        <v>0</v>
      </c>
      <c r="AS199" s="537">
        <f t="shared" si="204"/>
        <v>0</v>
      </c>
      <c r="AT199" s="537">
        <f t="shared" si="205"/>
        <v>0</v>
      </c>
      <c r="AU199" s="537">
        <f t="shared" si="206"/>
        <v>0</v>
      </c>
      <c r="AV199" s="537">
        <f t="shared" si="207"/>
        <v>0</v>
      </c>
      <c r="AW199" s="537">
        <f t="shared" si="208"/>
        <v>0</v>
      </c>
      <c r="AX199" s="537">
        <f t="shared" si="209"/>
        <v>0</v>
      </c>
      <c r="AY199" s="537">
        <f t="shared" si="210"/>
        <v>0</v>
      </c>
      <c r="AZ199" s="537">
        <f t="shared" si="211"/>
        <v>0</v>
      </c>
      <c r="BA199" s="537">
        <f t="shared" si="212"/>
        <v>41.106</v>
      </c>
      <c r="BB199" s="537">
        <f t="shared" si="213"/>
        <v>62.94</v>
      </c>
      <c r="BC199" s="537">
        <f t="shared" si="214"/>
        <v>0</v>
      </c>
      <c r="BD199" s="374"/>
      <c r="BE199" s="374"/>
    </row>
    <row r="200" s="508" customFormat="1" ht="20.15" customHeight="1" spans="1:57">
      <c r="A200" s="523"/>
      <c r="B200" s="524"/>
      <c r="C200" s="525" t="s">
        <v>137</v>
      </c>
      <c r="D200" s="526">
        <v>214</v>
      </c>
      <c r="E200" s="527">
        <f t="shared" ref="E200:U200" si="215">SUM(E201:E203)</f>
        <v>28.81</v>
      </c>
      <c r="F200" s="527">
        <f t="shared" si="215"/>
        <v>0</v>
      </c>
      <c r="G200" s="527">
        <f t="shared" si="215"/>
        <v>0</v>
      </c>
      <c r="H200" s="527">
        <f t="shared" si="215"/>
        <v>0</v>
      </c>
      <c r="I200" s="527">
        <f t="shared" si="215"/>
        <v>0.36</v>
      </c>
      <c r="J200" s="527">
        <f t="shared" si="215"/>
        <v>0</v>
      </c>
      <c r="K200" s="527">
        <f t="shared" si="215"/>
        <v>13.68</v>
      </c>
      <c r="L200" s="527">
        <f t="shared" si="215"/>
        <v>0</v>
      </c>
      <c r="M200" s="527">
        <f t="shared" si="215"/>
        <v>0</v>
      </c>
      <c r="N200" s="527">
        <f t="shared" si="215"/>
        <v>0</v>
      </c>
      <c r="O200" s="527">
        <f t="shared" si="215"/>
        <v>14.77</v>
      </c>
      <c r="P200" s="527">
        <f t="shared" si="215"/>
        <v>0</v>
      </c>
      <c r="Q200" s="527">
        <f t="shared" si="215"/>
        <v>0</v>
      </c>
      <c r="R200" s="527">
        <f t="shared" si="215"/>
        <v>0</v>
      </c>
      <c r="S200" s="527">
        <f t="shared" si="215"/>
        <v>0</v>
      </c>
      <c r="T200" s="527">
        <f t="shared" si="215"/>
        <v>0</v>
      </c>
      <c r="U200" s="527">
        <f t="shared" si="215"/>
        <v>0</v>
      </c>
      <c r="V200" s="527">
        <f t="shared" ref="V200:BC200" si="216">SUM(V201:V203)</f>
        <v>4.65</v>
      </c>
      <c r="W200" s="527">
        <f t="shared" si="216"/>
        <v>0</v>
      </c>
      <c r="X200" s="527">
        <f t="shared" si="216"/>
        <v>0</v>
      </c>
      <c r="Y200" s="527">
        <f t="shared" si="216"/>
        <v>0</v>
      </c>
      <c r="Z200" s="527">
        <f t="shared" si="216"/>
        <v>0</v>
      </c>
      <c r="AA200" s="527">
        <f t="shared" si="216"/>
        <v>0</v>
      </c>
      <c r="AB200" s="527">
        <f t="shared" si="216"/>
        <v>3.65</v>
      </c>
      <c r="AC200" s="527">
        <f t="shared" si="216"/>
        <v>0</v>
      </c>
      <c r="AD200" s="527">
        <f t="shared" si="216"/>
        <v>0</v>
      </c>
      <c r="AE200" s="527">
        <f t="shared" si="216"/>
        <v>0</v>
      </c>
      <c r="AF200" s="527">
        <f t="shared" si="216"/>
        <v>1</v>
      </c>
      <c r="AG200" s="527">
        <f t="shared" si="216"/>
        <v>0</v>
      </c>
      <c r="AH200" s="527">
        <f t="shared" si="216"/>
        <v>0</v>
      </c>
      <c r="AI200" s="527">
        <f t="shared" si="216"/>
        <v>0</v>
      </c>
      <c r="AJ200" s="527">
        <f t="shared" si="216"/>
        <v>0</v>
      </c>
      <c r="AK200" s="527">
        <f t="shared" si="216"/>
        <v>0</v>
      </c>
      <c r="AL200" s="527">
        <f t="shared" si="216"/>
        <v>0</v>
      </c>
      <c r="AM200" s="527">
        <f t="shared" si="216"/>
        <v>33.46</v>
      </c>
      <c r="AN200" s="536">
        <f t="shared" si="216"/>
        <v>0</v>
      </c>
      <c r="AO200" s="536">
        <f t="shared" si="216"/>
        <v>0</v>
      </c>
      <c r="AP200" s="536">
        <f t="shared" si="216"/>
        <v>0</v>
      </c>
      <c r="AQ200" s="536">
        <f t="shared" si="216"/>
        <v>0.36</v>
      </c>
      <c r="AR200" s="536">
        <f t="shared" si="216"/>
        <v>0</v>
      </c>
      <c r="AS200" s="536">
        <f t="shared" si="216"/>
        <v>17.33</v>
      </c>
      <c r="AT200" s="536">
        <f t="shared" si="216"/>
        <v>0</v>
      </c>
      <c r="AU200" s="536">
        <f t="shared" si="216"/>
        <v>0</v>
      </c>
      <c r="AV200" s="536">
        <f t="shared" si="216"/>
        <v>0</v>
      </c>
      <c r="AW200" s="536">
        <f t="shared" si="216"/>
        <v>15.77</v>
      </c>
      <c r="AX200" s="536">
        <f t="shared" si="216"/>
        <v>0</v>
      </c>
      <c r="AY200" s="536">
        <f t="shared" si="216"/>
        <v>0</v>
      </c>
      <c r="AZ200" s="536">
        <f t="shared" si="216"/>
        <v>0</v>
      </c>
      <c r="BA200" s="536">
        <f t="shared" si="216"/>
        <v>0</v>
      </c>
      <c r="BB200" s="536">
        <f t="shared" si="216"/>
        <v>0</v>
      </c>
      <c r="BC200" s="536">
        <f t="shared" si="216"/>
        <v>0</v>
      </c>
      <c r="BD200" s="332"/>
      <c r="BE200" s="332"/>
    </row>
    <row r="201" s="134" customFormat="1" ht="24" spans="1:58">
      <c r="A201" s="528" t="s">
        <v>261</v>
      </c>
      <c r="B201" s="528" t="s">
        <v>206</v>
      </c>
      <c r="C201" s="1" t="s">
        <v>617</v>
      </c>
      <c r="D201" s="545" t="s">
        <v>616</v>
      </c>
      <c r="E201" s="529">
        <f t="shared" ref="E201:E203" si="217">SUM(F201:U201)</f>
        <v>0.96</v>
      </c>
      <c r="F201" s="530"/>
      <c r="G201" s="530"/>
      <c r="H201" s="530"/>
      <c r="I201" s="530"/>
      <c r="J201" s="530"/>
      <c r="K201" s="530">
        <v>0.96</v>
      </c>
      <c r="L201" s="530"/>
      <c r="M201" s="530"/>
      <c r="N201" s="530"/>
      <c r="O201" s="530"/>
      <c r="P201" s="530"/>
      <c r="Q201" s="530"/>
      <c r="R201" s="530"/>
      <c r="S201" s="530"/>
      <c r="T201" s="530"/>
      <c r="U201" s="530"/>
      <c r="V201" s="529">
        <f t="shared" si="197"/>
        <v>0.67</v>
      </c>
      <c r="W201" s="530"/>
      <c r="X201" s="530"/>
      <c r="Y201" s="530"/>
      <c r="Z201" s="530"/>
      <c r="AA201" s="530"/>
      <c r="AB201" s="530">
        <v>0.67</v>
      </c>
      <c r="AC201" s="530"/>
      <c r="AD201" s="530"/>
      <c r="AE201" s="530"/>
      <c r="AF201" s="530"/>
      <c r="AG201" s="530"/>
      <c r="AH201" s="530"/>
      <c r="AI201" s="530"/>
      <c r="AJ201" s="530"/>
      <c r="AK201" s="530"/>
      <c r="AL201" s="530"/>
      <c r="AM201" s="529">
        <f t="shared" si="198"/>
        <v>1.63</v>
      </c>
      <c r="AN201" s="537">
        <f t="shared" si="199"/>
        <v>0</v>
      </c>
      <c r="AO201" s="537">
        <f t="shared" si="200"/>
        <v>0</v>
      </c>
      <c r="AP201" s="537">
        <f t="shared" si="201"/>
        <v>0</v>
      </c>
      <c r="AQ201" s="537">
        <f t="shared" si="202"/>
        <v>0</v>
      </c>
      <c r="AR201" s="537">
        <f t="shared" si="203"/>
        <v>0</v>
      </c>
      <c r="AS201" s="537">
        <f t="shared" si="204"/>
        <v>1.63</v>
      </c>
      <c r="AT201" s="537">
        <f t="shared" si="205"/>
        <v>0</v>
      </c>
      <c r="AU201" s="537">
        <f t="shared" si="206"/>
        <v>0</v>
      </c>
      <c r="AV201" s="537">
        <f t="shared" si="207"/>
        <v>0</v>
      </c>
      <c r="AW201" s="537">
        <f t="shared" si="208"/>
        <v>0</v>
      </c>
      <c r="AX201" s="537">
        <f t="shared" si="209"/>
        <v>0</v>
      </c>
      <c r="AY201" s="537">
        <f t="shared" si="210"/>
        <v>0</v>
      </c>
      <c r="AZ201" s="537">
        <f t="shared" si="211"/>
        <v>0</v>
      </c>
      <c r="BA201" s="537">
        <f t="shared" si="212"/>
        <v>0</v>
      </c>
      <c r="BB201" s="537">
        <f t="shared" si="213"/>
        <v>0</v>
      </c>
      <c r="BC201" s="537">
        <f t="shared" si="214"/>
        <v>0</v>
      </c>
      <c r="BD201" s="400"/>
      <c r="BE201" s="400"/>
      <c r="BF201" s="132"/>
    </row>
    <row r="202" s="134" customFormat="1" ht="24" spans="1:58">
      <c r="A202" s="528" t="s">
        <v>261</v>
      </c>
      <c r="B202" s="528" t="s">
        <v>206</v>
      </c>
      <c r="C202" s="1" t="s">
        <v>609</v>
      </c>
      <c r="D202" s="545" t="s">
        <v>610</v>
      </c>
      <c r="E202" s="529">
        <f t="shared" si="217"/>
        <v>1.92</v>
      </c>
      <c r="F202" s="530"/>
      <c r="G202" s="530"/>
      <c r="H202" s="530"/>
      <c r="I202" s="530"/>
      <c r="J202" s="530"/>
      <c r="K202" s="530">
        <v>1.92</v>
      </c>
      <c r="L202" s="530"/>
      <c r="M202" s="530"/>
      <c r="N202" s="530"/>
      <c r="O202" s="530"/>
      <c r="P202" s="530"/>
      <c r="Q202" s="530"/>
      <c r="R202" s="530"/>
      <c r="S202" s="530"/>
      <c r="T202" s="530"/>
      <c r="U202" s="530"/>
      <c r="V202" s="529">
        <f t="shared" si="197"/>
        <v>0.61</v>
      </c>
      <c r="W202" s="530"/>
      <c r="X202" s="530"/>
      <c r="Y202" s="530"/>
      <c r="Z202" s="530"/>
      <c r="AA202" s="530"/>
      <c r="AB202" s="530">
        <v>0.61</v>
      </c>
      <c r="AC202" s="530"/>
      <c r="AD202" s="530"/>
      <c r="AE202" s="530"/>
      <c r="AF202" s="530"/>
      <c r="AG202" s="530"/>
      <c r="AH202" s="530"/>
      <c r="AI202" s="530"/>
      <c r="AJ202" s="530"/>
      <c r="AK202" s="530"/>
      <c r="AL202" s="530"/>
      <c r="AM202" s="529">
        <f t="shared" si="198"/>
        <v>2.53</v>
      </c>
      <c r="AN202" s="537">
        <f t="shared" si="199"/>
        <v>0</v>
      </c>
      <c r="AO202" s="537">
        <f t="shared" si="200"/>
        <v>0</v>
      </c>
      <c r="AP202" s="537">
        <f t="shared" si="201"/>
        <v>0</v>
      </c>
      <c r="AQ202" s="537">
        <f t="shared" si="202"/>
        <v>0</v>
      </c>
      <c r="AR202" s="537">
        <f t="shared" si="203"/>
        <v>0</v>
      </c>
      <c r="AS202" s="537">
        <f t="shared" si="204"/>
        <v>2.53</v>
      </c>
      <c r="AT202" s="537">
        <f t="shared" si="205"/>
        <v>0</v>
      </c>
      <c r="AU202" s="537">
        <f t="shared" si="206"/>
        <v>0</v>
      </c>
      <c r="AV202" s="537">
        <f t="shared" si="207"/>
        <v>0</v>
      </c>
      <c r="AW202" s="537">
        <f t="shared" si="208"/>
        <v>0</v>
      </c>
      <c r="AX202" s="537">
        <f t="shared" si="209"/>
        <v>0</v>
      </c>
      <c r="AY202" s="537">
        <f t="shared" si="210"/>
        <v>0</v>
      </c>
      <c r="AZ202" s="537">
        <f t="shared" si="211"/>
        <v>0</v>
      </c>
      <c r="BA202" s="537">
        <f t="shared" si="212"/>
        <v>0</v>
      </c>
      <c r="BB202" s="537">
        <f t="shared" si="213"/>
        <v>0</v>
      </c>
      <c r="BC202" s="537">
        <f t="shared" si="214"/>
        <v>0</v>
      </c>
      <c r="BD202" s="400"/>
      <c r="BE202" s="400"/>
      <c r="BF202" s="132"/>
    </row>
    <row r="203" ht="24" spans="1:58">
      <c r="A203" s="528" t="s">
        <v>261</v>
      </c>
      <c r="B203" s="528" t="s">
        <v>203</v>
      </c>
      <c r="C203" s="528" t="s">
        <v>606</v>
      </c>
      <c r="D203" s="546" t="s">
        <v>607</v>
      </c>
      <c r="E203" s="529">
        <f t="shared" si="217"/>
        <v>25.93</v>
      </c>
      <c r="F203" s="530"/>
      <c r="G203" s="530"/>
      <c r="H203" s="530"/>
      <c r="I203" s="530">
        <v>0.36</v>
      </c>
      <c r="J203" s="530"/>
      <c r="K203" s="530">
        <v>10.8</v>
      </c>
      <c r="L203" s="530"/>
      <c r="M203" s="530"/>
      <c r="N203" s="530"/>
      <c r="O203" s="530">
        <v>14.77</v>
      </c>
      <c r="P203" s="530"/>
      <c r="Q203" s="530"/>
      <c r="R203" s="530"/>
      <c r="S203" s="530"/>
      <c r="T203" s="530"/>
      <c r="U203" s="530"/>
      <c r="V203" s="529">
        <f t="shared" si="197"/>
        <v>3.37</v>
      </c>
      <c r="W203" s="530"/>
      <c r="X203" s="530"/>
      <c r="Y203" s="530"/>
      <c r="Z203" s="530"/>
      <c r="AA203" s="530"/>
      <c r="AB203" s="530">
        <v>2.37</v>
      </c>
      <c r="AC203" s="530"/>
      <c r="AD203" s="530"/>
      <c r="AE203" s="530"/>
      <c r="AF203" s="530">
        <v>1</v>
      </c>
      <c r="AG203" s="530"/>
      <c r="AH203" s="530"/>
      <c r="AI203" s="530"/>
      <c r="AJ203" s="530"/>
      <c r="AK203" s="530"/>
      <c r="AL203" s="530"/>
      <c r="AM203" s="529">
        <f t="shared" si="198"/>
        <v>29.3</v>
      </c>
      <c r="AN203" s="537">
        <f t="shared" si="199"/>
        <v>0</v>
      </c>
      <c r="AO203" s="537">
        <f t="shared" si="200"/>
        <v>0</v>
      </c>
      <c r="AP203" s="537">
        <f t="shared" si="201"/>
        <v>0</v>
      </c>
      <c r="AQ203" s="537">
        <f t="shared" si="202"/>
        <v>0.36</v>
      </c>
      <c r="AR203" s="537">
        <f t="shared" si="203"/>
        <v>0</v>
      </c>
      <c r="AS203" s="537">
        <f t="shared" si="204"/>
        <v>13.17</v>
      </c>
      <c r="AT203" s="537">
        <f t="shared" si="205"/>
        <v>0</v>
      </c>
      <c r="AU203" s="537">
        <f t="shared" si="206"/>
        <v>0</v>
      </c>
      <c r="AV203" s="537">
        <f t="shared" si="207"/>
        <v>0</v>
      </c>
      <c r="AW203" s="537">
        <f t="shared" si="208"/>
        <v>15.77</v>
      </c>
      <c r="AX203" s="537">
        <f t="shared" si="209"/>
        <v>0</v>
      </c>
      <c r="AY203" s="537">
        <f t="shared" si="210"/>
        <v>0</v>
      </c>
      <c r="AZ203" s="537">
        <f t="shared" si="211"/>
        <v>0</v>
      </c>
      <c r="BA203" s="537">
        <f t="shared" si="212"/>
        <v>0</v>
      </c>
      <c r="BB203" s="537">
        <f t="shared" si="213"/>
        <v>0</v>
      </c>
      <c r="BC203" s="537">
        <f t="shared" si="214"/>
        <v>0</v>
      </c>
      <c r="BD203" s="374"/>
      <c r="BE203" s="374"/>
      <c r="BF203" s="132"/>
    </row>
    <row r="204" s="508" customFormat="1" ht="20.15" customHeight="1" spans="1:57">
      <c r="A204" s="523"/>
      <c r="B204" s="524"/>
      <c r="C204" s="525" t="s">
        <v>139</v>
      </c>
      <c r="D204" s="526">
        <v>216</v>
      </c>
      <c r="E204" s="527">
        <f t="shared" ref="E204:U204" si="218">SUM(E205)</f>
        <v>20.9884</v>
      </c>
      <c r="F204" s="527">
        <f t="shared" si="218"/>
        <v>0</v>
      </c>
      <c r="G204" s="527">
        <f t="shared" si="218"/>
        <v>0</v>
      </c>
      <c r="H204" s="527">
        <f t="shared" si="218"/>
        <v>0</v>
      </c>
      <c r="I204" s="527">
        <f t="shared" si="218"/>
        <v>0</v>
      </c>
      <c r="J204" s="527">
        <f t="shared" si="218"/>
        <v>0</v>
      </c>
      <c r="K204" s="527">
        <f t="shared" si="218"/>
        <v>8.8</v>
      </c>
      <c r="L204" s="527">
        <f t="shared" si="218"/>
        <v>0</v>
      </c>
      <c r="M204" s="527">
        <f t="shared" si="218"/>
        <v>0</v>
      </c>
      <c r="N204" s="527">
        <f t="shared" si="218"/>
        <v>0</v>
      </c>
      <c r="O204" s="527">
        <f t="shared" si="218"/>
        <v>12.1884</v>
      </c>
      <c r="P204" s="527">
        <f t="shared" si="218"/>
        <v>0</v>
      </c>
      <c r="Q204" s="527">
        <f t="shared" si="218"/>
        <v>0</v>
      </c>
      <c r="R204" s="527">
        <f t="shared" si="218"/>
        <v>0</v>
      </c>
      <c r="S204" s="527">
        <f t="shared" si="218"/>
        <v>0</v>
      </c>
      <c r="T204" s="527">
        <f t="shared" si="218"/>
        <v>0</v>
      </c>
      <c r="U204" s="527">
        <f t="shared" si="218"/>
        <v>0</v>
      </c>
      <c r="V204" s="527">
        <f t="shared" ref="V204:BC204" si="219">SUM(V205)</f>
        <v>1.08</v>
      </c>
      <c r="W204" s="527">
        <f t="shared" si="219"/>
        <v>0</v>
      </c>
      <c r="X204" s="527">
        <f t="shared" si="219"/>
        <v>0</v>
      </c>
      <c r="Y204" s="527">
        <f t="shared" si="219"/>
        <v>0</v>
      </c>
      <c r="Z204" s="527">
        <f t="shared" si="219"/>
        <v>0</v>
      </c>
      <c r="AA204" s="527">
        <f t="shared" si="219"/>
        <v>0</v>
      </c>
      <c r="AB204" s="527">
        <f t="shared" si="219"/>
        <v>2.5</v>
      </c>
      <c r="AC204" s="527">
        <f t="shared" si="219"/>
        <v>0</v>
      </c>
      <c r="AD204" s="527">
        <f t="shared" si="219"/>
        <v>0</v>
      </c>
      <c r="AE204" s="527">
        <f t="shared" si="219"/>
        <v>0</v>
      </c>
      <c r="AF204" s="527">
        <f t="shared" si="219"/>
        <v>0</v>
      </c>
      <c r="AG204" s="527">
        <f t="shared" si="219"/>
        <v>-1.82</v>
      </c>
      <c r="AH204" s="527">
        <f t="shared" si="219"/>
        <v>0.4</v>
      </c>
      <c r="AI204" s="527">
        <f t="shared" si="219"/>
        <v>0</v>
      </c>
      <c r="AJ204" s="527">
        <f t="shared" si="219"/>
        <v>0</v>
      </c>
      <c r="AK204" s="527">
        <f t="shared" si="219"/>
        <v>0</v>
      </c>
      <c r="AL204" s="527">
        <f t="shared" si="219"/>
        <v>0</v>
      </c>
      <c r="AM204" s="527">
        <f t="shared" si="219"/>
        <v>22.0684</v>
      </c>
      <c r="AN204" s="527">
        <f t="shared" si="219"/>
        <v>0</v>
      </c>
      <c r="AO204" s="527">
        <f t="shared" si="219"/>
        <v>0</v>
      </c>
      <c r="AP204" s="527">
        <f t="shared" si="219"/>
        <v>0</v>
      </c>
      <c r="AQ204" s="527">
        <f t="shared" si="219"/>
        <v>0</v>
      </c>
      <c r="AR204" s="527">
        <f t="shared" si="219"/>
        <v>0</v>
      </c>
      <c r="AS204" s="527">
        <f t="shared" si="219"/>
        <v>11.3</v>
      </c>
      <c r="AT204" s="527">
        <f t="shared" si="219"/>
        <v>0</v>
      </c>
      <c r="AU204" s="527">
        <f t="shared" si="219"/>
        <v>0</v>
      </c>
      <c r="AV204" s="527">
        <f t="shared" si="219"/>
        <v>0</v>
      </c>
      <c r="AW204" s="527">
        <f t="shared" si="219"/>
        <v>12.1884</v>
      </c>
      <c r="AX204" s="527">
        <f t="shared" si="219"/>
        <v>-1.82</v>
      </c>
      <c r="AY204" s="527">
        <f t="shared" si="219"/>
        <v>0.4</v>
      </c>
      <c r="AZ204" s="527">
        <f t="shared" si="219"/>
        <v>0</v>
      </c>
      <c r="BA204" s="527">
        <f t="shared" si="219"/>
        <v>0</v>
      </c>
      <c r="BB204" s="527">
        <f t="shared" si="219"/>
        <v>0</v>
      </c>
      <c r="BC204" s="527">
        <f t="shared" si="219"/>
        <v>0</v>
      </c>
      <c r="BD204" s="332"/>
      <c r="BE204" s="332"/>
    </row>
    <row r="205" ht="24" customHeight="1" spans="1:57">
      <c r="A205" s="528" t="s">
        <v>261</v>
      </c>
      <c r="B205" s="528" t="s">
        <v>203</v>
      </c>
      <c r="C205" s="528" t="s">
        <v>618</v>
      </c>
      <c r="D205" s="542" t="s">
        <v>619</v>
      </c>
      <c r="E205" s="529">
        <f>SUM(F205:U205)</f>
        <v>20.9884</v>
      </c>
      <c r="F205" s="530"/>
      <c r="G205" s="530"/>
      <c r="H205" s="530"/>
      <c r="I205" s="530"/>
      <c r="J205" s="530"/>
      <c r="K205" s="530">
        <v>8.8</v>
      </c>
      <c r="L205" s="530"/>
      <c r="M205" s="530"/>
      <c r="N205" s="530"/>
      <c r="O205" s="530">
        <f>11.2884+0.9</f>
        <v>12.1884</v>
      </c>
      <c r="P205" s="530"/>
      <c r="Q205" s="530"/>
      <c r="R205" s="530"/>
      <c r="S205" s="530"/>
      <c r="T205" s="530"/>
      <c r="U205" s="530"/>
      <c r="V205" s="529">
        <f t="shared" si="197"/>
        <v>1.08</v>
      </c>
      <c r="W205" s="530"/>
      <c r="X205" s="530"/>
      <c r="Y205" s="530"/>
      <c r="Z205" s="530"/>
      <c r="AA205" s="530"/>
      <c r="AB205" s="530">
        <v>2.5</v>
      </c>
      <c r="AC205" s="530"/>
      <c r="AD205" s="530"/>
      <c r="AE205" s="530"/>
      <c r="AF205" s="530"/>
      <c r="AG205" s="530">
        <v>-1.82</v>
      </c>
      <c r="AH205" s="530">
        <v>0.4</v>
      </c>
      <c r="AI205" s="530"/>
      <c r="AJ205" s="530"/>
      <c r="AK205" s="530"/>
      <c r="AL205" s="530"/>
      <c r="AM205" s="529">
        <f t="shared" si="198"/>
        <v>22.0684</v>
      </c>
      <c r="AN205" s="537">
        <f t="shared" si="199"/>
        <v>0</v>
      </c>
      <c r="AO205" s="537">
        <f t="shared" si="200"/>
        <v>0</v>
      </c>
      <c r="AP205" s="537">
        <f t="shared" si="201"/>
        <v>0</v>
      </c>
      <c r="AQ205" s="537">
        <f t="shared" si="202"/>
        <v>0</v>
      </c>
      <c r="AR205" s="537">
        <f t="shared" si="203"/>
        <v>0</v>
      </c>
      <c r="AS205" s="537">
        <f t="shared" si="204"/>
        <v>11.3</v>
      </c>
      <c r="AT205" s="537">
        <f t="shared" si="205"/>
        <v>0</v>
      </c>
      <c r="AU205" s="537">
        <f t="shared" si="206"/>
        <v>0</v>
      </c>
      <c r="AV205" s="537">
        <f t="shared" si="207"/>
        <v>0</v>
      </c>
      <c r="AW205" s="537">
        <f t="shared" si="208"/>
        <v>12.1884</v>
      </c>
      <c r="AX205" s="537">
        <f t="shared" si="209"/>
        <v>-1.82</v>
      </c>
      <c r="AY205" s="537">
        <f t="shared" si="210"/>
        <v>0.4</v>
      </c>
      <c r="AZ205" s="537">
        <f t="shared" si="211"/>
        <v>0</v>
      </c>
      <c r="BA205" s="537">
        <f t="shared" si="212"/>
        <v>0</v>
      </c>
      <c r="BB205" s="537">
        <f t="shared" si="213"/>
        <v>0</v>
      </c>
      <c r="BC205" s="537">
        <f t="shared" si="214"/>
        <v>0</v>
      </c>
      <c r="BD205" s="374"/>
      <c r="BE205" s="374"/>
    </row>
    <row r="206" s="508" customFormat="1" ht="20.15" customHeight="1" spans="1:57">
      <c r="A206" s="523"/>
      <c r="B206" s="524"/>
      <c r="C206" s="525" t="s">
        <v>142</v>
      </c>
      <c r="D206" s="526">
        <v>220</v>
      </c>
      <c r="E206" s="527">
        <f t="shared" ref="E206:U206" si="220">SUM(E207:E211)</f>
        <v>23.536</v>
      </c>
      <c r="F206" s="527">
        <f t="shared" si="220"/>
        <v>0</v>
      </c>
      <c r="G206" s="527">
        <f t="shared" si="220"/>
        <v>0</v>
      </c>
      <c r="H206" s="527">
        <f t="shared" si="220"/>
        <v>0</v>
      </c>
      <c r="I206" s="527">
        <f t="shared" si="220"/>
        <v>0</v>
      </c>
      <c r="J206" s="527">
        <f t="shared" si="220"/>
        <v>0</v>
      </c>
      <c r="K206" s="527">
        <f t="shared" si="220"/>
        <v>16.56</v>
      </c>
      <c r="L206" s="527">
        <f t="shared" si="220"/>
        <v>0</v>
      </c>
      <c r="M206" s="527">
        <f t="shared" si="220"/>
        <v>0</v>
      </c>
      <c r="N206" s="527">
        <f t="shared" si="220"/>
        <v>0</v>
      </c>
      <c r="O206" s="527">
        <f t="shared" si="220"/>
        <v>5.98</v>
      </c>
      <c r="P206" s="527">
        <f t="shared" si="220"/>
        <v>0.996</v>
      </c>
      <c r="Q206" s="527">
        <f t="shared" si="220"/>
        <v>0</v>
      </c>
      <c r="R206" s="527">
        <f t="shared" si="220"/>
        <v>0</v>
      </c>
      <c r="S206" s="527">
        <f t="shared" si="220"/>
        <v>0</v>
      </c>
      <c r="T206" s="527">
        <f t="shared" si="220"/>
        <v>0</v>
      </c>
      <c r="U206" s="527">
        <f t="shared" si="220"/>
        <v>0</v>
      </c>
      <c r="V206" s="527">
        <f t="shared" ref="V206:BC206" si="221">SUM(V207:V211)</f>
        <v>4.11</v>
      </c>
      <c r="W206" s="527">
        <f t="shared" si="221"/>
        <v>0</v>
      </c>
      <c r="X206" s="527">
        <f t="shared" si="221"/>
        <v>0</v>
      </c>
      <c r="Y206" s="527">
        <f t="shared" si="221"/>
        <v>0</v>
      </c>
      <c r="Z206" s="527">
        <f t="shared" si="221"/>
        <v>0</v>
      </c>
      <c r="AA206" s="527">
        <f t="shared" si="221"/>
        <v>0</v>
      </c>
      <c r="AB206" s="527">
        <f t="shared" si="221"/>
        <v>5.15</v>
      </c>
      <c r="AC206" s="527">
        <f t="shared" si="221"/>
        <v>0</v>
      </c>
      <c r="AD206" s="527">
        <f t="shared" si="221"/>
        <v>0</v>
      </c>
      <c r="AE206" s="527">
        <f t="shared" si="221"/>
        <v>0</v>
      </c>
      <c r="AF206" s="527">
        <f t="shared" si="221"/>
        <v>-0.99</v>
      </c>
      <c r="AG206" s="527">
        <f t="shared" si="221"/>
        <v>0.25</v>
      </c>
      <c r="AH206" s="527">
        <f t="shared" si="221"/>
        <v>0</v>
      </c>
      <c r="AI206" s="527">
        <f t="shared" si="221"/>
        <v>0</v>
      </c>
      <c r="AJ206" s="527">
        <f t="shared" si="221"/>
        <v>0</v>
      </c>
      <c r="AK206" s="527">
        <f t="shared" si="221"/>
        <v>0</v>
      </c>
      <c r="AL206" s="527">
        <f t="shared" si="221"/>
        <v>0</v>
      </c>
      <c r="AM206" s="527">
        <f t="shared" si="221"/>
        <v>27.646</v>
      </c>
      <c r="AN206" s="536">
        <f t="shared" si="221"/>
        <v>0</v>
      </c>
      <c r="AO206" s="536">
        <f t="shared" si="221"/>
        <v>0</v>
      </c>
      <c r="AP206" s="536">
        <f t="shared" si="221"/>
        <v>0</v>
      </c>
      <c r="AQ206" s="536">
        <f t="shared" si="221"/>
        <v>0</v>
      </c>
      <c r="AR206" s="536">
        <f t="shared" si="221"/>
        <v>0</v>
      </c>
      <c r="AS206" s="536">
        <f t="shared" si="221"/>
        <v>21.71</v>
      </c>
      <c r="AT206" s="536">
        <f t="shared" si="221"/>
        <v>0</v>
      </c>
      <c r="AU206" s="536">
        <f t="shared" si="221"/>
        <v>0</v>
      </c>
      <c r="AV206" s="536">
        <f t="shared" si="221"/>
        <v>0</v>
      </c>
      <c r="AW206" s="536">
        <f t="shared" si="221"/>
        <v>4.99</v>
      </c>
      <c r="AX206" s="536">
        <f t="shared" si="221"/>
        <v>1.246</v>
      </c>
      <c r="AY206" s="536">
        <f t="shared" si="221"/>
        <v>0</v>
      </c>
      <c r="AZ206" s="536">
        <f t="shared" si="221"/>
        <v>0</v>
      </c>
      <c r="BA206" s="536">
        <f t="shared" si="221"/>
        <v>0</v>
      </c>
      <c r="BB206" s="536">
        <f t="shared" si="221"/>
        <v>0</v>
      </c>
      <c r="BC206" s="536">
        <f t="shared" si="221"/>
        <v>0</v>
      </c>
      <c r="BD206" s="332"/>
      <c r="BE206" s="332"/>
    </row>
    <row r="207" spans="1:57">
      <c r="A207" s="528" t="s">
        <v>590</v>
      </c>
      <c r="B207" s="528" t="s">
        <v>203</v>
      </c>
      <c r="C207" s="528" t="s">
        <v>622</v>
      </c>
      <c r="D207" s="542" t="s">
        <v>623</v>
      </c>
      <c r="E207" s="529">
        <f>SUM(F207:U207)</f>
        <v>20.62</v>
      </c>
      <c r="F207" s="530"/>
      <c r="G207" s="530"/>
      <c r="H207" s="530"/>
      <c r="I207" s="530"/>
      <c r="J207" s="530"/>
      <c r="K207" s="530">
        <v>14.64</v>
      </c>
      <c r="L207" s="530"/>
      <c r="M207" s="530"/>
      <c r="N207" s="530"/>
      <c r="O207" s="530">
        <v>5.98</v>
      </c>
      <c r="P207" s="530"/>
      <c r="Q207" s="530"/>
      <c r="R207" s="530"/>
      <c r="S207" s="530"/>
      <c r="T207" s="530"/>
      <c r="U207" s="530"/>
      <c r="V207" s="529">
        <f t="shared" si="197"/>
        <v>3.05</v>
      </c>
      <c r="W207" s="530"/>
      <c r="X207" s="530"/>
      <c r="Y207" s="530"/>
      <c r="Z207" s="530"/>
      <c r="AA207" s="530"/>
      <c r="AB207" s="530">
        <v>4.04</v>
      </c>
      <c r="AC207" s="530"/>
      <c r="AD207" s="530"/>
      <c r="AE207" s="530"/>
      <c r="AF207" s="530">
        <v>-0.99</v>
      </c>
      <c r="AG207" s="530"/>
      <c r="AH207" s="530"/>
      <c r="AI207" s="530"/>
      <c r="AJ207" s="530"/>
      <c r="AK207" s="530"/>
      <c r="AL207" s="530"/>
      <c r="AM207" s="529">
        <f t="shared" si="198"/>
        <v>23.67</v>
      </c>
      <c r="AN207" s="537">
        <f t="shared" si="199"/>
        <v>0</v>
      </c>
      <c r="AO207" s="537">
        <f t="shared" si="200"/>
        <v>0</v>
      </c>
      <c r="AP207" s="537">
        <f t="shared" si="201"/>
        <v>0</v>
      </c>
      <c r="AQ207" s="537">
        <f t="shared" si="202"/>
        <v>0</v>
      </c>
      <c r="AR207" s="537">
        <f t="shared" si="203"/>
        <v>0</v>
      </c>
      <c r="AS207" s="537">
        <f t="shared" si="204"/>
        <v>18.68</v>
      </c>
      <c r="AT207" s="537">
        <f t="shared" si="205"/>
        <v>0</v>
      </c>
      <c r="AU207" s="537">
        <f t="shared" si="206"/>
        <v>0</v>
      </c>
      <c r="AV207" s="537">
        <f t="shared" si="207"/>
        <v>0</v>
      </c>
      <c r="AW207" s="537">
        <f t="shared" si="208"/>
        <v>4.99</v>
      </c>
      <c r="AX207" s="537">
        <f t="shared" si="209"/>
        <v>0</v>
      </c>
      <c r="AY207" s="537">
        <f t="shared" si="210"/>
        <v>0</v>
      </c>
      <c r="AZ207" s="537">
        <f t="shared" si="211"/>
        <v>0</v>
      </c>
      <c r="BA207" s="537">
        <f t="shared" si="212"/>
        <v>0</v>
      </c>
      <c r="BB207" s="537">
        <f t="shared" si="213"/>
        <v>0</v>
      </c>
      <c r="BC207" s="537">
        <f t="shared" si="214"/>
        <v>0</v>
      </c>
      <c r="BD207" s="374"/>
      <c r="BE207" s="374"/>
    </row>
    <row r="208" ht="24" spans="1:57">
      <c r="A208" s="528" t="s">
        <v>590</v>
      </c>
      <c r="B208" s="528" t="s">
        <v>206</v>
      </c>
      <c r="C208" s="528" t="s">
        <v>628</v>
      </c>
      <c r="D208" s="542" t="s">
        <v>626</v>
      </c>
      <c r="E208" s="529">
        <f>SUM(F208:U208)</f>
        <v>0.24</v>
      </c>
      <c r="F208" s="530"/>
      <c r="G208" s="530"/>
      <c r="H208" s="530"/>
      <c r="I208" s="530"/>
      <c r="J208" s="530"/>
      <c r="K208" s="530">
        <v>0.24</v>
      </c>
      <c r="L208" s="530"/>
      <c r="M208" s="530"/>
      <c r="N208" s="530"/>
      <c r="O208" s="530"/>
      <c r="P208" s="530"/>
      <c r="Q208" s="530"/>
      <c r="R208" s="530"/>
      <c r="S208" s="530"/>
      <c r="T208" s="530"/>
      <c r="U208" s="530"/>
      <c r="V208" s="529">
        <f t="shared" si="197"/>
        <v>0.64</v>
      </c>
      <c r="W208" s="530"/>
      <c r="X208" s="530"/>
      <c r="Y208" s="530"/>
      <c r="Z208" s="530"/>
      <c r="AA208" s="530"/>
      <c r="AB208" s="530">
        <v>0.64</v>
      </c>
      <c r="AC208" s="530"/>
      <c r="AD208" s="530"/>
      <c r="AE208" s="530"/>
      <c r="AF208" s="530"/>
      <c r="AG208" s="530"/>
      <c r="AH208" s="530"/>
      <c r="AI208" s="530"/>
      <c r="AJ208" s="530"/>
      <c r="AK208" s="530"/>
      <c r="AL208" s="530"/>
      <c r="AM208" s="529">
        <f t="shared" si="198"/>
        <v>0.88</v>
      </c>
      <c r="AN208" s="537">
        <f t="shared" si="199"/>
        <v>0</v>
      </c>
      <c r="AO208" s="537">
        <f t="shared" si="200"/>
        <v>0</v>
      </c>
      <c r="AP208" s="537">
        <f t="shared" si="201"/>
        <v>0</v>
      </c>
      <c r="AQ208" s="537">
        <f t="shared" si="202"/>
        <v>0</v>
      </c>
      <c r="AR208" s="537">
        <f t="shared" si="203"/>
        <v>0</v>
      </c>
      <c r="AS208" s="537">
        <f t="shared" si="204"/>
        <v>0.88</v>
      </c>
      <c r="AT208" s="537">
        <f t="shared" si="205"/>
        <v>0</v>
      </c>
      <c r="AU208" s="537">
        <f t="shared" si="206"/>
        <v>0</v>
      </c>
      <c r="AV208" s="537">
        <f t="shared" si="207"/>
        <v>0</v>
      </c>
      <c r="AW208" s="537">
        <f t="shared" si="208"/>
        <v>0</v>
      </c>
      <c r="AX208" s="537">
        <f t="shared" si="209"/>
        <v>0</v>
      </c>
      <c r="AY208" s="537">
        <f t="shared" si="210"/>
        <v>0</v>
      </c>
      <c r="AZ208" s="537">
        <f t="shared" si="211"/>
        <v>0</v>
      </c>
      <c r="BA208" s="537">
        <f t="shared" si="212"/>
        <v>0</v>
      </c>
      <c r="BB208" s="537">
        <f t="shared" si="213"/>
        <v>0</v>
      </c>
      <c r="BC208" s="537">
        <f t="shared" si="214"/>
        <v>0</v>
      </c>
      <c r="BD208" s="374"/>
      <c r="BE208" s="374"/>
    </row>
    <row r="209" ht="24" spans="1:57">
      <c r="A209" s="528" t="s">
        <v>590</v>
      </c>
      <c r="B209" s="528" t="s">
        <v>206</v>
      </c>
      <c r="C209" s="528" t="s">
        <v>629</v>
      </c>
      <c r="D209" s="542" t="s">
        <v>626</v>
      </c>
      <c r="E209" s="529"/>
      <c r="F209" s="530"/>
      <c r="G209" s="530"/>
      <c r="H209" s="530"/>
      <c r="I209" s="530"/>
      <c r="J209" s="530"/>
      <c r="K209" s="530"/>
      <c r="L209" s="530"/>
      <c r="M209" s="530"/>
      <c r="N209" s="530"/>
      <c r="O209" s="530"/>
      <c r="P209" s="530"/>
      <c r="Q209" s="530"/>
      <c r="R209" s="530"/>
      <c r="S209" s="530"/>
      <c r="T209" s="530"/>
      <c r="U209" s="530"/>
      <c r="V209" s="529"/>
      <c r="W209" s="530"/>
      <c r="X209" s="530"/>
      <c r="Y209" s="530"/>
      <c r="Z209" s="530"/>
      <c r="AA209" s="530"/>
      <c r="AB209" s="530">
        <v>0.3</v>
      </c>
      <c r="AC209" s="530"/>
      <c r="AD209" s="530"/>
      <c r="AE209" s="530"/>
      <c r="AF209" s="530"/>
      <c r="AG209" s="530"/>
      <c r="AH209" s="530"/>
      <c r="AI209" s="530"/>
      <c r="AJ209" s="530"/>
      <c r="AK209" s="530"/>
      <c r="AL209" s="530"/>
      <c r="AM209" s="529"/>
      <c r="AN209" s="537"/>
      <c r="AO209" s="537"/>
      <c r="AP209" s="537"/>
      <c r="AQ209" s="537"/>
      <c r="AR209" s="537"/>
      <c r="AS209" s="537">
        <f t="shared" si="204"/>
        <v>0.3</v>
      </c>
      <c r="AT209" s="537"/>
      <c r="AU209" s="537"/>
      <c r="AV209" s="537"/>
      <c r="AW209" s="537"/>
      <c r="AX209" s="537"/>
      <c r="AY209" s="537"/>
      <c r="AZ209" s="537"/>
      <c r="BA209" s="537"/>
      <c r="BB209" s="537"/>
      <c r="BC209" s="537"/>
      <c r="BD209" s="374"/>
      <c r="BE209" s="374"/>
    </row>
    <row r="210" ht="24" spans="1:57">
      <c r="A210" s="528" t="s">
        <v>590</v>
      </c>
      <c r="B210" s="528" t="s">
        <v>206</v>
      </c>
      <c r="C210" s="528" t="s">
        <v>630</v>
      </c>
      <c r="D210" s="542" t="s">
        <v>631</v>
      </c>
      <c r="E210" s="529">
        <f>SUM(F210:U210)</f>
        <v>0.96</v>
      </c>
      <c r="F210" s="530"/>
      <c r="G210" s="530"/>
      <c r="H210" s="530"/>
      <c r="I210" s="530"/>
      <c r="J210" s="530"/>
      <c r="K210" s="530">
        <v>0.96</v>
      </c>
      <c r="L210" s="530"/>
      <c r="M210" s="530"/>
      <c r="N210" s="530"/>
      <c r="O210" s="530"/>
      <c r="P210" s="530"/>
      <c r="Q210" s="530"/>
      <c r="R210" s="530"/>
      <c r="S210" s="530"/>
      <c r="T210" s="530"/>
      <c r="U210" s="530"/>
      <c r="V210" s="529">
        <f>SUM(W210:AL210)</f>
        <v>0.74</v>
      </c>
      <c r="W210" s="530"/>
      <c r="X210" s="530"/>
      <c r="Y210" s="530"/>
      <c r="Z210" s="530"/>
      <c r="AA210" s="530"/>
      <c r="AB210" s="530">
        <v>-0.01</v>
      </c>
      <c r="AC210" s="530"/>
      <c r="AD210" s="530"/>
      <c r="AE210" s="530"/>
      <c r="AF210" s="530"/>
      <c r="AG210" s="530">
        <v>0.75</v>
      </c>
      <c r="AH210" s="530"/>
      <c r="AI210" s="530"/>
      <c r="AJ210" s="530"/>
      <c r="AK210" s="530"/>
      <c r="AL210" s="530"/>
      <c r="AM210" s="529">
        <f>SUM(AN210:BC210)</f>
        <v>1.7</v>
      </c>
      <c r="AN210" s="537">
        <f>F210+W210</f>
        <v>0</v>
      </c>
      <c r="AO210" s="537">
        <f>G210+X210</f>
        <v>0</v>
      </c>
      <c r="AP210" s="537">
        <f>H210+Y210</f>
        <v>0</v>
      </c>
      <c r="AQ210" s="537">
        <f>I210+Z210</f>
        <v>0</v>
      </c>
      <c r="AR210" s="537">
        <f>J210+AA210</f>
        <v>0</v>
      </c>
      <c r="AS210" s="537">
        <f t="shared" si="204"/>
        <v>0.95</v>
      </c>
      <c r="AT210" s="537">
        <f t="shared" ref="AT210:BC210" si="222">L210+AC210</f>
        <v>0</v>
      </c>
      <c r="AU210" s="537">
        <f t="shared" si="222"/>
        <v>0</v>
      </c>
      <c r="AV210" s="537">
        <f t="shared" si="222"/>
        <v>0</v>
      </c>
      <c r="AW210" s="537">
        <f t="shared" si="222"/>
        <v>0</v>
      </c>
      <c r="AX210" s="537">
        <f t="shared" si="222"/>
        <v>0.75</v>
      </c>
      <c r="AY210" s="537">
        <f t="shared" si="222"/>
        <v>0</v>
      </c>
      <c r="AZ210" s="537">
        <f t="shared" si="222"/>
        <v>0</v>
      </c>
      <c r="BA210" s="537">
        <f t="shared" si="222"/>
        <v>0</v>
      </c>
      <c r="BB210" s="537">
        <f t="shared" si="222"/>
        <v>0</v>
      </c>
      <c r="BC210" s="537">
        <f t="shared" si="222"/>
        <v>0</v>
      </c>
      <c r="BD210" s="374"/>
      <c r="BE210" s="374"/>
    </row>
    <row r="211" ht="24" spans="1:57">
      <c r="A211" s="528" t="s">
        <v>590</v>
      </c>
      <c r="B211" s="528" t="s">
        <v>206</v>
      </c>
      <c r="C211" s="528" t="s">
        <v>627</v>
      </c>
      <c r="D211" s="542" t="s">
        <v>626</v>
      </c>
      <c r="E211" s="529">
        <f>SUM(F211:U211)</f>
        <v>1.716</v>
      </c>
      <c r="F211" s="530"/>
      <c r="G211" s="530"/>
      <c r="H211" s="530"/>
      <c r="I211" s="530"/>
      <c r="J211" s="530"/>
      <c r="K211" s="530">
        <v>0.72</v>
      </c>
      <c r="L211" s="530"/>
      <c r="M211" s="530"/>
      <c r="N211" s="530"/>
      <c r="O211" s="530"/>
      <c r="P211" s="530">
        <v>0.996</v>
      </c>
      <c r="Q211" s="530"/>
      <c r="R211" s="530"/>
      <c r="S211" s="530"/>
      <c r="T211" s="530"/>
      <c r="U211" s="530"/>
      <c r="V211" s="529">
        <f>SUM(W211:AL211)</f>
        <v>-0.32</v>
      </c>
      <c r="W211" s="530"/>
      <c r="X211" s="530"/>
      <c r="Y211" s="530"/>
      <c r="Z211" s="530"/>
      <c r="AA211" s="530"/>
      <c r="AB211" s="530">
        <v>0.18</v>
      </c>
      <c r="AC211" s="530"/>
      <c r="AD211" s="530"/>
      <c r="AE211" s="530"/>
      <c r="AF211" s="530"/>
      <c r="AG211" s="530">
        <v>-0.5</v>
      </c>
      <c r="AH211" s="530"/>
      <c r="AI211" s="530"/>
      <c r="AJ211" s="530"/>
      <c r="AK211" s="530"/>
      <c r="AL211" s="530"/>
      <c r="AM211" s="529">
        <f>SUM(AN211:BC211)</f>
        <v>1.396</v>
      </c>
      <c r="AN211" s="537">
        <f>F211+W211</f>
        <v>0</v>
      </c>
      <c r="AO211" s="537">
        <f>G211+X211</f>
        <v>0</v>
      </c>
      <c r="AP211" s="537">
        <f>H211+Y211</f>
        <v>0</v>
      </c>
      <c r="AQ211" s="537">
        <f>I211+Z211</f>
        <v>0</v>
      </c>
      <c r="AR211" s="537">
        <f>J211+AA211</f>
        <v>0</v>
      </c>
      <c r="AS211" s="537">
        <f t="shared" si="204"/>
        <v>0.9</v>
      </c>
      <c r="AT211" s="537">
        <f t="shared" ref="AT211:BC211" si="223">L211+AC211</f>
        <v>0</v>
      </c>
      <c r="AU211" s="537">
        <f t="shared" si="223"/>
        <v>0</v>
      </c>
      <c r="AV211" s="537">
        <f t="shared" si="223"/>
        <v>0</v>
      </c>
      <c r="AW211" s="537">
        <f t="shared" si="223"/>
        <v>0</v>
      </c>
      <c r="AX211" s="537">
        <f t="shared" si="223"/>
        <v>0.496</v>
      </c>
      <c r="AY211" s="537">
        <f t="shared" si="223"/>
        <v>0</v>
      </c>
      <c r="AZ211" s="537">
        <f t="shared" si="223"/>
        <v>0</v>
      </c>
      <c r="BA211" s="537">
        <f t="shared" si="223"/>
        <v>0</v>
      </c>
      <c r="BB211" s="537">
        <f t="shared" si="223"/>
        <v>0</v>
      </c>
      <c r="BC211" s="537">
        <f t="shared" si="223"/>
        <v>0</v>
      </c>
      <c r="BD211" s="374"/>
      <c r="BE211" s="374"/>
    </row>
    <row r="212" s="508" customFormat="1" ht="20.15" customHeight="1" spans="1:57">
      <c r="A212" s="523"/>
      <c r="B212" s="524"/>
      <c r="C212" s="525" t="s">
        <v>145</v>
      </c>
      <c r="D212" s="526">
        <v>224</v>
      </c>
      <c r="E212" s="527">
        <f t="shared" ref="E212:U212" si="224">SUM(E213)</f>
        <v>0.4</v>
      </c>
      <c r="F212" s="527">
        <f t="shared" si="224"/>
        <v>0</v>
      </c>
      <c r="G212" s="527">
        <f t="shared" si="224"/>
        <v>0</v>
      </c>
      <c r="H212" s="527">
        <f t="shared" si="224"/>
        <v>0</v>
      </c>
      <c r="I212" s="527">
        <f t="shared" si="224"/>
        <v>0</v>
      </c>
      <c r="J212" s="527">
        <f t="shared" si="224"/>
        <v>0</v>
      </c>
      <c r="K212" s="527">
        <f t="shared" si="224"/>
        <v>0.4</v>
      </c>
      <c r="L212" s="527">
        <f t="shared" si="224"/>
        <v>0</v>
      </c>
      <c r="M212" s="527">
        <f t="shared" si="224"/>
        <v>0</v>
      </c>
      <c r="N212" s="527">
        <f t="shared" si="224"/>
        <v>0</v>
      </c>
      <c r="O212" s="527">
        <f t="shared" si="224"/>
        <v>0</v>
      </c>
      <c r="P212" s="527">
        <f t="shared" si="224"/>
        <v>0</v>
      </c>
      <c r="Q212" s="527">
        <f t="shared" si="224"/>
        <v>0</v>
      </c>
      <c r="R212" s="527">
        <f t="shared" si="224"/>
        <v>0</v>
      </c>
      <c r="S212" s="527">
        <f t="shared" si="224"/>
        <v>0</v>
      </c>
      <c r="T212" s="527">
        <f t="shared" si="224"/>
        <v>0</v>
      </c>
      <c r="U212" s="527">
        <f t="shared" si="224"/>
        <v>0</v>
      </c>
      <c r="V212" s="527">
        <f t="shared" ref="V212:BC212" si="225">SUM(V213)</f>
        <v>3.7</v>
      </c>
      <c r="W212" s="527">
        <f t="shared" si="225"/>
        <v>0</v>
      </c>
      <c r="X212" s="527">
        <f t="shared" si="225"/>
        <v>0</v>
      </c>
      <c r="Y212" s="527">
        <f t="shared" si="225"/>
        <v>0</v>
      </c>
      <c r="Z212" s="527">
        <f t="shared" si="225"/>
        <v>0</v>
      </c>
      <c r="AA212" s="527">
        <f t="shared" si="225"/>
        <v>0</v>
      </c>
      <c r="AB212" s="527">
        <f t="shared" si="225"/>
        <v>2.1</v>
      </c>
      <c r="AC212" s="527">
        <f t="shared" si="225"/>
        <v>0</v>
      </c>
      <c r="AD212" s="527">
        <f t="shared" si="225"/>
        <v>0</v>
      </c>
      <c r="AE212" s="527">
        <f t="shared" si="225"/>
        <v>0</v>
      </c>
      <c r="AF212" s="527">
        <f t="shared" si="225"/>
        <v>0</v>
      </c>
      <c r="AG212" s="527">
        <f t="shared" si="225"/>
        <v>0</v>
      </c>
      <c r="AH212" s="527">
        <f t="shared" si="225"/>
        <v>1.6</v>
      </c>
      <c r="AI212" s="527">
        <f t="shared" si="225"/>
        <v>0</v>
      </c>
      <c r="AJ212" s="527">
        <f t="shared" si="225"/>
        <v>0</v>
      </c>
      <c r="AK212" s="527">
        <f t="shared" si="225"/>
        <v>0</v>
      </c>
      <c r="AL212" s="527">
        <f t="shared" si="225"/>
        <v>0</v>
      </c>
      <c r="AM212" s="527">
        <f t="shared" si="225"/>
        <v>4.1</v>
      </c>
      <c r="AN212" s="536">
        <f t="shared" si="225"/>
        <v>0</v>
      </c>
      <c r="AO212" s="536">
        <f t="shared" si="225"/>
        <v>0</v>
      </c>
      <c r="AP212" s="536">
        <f t="shared" si="225"/>
        <v>0</v>
      </c>
      <c r="AQ212" s="536">
        <f t="shared" si="225"/>
        <v>0</v>
      </c>
      <c r="AR212" s="536">
        <f t="shared" si="225"/>
        <v>0</v>
      </c>
      <c r="AS212" s="536">
        <f t="shared" si="225"/>
        <v>2.5</v>
      </c>
      <c r="AT212" s="536">
        <f t="shared" si="225"/>
        <v>0</v>
      </c>
      <c r="AU212" s="536">
        <f t="shared" si="225"/>
        <v>0</v>
      </c>
      <c r="AV212" s="536">
        <f t="shared" si="225"/>
        <v>0</v>
      </c>
      <c r="AW212" s="536">
        <f t="shared" si="225"/>
        <v>0</v>
      </c>
      <c r="AX212" s="536">
        <f t="shared" si="225"/>
        <v>0</v>
      </c>
      <c r="AY212" s="536">
        <f t="shared" si="225"/>
        <v>1.6</v>
      </c>
      <c r="AZ212" s="536">
        <f t="shared" si="225"/>
        <v>0</v>
      </c>
      <c r="BA212" s="536">
        <f t="shared" si="225"/>
        <v>0</v>
      </c>
      <c r="BB212" s="536">
        <f t="shared" si="225"/>
        <v>0</v>
      </c>
      <c r="BC212" s="536">
        <f t="shared" si="225"/>
        <v>0</v>
      </c>
      <c r="BD212" s="332"/>
      <c r="BE212" s="332"/>
    </row>
    <row r="213" ht="24" spans="1:57">
      <c r="A213" s="528" t="s">
        <v>261</v>
      </c>
      <c r="B213" s="1" t="s">
        <v>203</v>
      </c>
      <c r="C213" s="1" t="s">
        <v>634</v>
      </c>
      <c r="D213" s="1" t="s">
        <v>812</v>
      </c>
      <c r="E213" s="529">
        <f>SUM(F213:U213)</f>
        <v>0.4</v>
      </c>
      <c r="F213" s="530"/>
      <c r="G213" s="530"/>
      <c r="H213" s="530"/>
      <c r="I213" s="530"/>
      <c r="J213" s="530"/>
      <c r="K213" s="530">
        <v>0.4</v>
      </c>
      <c r="L213" s="530"/>
      <c r="M213" s="530"/>
      <c r="N213" s="530"/>
      <c r="O213" s="530"/>
      <c r="P213" s="530"/>
      <c r="Q213" s="530"/>
      <c r="R213" s="530"/>
      <c r="S213" s="530"/>
      <c r="T213" s="530"/>
      <c r="U213" s="530"/>
      <c r="V213" s="529">
        <f>SUM(W213:AL213)</f>
        <v>3.7</v>
      </c>
      <c r="W213" s="530"/>
      <c r="X213" s="530"/>
      <c r="Y213" s="530"/>
      <c r="Z213" s="530"/>
      <c r="AA213" s="530"/>
      <c r="AB213" s="530">
        <v>2.1</v>
      </c>
      <c r="AC213" s="530"/>
      <c r="AD213" s="530"/>
      <c r="AE213" s="530"/>
      <c r="AF213" s="530"/>
      <c r="AG213" s="530"/>
      <c r="AH213" s="530">
        <v>1.6</v>
      </c>
      <c r="AI213" s="530"/>
      <c r="AJ213" s="530"/>
      <c r="AK213" s="530"/>
      <c r="AL213" s="530"/>
      <c r="AM213" s="529">
        <f>SUM(AN213:BC213)</f>
        <v>4.1</v>
      </c>
      <c r="AN213" s="537">
        <f t="shared" ref="AN213:BC213" si="226">F213+W213</f>
        <v>0</v>
      </c>
      <c r="AO213" s="537">
        <f t="shared" si="226"/>
        <v>0</v>
      </c>
      <c r="AP213" s="537">
        <f t="shared" si="226"/>
        <v>0</v>
      </c>
      <c r="AQ213" s="537">
        <f t="shared" si="226"/>
        <v>0</v>
      </c>
      <c r="AR213" s="537">
        <f t="shared" si="226"/>
        <v>0</v>
      </c>
      <c r="AS213" s="537">
        <f t="shared" si="226"/>
        <v>2.5</v>
      </c>
      <c r="AT213" s="537">
        <f t="shared" si="226"/>
        <v>0</v>
      </c>
      <c r="AU213" s="537">
        <f t="shared" si="226"/>
        <v>0</v>
      </c>
      <c r="AV213" s="537">
        <f t="shared" si="226"/>
        <v>0</v>
      </c>
      <c r="AW213" s="537">
        <f t="shared" si="226"/>
        <v>0</v>
      </c>
      <c r="AX213" s="537">
        <f t="shared" si="226"/>
        <v>0</v>
      </c>
      <c r="AY213" s="537">
        <f t="shared" si="226"/>
        <v>1.6</v>
      </c>
      <c r="AZ213" s="537">
        <f t="shared" si="226"/>
        <v>0</v>
      </c>
      <c r="BA213" s="537">
        <f t="shared" si="226"/>
        <v>0</v>
      </c>
      <c r="BB213" s="537">
        <f t="shared" si="226"/>
        <v>0</v>
      </c>
      <c r="BC213" s="537">
        <f t="shared" si="226"/>
        <v>0</v>
      </c>
      <c r="BD213" s="374"/>
      <c r="BE213" s="374"/>
    </row>
    <row r="214" spans="3:3">
      <c r="C214" s="317"/>
    </row>
    <row r="215" spans="3:3">
      <c r="C215" s="317"/>
    </row>
  </sheetData>
  <autoFilter ref="A4:BF213">
    <extLst/>
  </autoFilter>
  <mergeCells count="10">
    <mergeCell ref="B2:D2"/>
    <mergeCell ref="E3:U3"/>
    <mergeCell ref="V3:AL3"/>
    <mergeCell ref="AM3:BC3"/>
    <mergeCell ref="A3:A4"/>
    <mergeCell ref="B3:B4"/>
    <mergeCell ref="C3:C4"/>
    <mergeCell ref="D3:D4"/>
    <mergeCell ref="BD3:BD4"/>
    <mergeCell ref="BE3:BE4"/>
  </mergeCells>
  <pageMargins left="0.75" right="0.75" top="1" bottom="1" header="0.509027777777778" footer="0.509027777777778"/>
  <pageSetup paperSize="8" scale="37" fitToHeight="0" orientation="landscape"/>
  <headerFooter>
    <oddFooter>&amp;C第 &amp;P 页，共 &amp;N 页</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BD343"/>
  <sheetViews>
    <sheetView zoomScale="90" zoomScaleNormal="90" workbookViewId="0">
      <pane xSplit="4" ySplit="5" topLeftCell="E104" activePane="bottomRight" state="frozen"/>
      <selection/>
      <selection pane="topRight"/>
      <selection pane="bottomLeft"/>
      <selection pane="bottomRight" activeCell="Z104" sqref="Z104:Z144"/>
    </sheetView>
  </sheetViews>
  <sheetFormatPr defaultColWidth="9" defaultRowHeight="13.5"/>
  <cols>
    <col min="1" max="1" width="4.5" style="427" customWidth="1"/>
    <col min="2" max="2" width="9.75" style="428" customWidth="1"/>
    <col min="3" max="3" width="8.75" style="429" customWidth="1"/>
    <col min="4" max="4" width="16.375" style="429" customWidth="1"/>
    <col min="5" max="5" width="9" style="430" customWidth="1"/>
    <col min="6" max="6" width="10.375" style="431" customWidth="1"/>
    <col min="7" max="7" width="10.375" style="431" hidden="1" customWidth="1"/>
    <col min="8" max="8" width="9.125" style="432" hidden="1" customWidth="1"/>
    <col min="9" max="9" width="8.86666666666667" style="432" hidden="1" customWidth="1"/>
    <col min="10" max="10" width="10" style="432" hidden="1" customWidth="1"/>
    <col min="11" max="11" width="8.25" style="432" hidden="1" customWidth="1"/>
    <col min="12" max="12" width="8.5" style="432" hidden="1" customWidth="1"/>
    <col min="13" max="13" width="9.63333333333333" style="432" hidden="1" customWidth="1"/>
    <col min="14" max="14" width="16.875" style="428" hidden="1" customWidth="1"/>
    <col min="15" max="15" width="9.375" style="433" customWidth="1"/>
    <col min="16" max="16" width="9.26666666666667" style="434" hidden="1" customWidth="1"/>
    <col min="17" max="17" width="10.1333333333333" style="434" hidden="1" customWidth="1"/>
    <col min="18" max="18" width="8.5" style="434" customWidth="1"/>
    <col min="19" max="19" width="9" style="435" customWidth="1"/>
    <col min="20" max="20" width="10.875" style="435" customWidth="1"/>
    <col min="21" max="21" width="10" style="436" hidden="1" customWidth="1"/>
    <col min="22" max="22" width="13.5" style="435" hidden="1" customWidth="1"/>
    <col min="23" max="23" width="15.4166666666667" style="437" hidden="1" customWidth="1"/>
    <col min="24" max="24" width="11.25" style="435" customWidth="1"/>
    <col min="25" max="25" width="10.375" style="435" customWidth="1"/>
    <col min="26" max="30" width="9" style="435" customWidth="1"/>
    <col min="31" max="31" width="10.375" style="435" customWidth="1"/>
    <col min="32" max="36" width="9" style="435" customWidth="1"/>
    <col min="37" max="37" width="9.5" style="435" customWidth="1"/>
    <col min="38" max="38" width="29.7166666666667" style="435" customWidth="1"/>
    <col min="39" max="39" width="10.375" style="435" customWidth="1"/>
    <col min="40" max="40" width="10.375" style="435" hidden="1" customWidth="1"/>
    <col min="41" max="41" width="9.375" style="435" hidden="1" customWidth="1"/>
    <col min="42" max="42" width="9" style="435" hidden="1" customWidth="1"/>
    <col min="43" max="44" width="9.375" style="435" hidden="1" customWidth="1"/>
    <col min="45" max="45" width="9" style="435" hidden="1" customWidth="1"/>
    <col min="46" max="46" width="9.375" style="435" hidden="1" customWidth="1"/>
    <col min="47" max="47" width="10.375" style="435" customWidth="1"/>
    <col min="48" max="48" width="9.375" style="438" hidden="1" customWidth="1"/>
    <col min="49" max="49" width="9.375" style="435" hidden="1" customWidth="1"/>
    <col min="50" max="51" width="9.375" style="435" customWidth="1"/>
    <col min="52" max="52" width="10.375" style="435" customWidth="1"/>
    <col min="53" max="53" width="9" customWidth="1"/>
    <col min="54" max="54" width="12.375" style="435" hidden="1" customWidth="1"/>
    <col min="55" max="55" width="12" style="435"/>
    <col min="56" max="56" width="10.125" style="435"/>
    <col min="57" max="16384" width="9" style="435"/>
  </cols>
  <sheetData>
    <row r="1" s="421" customFormat="1" ht="32" customHeight="1" spans="1:54">
      <c r="A1" s="439" t="s">
        <v>813</v>
      </c>
      <c r="B1" s="439"/>
      <c r="C1" s="439"/>
      <c r="D1" s="439"/>
      <c r="E1" s="439"/>
      <c r="F1" s="439"/>
      <c r="G1" s="439"/>
      <c r="H1" s="439"/>
      <c r="I1" s="439"/>
      <c r="J1" s="439"/>
      <c r="K1" s="439"/>
      <c r="L1" s="439"/>
      <c r="M1" s="439"/>
      <c r="N1" s="439"/>
      <c r="O1" s="439"/>
      <c r="P1" s="439"/>
      <c r="Q1" s="439"/>
      <c r="R1" s="439"/>
      <c r="S1" s="439"/>
      <c r="T1" s="439"/>
      <c r="U1" s="439"/>
      <c r="V1" s="439"/>
      <c r="W1" s="439"/>
      <c r="X1" s="465"/>
      <c r="Y1" s="465"/>
      <c r="Z1" s="465"/>
      <c r="AA1" s="465"/>
      <c r="AB1" s="465"/>
      <c r="AC1" s="465"/>
      <c r="AD1" s="465"/>
      <c r="AE1" s="465"/>
      <c r="AF1" s="465"/>
      <c r="AG1" s="465"/>
      <c r="AH1" s="465"/>
      <c r="AI1" s="465"/>
      <c r="AJ1" s="465"/>
      <c r="AK1" s="465"/>
      <c r="AL1" s="465"/>
      <c r="AM1" s="465"/>
      <c r="AN1" s="465"/>
      <c r="AO1" s="465"/>
      <c r="AP1" s="465"/>
      <c r="AQ1" s="465"/>
      <c r="AR1" s="465"/>
      <c r="AS1" s="465"/>
      <c r="AT1" s="465"/>
      <c r="AU1" s="465"/>
      <c r="AV1" s="473"/>
      <c r="AW1" s="465"/>
      <c r="AX1" s="465"/>
      <c r="AY1" s="465"/>
      <c r="AZ1" s="465"/>
      <c r="BA1" s="465"/>
      <c r="BB1" s="465"/>
    </row>
    <row r="2" s="421" customFormat="1" ht="13" customHeight="1" spans="1:52">
      <c r="A2" s="440"/>
      <c r="B2" s="440"/>
      <c r="C2" s="440"/>
      <c r="D2" s="440"/>
      <c r="E2" s="440"/>
      <c r="F2" s="440"/>
      <c r="G2" s="440"/>
      <c r="H2" s="440"/>
      <c r="I2" s="440"/>
      <c r="J2" s="440"/>
      <c r="K2" s="440"/>
      <c r="L2" s="440"/>
      <c r="M2" s="440"/>
      <c r="N2" s="440"/>
      <c r="O2" s="440"/>
      <c r="P2" s="440"/>
      <c r="Q2" s="440"/>
      <c r="R2" s="440"/>
      <c r="S2" s="440"/>
      <c r="T2" s="440"/>
      <c r="U2" s="440"/>
      <c r="V2" s="440"/>
      <c r="W2" s="440"/>
      <c r="AV2" s="423"/>
      <c r="AZ2" s="440" t="s">
        <v>2</v>
      </c>
    </row>
    <row r="3" s="421" customFormat="1" ht="17" customHeight="1" spans="1:54">
      <c r="A3" s="441" t="s">
        <v>155</v>
      </c>
      <c r="B3" s="442" t="s">
        <v>178</v>
      </c>
      <c r="C3" s="442" t="s">
        <v>179</v>
      </c>
      <c r="D3" s="442" t="s">
        <v>157</v>
      </c>
      <c r="E3" s="443" t="s">
        <v>156</v>
      </c>
      <c r="F3" s="444" t="s">
        <v>114</v>
      </c>
      <c r="G3" s="444"/>
      <c r="H3" s="444"/>
      <c r="I3" s="444"/>
      <c r="J3" s="444"/>
      <c r="K3" s="444"/>
      <c r="L3" s="444"/>
      <c r="M3" s="444"/>
      <c r="N3" s="444"/>
      <c r="O3" s="444"/>
      <c r="P3" s="444"/>
      <c r="Q3" s="444"/>
      <c r="R3" s="444"/>
      <c r="S3" s="444"/>
      <c r="T3" s="444"/>
      <c r="U3" s="444"/>
      <c r="V3" s="444"/>
      <c r="W3" s="444"/>
      <c r="X3" s="466" t="s">
        <v>158</v>
      </c>
      <c r="Y3" s="466"/>
      <c r="Z3" s="466"/>
      <c r="AA3" s="466"/>
      <c r="AB3" s="466"/>
      <c r="AC3" s="466"/>
      <c r="AD3" s="466"/>
      <c r="AE3" s="466"/>
      <c r="AF3" s="466"/>
      <c r="AG3" s="466"/>
      <c r="AH3" s="466"/>
      <c r="AI3" s="466"/>
      <c r="AJ3" s="466"/>
      <c r="AK3" s="466"/>
      <c r="AL3" s="466"/>
      <c r="AM3" s="472" t="s">
        <v>159</v>
      </c>
      <c r="AN3" s="472"/>
      <c r="AO3" s="472"/>
      <c r="AP3" s="472"/>
      <c r="AQ3" s="472"/>
      <c r="AR3" s="472"/>
      <c r="AS3" s="472"/>
      <c r="AT3" s="472"/>
      <c r="AU3" s="472"/>
      <c r="AV3" s="474"/>
      <c r="AW3" s="472"/>
      <c r="AX3" s="472"/>
      <c r="AY3" s="472"/>
      <c r="AZ3" s="472"/>
      <c r="BA3" s="475" t="s">
        <v>814</v>
      </c>
      <c r="BB3" s="476" t="s">
        <v>815</v>
      </c>
    </row>
    <row r="4" s="422" customFormat="1" ht="29" customHeight="1" spans="1:54">
      <c r="A4" s="445"/>
      <c r="B4" s="446"/>
      <c r="C4" s="446"/>
      <c r="D4" s="446"/>
      <c r="E4" s="447"/>
      <c r="F4" s="444" t="s">
        <v>22</v>
      </c>
      <c r="G4" s="444" t="s">
        <v>816</v>
      </c>
      <c r="H4" s="444"/>
      <c r="I4" s="444"/>
      <c r="J4" s="444"/>
      <c r="K4" s="444"/>
      <c r="L4" s="444"/>
      <c r="M4" s="444"/>
      <c r="N4" s="444"/>
      <c r="O4" s="444" t="s">
        <v>817</v>
      </c>
      <c r="P4" s="444"/>
      <c r="Q4" s="444"/>
      <c r="R4" s="444"/>
      <c r="S4" s="444"/>
      <c r="T4" s="444"/>
      <c r="U4" s="444" t="s">
        <v>818</v>
      </c>
      <c r="V4" s="444"/>
      <c r="W4" s="444"/>
      <c r="X4" s="444" t="s">
        <v>22</v>
      </c>
      <c r="Y4" s="444" t="s">
        <v>816</v>
      </c>
      <c r="Z4" s="444"/>
      <c r="AA4" s="444"/>
      <c r="AB4" s="444"/>
      <c r="AC4" s="444"/>
      <c r="AD4" s="444"/>
      <c r="AE4" s="444"/>
      <c r="AF4" s="444" t="s">
        <v>817</v>
      </c>
      <c r="AG4" s="444"/>
      <c r="AH4" s="444"/>
      <c r="AI4" s="444"/>
      <c r="AJ4" s="444"/>
      <c r="AK4" s="444" t="s">
        <v>818</v>
      </c>
      <c r="AL4" s="444" t="s">
        <v>819</v>
      </c>
      <c r="AM4" s="444" t="s">
        <v>22</v>
      </c>
      <c r="AN4" s="444" t="s">
        <v>816</v>
      </c>
      <c r="AO4" s="444"/>
      <c r="AP4" s="444"/>
      <c r="AQ4" s="444"/>
      <c r="AR4" s="444"/>
      <c r="AS4" s="444"/>
      <c r="AT4" s="444"/>
      <c r="AU4" s="444" t="s">
        <v>817</v>
      </c>
      <c r="AV4" s="444"/>
      <c r="AW4" s="444"/>
      <c r="AX4" s="444"/>
      <c r="AY4" s="444"/>
      <c r="AZ4" s="444" t="s">
        <v>818</v>
      </c>
      <c r="BA4" s="477"/>
      <c r="BB4" s="478"/>
    </row>
    <row r="5" s="423" customFormat="1" ht="49" customHeight="1" spans="1:56">
      <c r="A5" s="448"/>
      <c r="B5" s="449"/>
      <c r="C5" s="449"/>
      <c r="D5" s="449"/>
      <c r="E5" s="450"/>
      <c r="F5" s="444"/>
      <c r="G5" s="451" t="s">
        <v>184</v>
      </c>
      <c r="H5" s="451" t="s">
        <v>820</v>
      </c>
      <c r="I5" s="451" t="s">
        <v>821</v>
      </c>
      <c r="J5" s="451" t="s">
        <v>822</v>
      </c>
      <c r="K5" s="451" t="s">
        <v>823</v>
      </c>
      <c r="L5" s="451" t="s">
        <v>824</v>
      </c>
      <c r="M5" s="451" t="s">
        <v>825</v>
      </c>
      <c r="N5" s="451" t="s">
        <v>826</v>
      </c>
      <c r="O5" s="451" t="s">
        <v>184</v>
      </c>
      <c r="P5" s="451" t="s">
        <v>827</v>
      </c>
      <c r="Q5" s="451" t="s">
        <v>828</v>
      </c>
      <c r="R5" s="451" t="s">
        <v>829</v>
      </c>
      <c r="S5" s="467" t="s">
        <v>830</v>
      </c>
      <c r="T5" s="451" t="s">
        <v>831</v>
      </c>
      <c r="U5" s="451" t="s">
        <v>832</v>
      </c>
      <c r="V5" s="451" t="s">
        <v>833</v>
      </c>
      <c r="W5" s="451" t="s">
        <v>834</v>
      </c>
      <c r="X5" s="444"/>
      <c r="Y5" s="444" t="s">
        <v>184</v>
      </c>
      <c r="Z5" s="451" t="s">
        <v>820</v>
      </c>
      <c r="AA5" s="451" t="s">
        <v>821</v>
      </c>
      <c r="AB5" s="451" t="s">
        <v>822</v>
      </c>
      <c r="AC5" s="451" t="s">
        <v>823</v>
      </c>
      <c r="AD5" s="451" t="s">
        <v>824</v>
      </c>
      <c r="AE5" s="451" t="s">
        <v>825</v>
      </c>
      <c r="AF5" s="444" t="s">
        <v>184</v>
      </c>
      <c r="AG5" s="451" t="s">
        <v>835</v>
      </c>
      <c r="AH5" s="451" t="s">
        <v>828</v>
      </c>
      <c r="AI5" s="451" t="s">
        <v>829</v>
      </c>
      <c r="AJ5" s="467" t="s">
        <v>830</v>
      </c>
      <c r="AK5" s="451" t="s">
        <v>832</v>
      </c>
      <c r="AL5" s="444"/>
      <c r="AM5" s="444"/>
      <c r="AN5" s="444" t="s">
        <v>184</v>
      </c>
      <c r="AO5" s="451" t="s">
        <v>820</v>
      </c>
      <c r="AP5" s="451" t="s">
        <v>821</v>
      </c>
      <c r="AQ5" s="451" t="s">
        <v>822</v>
      </c>
      <c r="AR5" s="451" t="s">
        <v>823</v>
      </c>
      <c r="AS5" s="451" t="s">
        <v>824</v>
      </c>
      <c r="AT5" s="451" t="s">
        <v>825</v>
      </c>
      <c r="AU5" s="444" t="s">
        <v>184</v>
      </c>
      <c r="AV5" s="451" t="s">
        <v>835</v>
      </c>
      <c r="AW5" s="451" t="s">
        <v>828</v>
      </c>
      <c r="AX5" s="451" t="s">
        <v>829</v>
      </c>
      <c r="AY5" s="467" t="s">
        <v>830</v>
      </c>
      <c r="AZ5" s="451" t="s">
        <v>832</v>
      </c>
      <c r="BA5" s="479"/>
      <c r="BB5" s="449"/>
      <c r="BC5" s="480"/>
      <c r="BD5" s="480"/>
    </row>
    <row r="6" s="424" customFormat="1" ht="21" customHeight="1" spans="1:54">
      <c r="A6" s="452">
        <v>1</v>
      </c>
      <c r="B6" s="453"/>
      <c r="C6" s="454"/>
      <c r="D6" s="455" t="s">
        <v>22</v>
      </c>
      <c r="E6" s="455"/>
      <c r="F6" s="456">
        <f t="shared" ref="F6:M6" si="0">F7+F140+F152+F224+F229+F243+F258+F268+F270+F282+F309+F318+F324+F331+F339+F328</f>
        <v>25448.54</v>
      </c>
      <c r="G6" s="456">
        <f t="shared" si="0"/>
        <v>13225.47</v>
      </c>
      <c r="H6" s="456">
        <f t="shared" si="0"/>
        <v>3378.9</v>
      </c>
      <c r="I6" s="456">
        <f t="shared" si="0"/>
        <v>448.4</v>
      </c>
      <c r="J6" s="456">
        <f t="shared" si="0"/>
        <v>1159.74</v>
      </c>
      <c r="K6" s="456">
        <f t="shared" si="0"/>
        <v>3763.19</v>
      </c>
      <c r="L6" s="456">
        <f t="shared" si="0"/>
        <v>313.14</v>
      </c>
      <c r="M6" s="456">
        <f t="shared" si="0"/>
        <v>4162.1</v>
      </c>
      <c r="N6" s="456"/>
      <c r="O6" s="456">
        <f>O7+O140+O152+O224+O229+O243+O258+O268+O270+O282+O309+O318+O324+O331+O339+O328</f>
        <v>4586.41</v>
      </c>
      <c r="P6" s="456">
        <f>P7+P140+P152+P224+P229+P243+P258+P268+P270+P282+P309+P318+P324+P331+P339+P328</f>
        <v>517.79</v>
      </c>
      <c r="Q6" s="456">
        <f>Q7+Q140+Q152+Q224+Q229+Q243+Q258+Q268+Q270+Q282+Q309+Q318+Q324+Q331+Q339+Q328</f>
        <v>1144.02</v>
      </c>
      <c r="R6" s="456">
        <f>R7+R140+R152+R224+R229+R243+R258+R268+R270+R282+R309+R318+R324+R331+R339+R328</f>
        <v>1536</v>
      </c>
      <c r="S6" s="456">
        <f>S7+S140+S152+S224+S229+S243+S258+S268+S270+S282+S309+S318+S324+S331+S339+S328</f>
        <v>1388.6</v>
      </c>
      <c r="T6" s="456"/>
      <c r="U6" s="456">
        <f t="shared" ref="U6:AL6" si="1">U7+U140+U152+U224+U229+U243+U258+U268+U270+U282+U309+U318+U324+U331+U339+U328</f>
        <v>7636.66</v>
      </c>
      <c r="V6" s="456"/>
      <c r="W6" s="456"/>
      <c r="X6" s="468">
        <f t="shared" si="1"/>
        <v>588.372099999999</v>
      </c>
      <c r="Y6" s="468">
        <f t="shared" si="1"/>
        <v>-2579.31</v>
      </c>
      <c r="Z6" s="468">
        <f t="shared" si="1"/>
        <v>16.2</v>
      </c>
      <c r="AA6" s="468">
        <f t="shared" si="1"/>
        <v>0</v>
      </c>
      <c r="AB6" s="468">
        <f t="shared" si="1"/>
        <v>-33.3</v>
      </c>
      <c r="AC6" s="468">
        <f t="shared" si="1"/>
        <v>-70.92</v>
      </c>
      <c r="AD6" s="468">
        <f t="shared" si="1"/>
        <v>0</v>
      </c>
      <c r="AE6" s="468">
        <f t="shared" si="1"/>
        <v>-2491.29</v>
      </c>
      <c r="AF6" s="468">
        <f t="shared" si="1"/>
        <v>4094.0821</v>
      </c>
      <c r="AG6" s="468">
        <f t="shared" si="1"/>
        <v>1974.96</v>
      </c>
      <c r="AH6" s="468">
        <f t="shared" si="1"/>
        <v>844.28</v>
      </c>
      <c r="AI6" s="468">
        <f t="shared" si="1"/>
        <v>202.48</v>
      </c>
      <c r="AJ6" s="468">
        <f t="shared" si="1"/>
        <v>1072.3621</v>
      </c>
      <c r="AK6" s="468">
        <f t="shared" si="1"/>
        <v>-926.4</v>
      </c>
      <c r="AL6" s="456"/>
      <c r="AM6" s="468">
        <f t="shared" ref="AM6:BA6" si="2">AM7+AM140+AM152+AM224+AM229+AM243+AM258+AM268+AM270+AM282+AM309+AM318+AM324+AM331+AM339+AM328</f>
        <v>26036.9121</v>
      </c>
      <c r="AN6" s="468">
        <f t="shared" si="2"/>
        <v>10646.16</v>
      </c>
      <c r="AO6" s="468">
        <f t="shared" si="2"/>
        <v>3395.1</v>
      </c>
      <c r="AP6" s="468">
        <f t="shared" si="2"/>
        <v>448.4</v>
      </c>
      <c r="AQ6" s="468">
        <f t="shared" si="2"/>
        <v>1126.44</v>
      </c>
      <c r="AR6" s="468">
        <f t="shared" si="2"/>
        <v>3692.27</v>
      </c>
      <c r="AS6" s="468">
        <f t="shared" si="2"/>
        <v>313.14</v>
      </c>
      <c r="AT6" s="468">
        <f t="shared" si="2"/>
        <v>1670.81</v>
      </c>
      <c r="AU6" s="468">
        <f t="shared" si="2"/>
        <v>8680.4921</v>
      </c>
      <c r="AV6" s="468">
        <f t="shared" si="2"/>
        <v>2492.75</v>
      </c>
      <c r="AW6" s="468">
        <f t="shared" si="2"/>
        <v>1988.3</v>
      </c>
      <c r="AX6" s="468">
        <f t="shared" si="2"/>
        <v>1738.48</v>
      </c>
      <c r="AY6" s="468">
        <f t="shared" si="2"/>
        <v>2460.9621</v>
      </c>
      <c r="AZ6" s="468">
        <f t="shared" si="2"/>
        <v>6710.26</v>
      </c>
      <c r="BA6" s="468">
        <f>SUM(BA7:BA343)</f>
        <v>3338</v>
      </c>
      <c r="BB6" s="481">
        <f>SUM(BB7:BB343)</f>
        <v>5885.42</v>
      </c>
    </row>
    <row r="7" s="424" customFormat="1" ht="21" customHeight="1" spans="1:54">
      <c r="A7" s="452">
        <v>2</v>
      </c>
      <c r="B7" s="453"/>
      <c r="C7" s="454"/>
      <c r="D7" s="457" t="s">
        <v>126</v>
      </c>
      <c r="E7" s="458">
        <v>201</v>
      </c>
      <c r="F7" s="456">
        <f>SUM(F8:F139)</f>
        <v>11585.456</v>
      </c>
      <c r="G7" s="456">
        <f>SUM(G8:G139)</f>
        <v>6807.296</v>
      </c>
      <c r="H7" s="456">
        <f t="shared" ref="H7:M7" si="3">SUM(H8:H139)</f>
        <v>1747.5</v>
      </c>
      <c r="I7" s="456">
        <f t="shared" si="3"/>
        <v>346.4</v>
      </c>
      <c r="J7" s="456">
        <f t="shared" si="3"/>
        <v>642.156</v>
      </c>
      <c r="K7" s="456">
        <f t="shared" si="3"/>
        <v>0</v>
      </c>
      <c r="L7" s="456">
        <f t="shared" si="3"/>
        <v>313.14</v>
      </c>
      <c r="M7" s="456">
        <f t="shared" si="3"/>
        <v>3758.1</v>
      </c>
      <c r="N7" s="456"/>
      <c r="O7" s="456">
        <f>SUM(O8:O139)</f>
        <v>1976.41</v>
      </c>
      <c r="P7" s="456">
        <f>SUM(P8:P139)</f>
        <v>164.41</v>
      </c>
      <c r="Q7" s="456">
        <f>SUM(Q8:Q139)</f>
        <v>242</v>
      </c>
      <c r="R7" s="456">
        <f>SUM(R8:R139)</f>
        <v>1536</v>
      </c>
      <c r="S7" s="456">
        <f>SUM(S8:S139)</f>
        <v>34</v>
      </c>
      <c r="T7" s="456"/>
      <c r="U7" s="456">
        <f>SUM(U8:U139)</f>
        <v>2801.75</v>
      </c>
      <c r="V7" s="456"/>
      <c r="W7" s="456"/>
      <c r="X7" s="468">
        <f>SUM(X8:X139)</f>
        <v>-2406.25</v>
      </c>
      <c r="Y7" s="468">
        <f t="shared" ref="X7:AM7" si="4">SUM(Y8:Y139)</f>
        <v>-2862.75</v>
      </c>
      <c r="Z7" s="468">
        <f t="shared" si="4"/>
        <v>-31.8</v>
      </c>
      <c r="AA7" s="468">
        <f t="shared" si="4"/>
        <v>0</v>
      </c>
      <c r="AB7" s="468">
        <f t="shared" si="4"/>
        <v>-20.66</v>
      </c>
      <c r="AC7" s="468">
        <f t="shared" si="4"/>
        <v>0</v>
      </c>
      <c r="AD7" s="468">
        <f t="shared" si="4"/>
        <v>0</v>
      </c>
      <c r="AE7" s="468">
        <f t="shared" si="4"/>
        <v>-2810.29</v>
      </c>
      <c r="AF7" s="468">
        <f t="shared" si="4"/>
        <v>1415.18</v>
      </c>
      <c r="AG7" s="468">
        <f t="shared" si="4"/>
        <v>1012.85</v>
      </c>
      <c r="AH7" s="468">
        <f t="shared" si="4"/>
        <v>-15</v>
      </c>
      <c r="AI7" s="468">
        <f t="shared" si="4"/>
        <v>128.13</v>
      </c>
      <c r="AJ7" s="468">
        <f t="shared" si="4"/>
        <v>289.2</v>
      </c>
      <c r="AK7" s="468">
        <f t="shared" si="4"/>
        <v>-958.68</v>
      </c>
      <c r="AL7" s="456"/>
      <c r="AM7" s="468">
        <f>SUM(AM8:AM139)</f>
        <v>9179.206</v>
      </c>
      <c r="AN7" s="468">
        <f t="shared" ref="AN7:BA7" si="5">SUM(AN8:AN139)</f>
        <v>3944.546</v>
      </c>
      <c r="AO7" s="468">
        <f t="shared" si="5"/>
        <v>1715.7</v>
      </c>
      <c r="AP7" s="468">
        <f t="shared" si="5"/>
        <v>346.4</v>
      </c>
      <c r="AQ7" s="468">
        <f t="shared" si="5"/>
        <v>621.496</v>
      </c>
      <c r="AR7" s="468">
        <f t="shared" si="5"/>
        <v>0</v>
      </c>
      <c r="AS7" s="468">
        <f t="shared" si="5"/>
        <v>313.14</v>
      </c>
      <c r="AT7" s="468">
        <f t="shared" si="5"/>
        <v>947.81</v>
      </c>
      <c r="AU7" s="468">
        <f t="shared" si="5"/>
        <v>3391.59</v>
      </c>
      <c r="AV7" s="468">
        <f t="shared" si="5"/>
        <v>1177.26</v>
      </c>
      <c r="AW7" s="468">
        <f t="shared" si="5"/>
        <v>227</v>
      </c>
      <c r="AX7" s="468">
        <f t="shared" si="5"/>
        <v>1664.13</v>
      </c>
      <c r="AY7" s="468">
        <f t="shared" si="5"/>
        <v>323.2</v>
      </c>
      <c r="AZ7" s="468">
        <f t="shared" si="5"/>
        <v>1843.07</v>
      </c>
      <c r="BA7" s="481"/>
      <c r="BB7" s="481"/>
    </row>
    <row r="8" s="425" customFormat="1" ht="39" customHeight="1" spans="1:54">
      <c r="A8" s="459">
        <v>3</v>
      </c>
      <c r="B8" s="460" t="s">
        <v>836</v>
      </c>
      <c r="C8" s="460" t="s">
        <v>203</v>
      </c>
      <c r="D8" s="461" t="s">
        <v>293</v>
      </c>
      <c r="E8" s="462" t="s">
        <v>837</v>
      </c>
      <c r="F8" s="463">
        <f t="shared" ref="F8:F71" si="6">G8+O8+U8</f>
        <v>43</v>
      </c>
      <c r="G8" s="463">
        <f t="shared" ref="G8:G65" si="7">SUM(H8:M8)</f>
        <v>20.3</v>
      </c>
      <c r="H8" s="460">
        <v>9.6</v>
      </c>
      <c r="I8" s="460"/>
      <c r="J8" s="460">
        <v>10.7</v>
      </c>
      <c r="K8" s="460"/>
      <c r="L8" s="460"/>
      <c r="M8" s="460"/>
      <c r="N8" s="460"/>
      <c r="O8" s="459">
        <f t="shared" ref="O8:O61" si="8">SUM(P8:S8)</f>
        <v>12</v>
      </c>
      <c r="P8" s="464">
        <v>12</v>
      </c>
      <c r="Q8" s="464"/>
      <c r="R8" s="464"/>
      <c r="S8" s="464"/>
      <c r="T8" s="469"/>
      <c r="U8" s="463">
        <v>10.7</v>
      </c>
      <c r="V8" s="460" t="s">
        <v>838</v>
      </c>
      <c r="W8" s="460" t="s">
        <v>839</v>
      </c>
      <c r="X8" s="463">
        <f t="shared" ref="X8:X71" si="9">Y8+AF8+AK8</f>
        <v>-43</v>
      </c>
      <c r="Y8" s="463">
        <f t="shared" ref="Y8:Y71" si="10">SUM(Z8:AE8)</f>
        <v>-20.3</v>
      </c>
      <c r="Z8" s="460">
        <v>-9.6</v>
      </c>
      <c r="AA8" s="460"/>
      <c r="AB8" s="460">
        <v>-10.7</v>
      </c>
      <c r="AC8" s="460"/>
      <c r="AD8" s="460"/>
      <c r="AE8" s="460"/>
      <c r="AF8" s="459">
        <f t="shared" ref="AF8:AF71" si="11">SUM(AG8:AJ8)</f>
        <v>-12</v>
      </c>
      <c r="AG8" s="460">
        <v>-12</v>
      </c>
      <c r="AH8" s="460"/>
      <c r="AI8" s="460"/>
      <c r="AJ8" s="460"/>
      <c r="AK8" s="460">
        <v>-10.7</v>
      </c>
      <c r="AL8" s="460" t="s">
        <v>840</v>
      </c>
      <c r="AM8" s="463">
        <f t="shared" ref="AM8:AM71" si="12">AN8+AU8+AZ8</f>
        <v>0</v>
      </c>
      <c r="AN8" s="463">
        <f t="shared" ref="AN8:AN71" si="13">SUM(AO8:AT8)</f>
        <v>0</v>
      </c>
      <c r="AO8" s="460">
        <f t="shared" ref="AO8:AT8" si="14">H8+Z8</f>
        <v>0</v>
      </c>
      <c r="AP8" s="460">
        <f t="shared" si="14"/>
        <v>0</v>
      </c>
      <c r="AQ8" s="460">
        <f t="shared" si="14"/>
        <v>0</v>
      </c>
      <c r="AR8" s="460">
        <f t="shared" si="14"/>
        <v>0</v>
      </c>
      <c r="AS8" s="460">
        <f t="shared" si="14"/>
        <v>0</v>
      </c>
      <c r="AT8" s="460">
        <f t="shared" si="14"/>
        <v>0</v>
      </c>
      <c r="AU8" s="463">
        <f t="shared" ref="AU8:AU71" si="15">SUM(AV8:AY8)</f>
        <v>0</v>
      </c>
      <c r="AV8" s="460">
        <f t="shared" ref="AV8:AV71" si="16">P8+AG8</f>
        <v>0</v>
      </c>
      <c r="AW8" s="460">
        <f t="shared" ref="AW8:AW71" si="17">Q8+AH8</f>
        <v>0</v>
      </c>
      <c r="AX8" s="460">
        <f t="shared" ref="AX8:AX71" si="18">R8+AI8</f>
        <v>0</v>
      </c>
      <c r="AY8" s="460">
        <f t="shared" ref="AY8:AY71" si="19">S8+AJ8</f>
        <v>0</v>
      </c>
      <c r="AZ8" s="463">
        <f t="shared" ref="AZ8:AZ71" si="20">U8+AK8</f>
        <v>0</v>
      </c>
      <c r="BA8" s="482"/>
      <c r="BB8" s="482"/>
    </row>
    <row r="9" s="425" customFormat="1" ht="39" customHeight="1" spans="1:54">
      <c r="A9" s="459">
        <v>4</v>
      </c>
      <c r="B9" s="460" t="s">
        <v>836</v>
      </c>
      <c r="C9" s="460" t="s">
        <v>206</v>
      </c>
      <c r="D9" s="461" t="s">
        <v>296</v>
      </c>
      <c r="E9" s="462" t="s">
        <v>841</v>
      </c>
      <c r="F9" s="463">
        <f t="shared" si="6"/>
        <v>22.2</v>
      </c>
      <c r="G9" s="463">
        <f t="shared" si="7"/>
        <v>22.2</v>
      </c>
      <c r="H9" s="460">
        <v>22.2</v>
      </c>
      <c r="I9" s="460"/>
      <c r="J9" s="460"/>
      <c r="K9" s="460"/>
      <c r="L9" s="460"/>
      <c r="M9" s="460"/>
      <c r="N9" s="460"/>
      <c r="O9" s="459">
        <f t="shared" si="8"/>
        <v>0</v>
      </c>
      <c r="P9" s="464"/>
      <c r="Q9" s="464"/>
      <c r="R9" s="464"/>
      <c r="S9" s="464"/>
      <c r="T9" s="469"/>
      <c r="U9" s="463"/>
      <c r="V9" s="460"/>
      <c r="W9" s="461"/>
      <c r="X9" s="463">
        <f t="shared" si="9"/>
        <v>-22.2</v>
      </c>
      <c r="Y9" s="463">
        <f t="shared" si="10"/>
        <v>-22.2</v>
      </c>
      <c r="Z9" s="460">
        <v>-22.2</v>
      </c>
      <c r="AA9" s="460"/>
      <c r="AB9" s="460"/>
      <c r="AC9" s="460"/>
      <c r="AD9" s="460"/>
      <c r="AE9" s="460"/>
      <c r="AF9" s="459">
        <f t="shared" si="11"/>
        <v>0</v>
      </c>
      <c r="AG9" s="460"/>
      <c r="AH9" s="460"/>
      <c r="AI9" s="460"/>
      <c r="AJ9" s="460"/>
      <c r="AK9" s="460"/>
      <c r="AL9" s="460"/>
      <c r="AM9" s="463">
        <f t="shared" si="12"/>
        <v>0</v>
      </c>
      <c r="AN9" s="463">
        <f t="shared" si="13"/>
        <v>0</v>
      </c>
      <c r="AO9" s="460">
        <f t="shared" ref="AO9:AT9" si="21">H9+Z9</f>
        <v>0</v>
      </c>
      <c r="AP9" s="460">
        <f t="shared" si="21"/>
        <v>0</v>
      </c>
      <c r="AQ9" s="460">
        <f t="shared" si="21"/>
        <v>0</v>
      </c>
      <c r="AR9" s="460">
        <f t="shared" si="21"/>
        <v>0</v>
      </c>
      <c r="AS9" s="460">
        <f t="shared" si="21"/>
        <v>0</v>
      </c>
      <c r="AT9" s="460">
        <f t="shared" si="21"/>
        <v>0</v>
      </c>
      <c r="AU9" s="463">
        <f t="shared" si="15"/>
        <v>0</v>
      </c>
      <c r="AV9" s="460">
        <f t="shared" si="16"/>
        <v>0</v>
      </c>
      <c r="AW9" s="460">
        <f t="shared" si="17"/>
        <v>0</v>
      </c>
      <c r="AX9" s="460">
        <f t="shared" si="18"/>
        <v>0</v>
      </c>
      <c r="AY9" s="460">
        <f t="shared" si="19"/>
        <v>0</v>
      </c>
      <c r="AZ9" s="463">
        <f t="shared" si="20"/>
        <v>0</v>
      </c>
      <c r="BA9" s="482"/>
      <c r="BB9" s="482"/>
    </row>
    <row r="10" s="425" customFormat="1" ht="39" customHeight="1" spans="1:54">
      <c r="A10" s="459">
        <v>5</v>
      </c>
      <c r="B10" s="460" t="s">
        <v>836</v>
      </c>
      <c r="C10" s="460" t="s">
        <v>203</v>
      </c>
      <c r="D10" s="461" t="s">
        <v>326</v>
      </c>
      <c r="E10" s="461" t="s">
        <v>842</v>
      </c>
      <c r="F10" s="463">
        <f t="shared" si="6"/>
        <v>12.64</v>
      </c>
      <c r="G10" s="463">
        <f t="shared" si="7"/>
        <v>2.64</v>
      </c>
      <c r="H10" s="460">
        <v>1.2</v>
      </c>
      <c r="I10" s="460"/>
      <c r="J10" s="460">
        <v>1.44</v>
      </c>
      <c r="K10" s="460"/>
      <c r="L10" s="460"/>
      <c r="M10" s="460"/>
      <c r="N10" s="460"/>
      <c r="O10" s="459">
        <f t="shared" si="8"/>
        <v>0</v>
      </c>
      <c r="P10" s="464"/>
      <c r="Q10" s="464"/>
      <c r="R10" s="464"/>
      <c r="S10" s="464"/>
      <c r="T10" s="469"/>
      <c r="U10" s="470">
        <v>10</v>
      </c>
      <c r="V10" s="460" t="s">
        <v>838</v>
      </c>
      <c r="W10" s="460" t="s">
        <v>843</v>
      </c>
      <c r="X10" s="463">
        <f t="shared" si="9"/>
        <v>-0.19</v>
      </c>
      <c r="Y10" s="463">
        <f t="shared" si="10"/>
        <v>-0.41</v>
      </c>
      <c r="Z10" s="460"/>
      <c r="AA10" s="460"/>
      <c r="AB10" s="460">
        <v>-0.41</v>
      </c>
      <c r="AC10" s="460"/>
      <c r="AD10" s="460"/>
      <c r="AE10" s="460"/>
      <c r="AF10" s="459">
        <f t="shared" si="11"/>
        <v>0.22</v>
      </c>
      <c r="AG10" s="460">
        <v>0.22</v>
      </c>
      <c r="AH10" s="460"/>
      <c r="AI10" s="460"/>
      <c r="AJ10" s="460"/>
      <c r="AK10" s="460"/>
      <c r="AL10" s="460"/>
      <c r="AM10" s="463">
        <f t="shared" si="12"/>
        <v>12.45</v>
      </c>
      <c r="AN10" s="463">
        <f t="shared" si="13"/>
        <v>2.23</v>
      </c>
      <c r="AO10" s="460">
        <f t="shared" ref="AO10:AT10" si="22">H10+Z10</f>
        <v>1.2</v>
      </c>
      <c r="AP10" s="460">
        <f t="shared" si="22"/>
        <v>0</v>
      </c>
      <c r="AQ10" s="460">
        <f t="shared" si="22"/>
        <v>1.03</v>
      </c>
      <c r="AR10" s="460">
        <f t="shared" si="22"/>
        <v>0</v>
      </c>
      <c r="AS10" s="460">
        <f t="shared" si="22"/>
        <v>0</v>
      </c>
      <c r="AT10" s="460">
        <f t="shared" si="22"/>
        <v>0</v>
      </c>
      <c r="AU10" s="463">
        <f t="shared" si="15"/>
        <v>0.22</v>
      </c>
      <c r="AV10" s="460">
        <f t="shared" si="16"/>
        <v>0.22</v>
      </c>
      <c r="AW10" s="460">
        <f t="shared" si="17"/>
        <v>0</v>
      </c>
      <c r="AX10" s="460">
        <f t="shared" si="18"/>
        <v>0</v>
      </c>
      <c r="AY10" s="460">
        <f t="shared" si="19"/>
        <v>0</v>
      </c>
      <c r="AZ10" s="463">
        <f t="shared" si="20"/>
        <v>10</v>
      </c>
      <c r="BA10" s="482"/>
      <c r="BB10" s="482"/>
    </row>
    <row r="11" s="425" customFormat="1" ht="39" customHeight="1" spans="1:54">
      <c r="A11" s="459">
        <v>6</v>
      </c>
      <c r="B11" s="460" t="s">
        <v>836</v>
      </c>
      <c r="C11" s="460" t="s">
        <v>206</v>
      </c>
      <c r="D11" s="461" t="s">
        <v>331</v>
      </c>
      <c r="E11" s="461" t="s">
        <v>844</v>
      </c>
      <c r="F11" s="463">
        <f t="shared" si="6"/>
        <v>1.2</v>
      </c>
      <c r="G11" s="463">
        <f t="shared" si="7"/>
        <v>1.2</v>
      </c>
      <c r="H11" s="460">
        <v>1.2</v>
      </c>
      <c r="I11" s="460"/>
      <c r="J11" s="460"/>
      <c r="K11" s="460"/>
      <c r="L11" s="460"/>
      <c r="M11" s="460"/>
      <c r="N11" s="460"/>
      <c r="O11" s="459">
        <f t="shared" si="8"/>
        <v>0</v>
      </c>
      <c r="P11" s="460"/>
      <c r="Q11" s="460"/>
      <c r="R11" s="460"/>
      <c r="S11" s="460"/>
      <c r="T11" s="460"/>
      <c r="U11" s="463"/>
      <c r="V11" s="460"/>
      <c r="W11" s="460"/>
      <c r="X11" s="463">
        <f t="shared" si="9"/>
        <v>0</v>
      </c>
      <c r="Y11" s="463">
        <f t="shared" si="10"/>
        <v>0</v>
      </c>
      <c r="Z11" s="460"/>
      <c r="AA11" s="460"/>
      <c r="AB11" s="460"/>
      <c r="AC11" s="460"/>
      <c r="AD11" s="460"/>
      <c r="AE11" s="460"/>
      <c r="AF11" s="459">
        <f t="shared" si="11"/>
        <v>0</v>
      </c>
      <c r="AG11" s="460"/>
      <c r="AH11" s="460"/>
      <c r="AI11" s="460"/>
      <c r="AJ11" s="460"/>
      <c r="AK11" s="460"/>
      <c r="AL11" s="460"/>
      <c r="AM11" s="463">
        <f t="shared" si="12"/>
        <v>1.2</v>
      </c>
      <c r="AN11" s="463">
        <f t="shared" si="13"/>
        <v>1.2</v>
      </c>
      <c r="AO11" s="460">
        <f t="shared" ref="AO11:AT11" si="23">H11+Z11</f>
        <v>1.2</v>
      </c>
      <c r="AP11" s="460">
        <f t="shared" si="23"/>
        <v>0</v>
      </c>
      <c r="AQ11" s="460">
        <f t="shared" si="23"/>
        <v>0</v>
      </c>
      <c r="AR11" s="460">
        <f t="shared" si="23"/>
        <v>0</v>
      </c>
      <c r="AS11" s="460">
        <f t="shared" si="23"/>
        <v>0</v>
      </c>
      <c r="AT11" s="460">
        <f t="shared" si="23"/>
        <v>0</v>
      </c>
      <c r="AU11" s="463">
        <f t="shared" si="15"/>
        <v>0</v>
      </c>
      <c r="AV11" s="460">
        <f t="shared" si="16"/>
        <v>0</v>
      </c>
      <c r="AW11" s="460">
        <f t="shared" si="17"/>
        <v>0</v>
      </c>
      <c r="AX11" s="460">
        <f t="shared" si="18"/>
        <v>0</v>
      </c>
      <c r="AY11" s="460">
        <f t="shared" si="19"/>
        <v>0</v>
      </c>
      <c r="AZ11" s="463">
        <f t="shared" si="20"/>
        <v>0</v>
      </c>
      <c r="BA11" s="482"/>
      <c r="BB11" s="482"/>
    </row>
    <row r="12" s="425" customFormat="1" ht="39" customHeight="1" spans="1:54">
      <c r="A12" s="459">
        <v>7</v>
      </c>
      <c r="B12" s="460" t="s">
        <v>836</v>
      </c>
      <c r="C12" s="460" t="s">
        <v>203</v>
      </c>
      <c r="D12" s="461" t="s">
        <v>300</v>
      </c>
      <c r="E12" s="461" t="s">
        <v>837</v>
      </c>
      <c r="F12" s="463">
        <f t="shared" si="6"/>
        <v>353.31</v>
      </c>
      <c r="G12" s="463">
        <f t="shared" si="7"/>
        <v>10.68</v>
      </c>
      <c r="H12" s="460">
        <v>4.8</v>
      </c>
      <c r="I12" s="460"/>
      <c r="J12" s="460">
        <v>5.88</v>
      </c>
      <c r="K12" s="460"/>
      <c r="L12" s="460"/>
      <c r="M12" s="460"/>
      <c r="N12" s="460"/>
      <c r="O12" s="459">
        <f t="shared" si="8"/>
        <v>3.63</v>
      </c>
      <c r="P12" s="460">
        <v>3.63</v>
      </c>
      <c r="Q12" s="460"/>
      <c r="R12" s="460"/>
      <c r="S12" s="460"/>
      <c r="T12" s="460"/>
      <c r="U12" s="463">
        <v>339</v>
      </c>
      <c r="V12" s="460" t="s">
        <v>838</v>
      </c>
      <c r="W12" s="460" t="s">
        <v>845</v>
      </c>
      <c r="X12" s="463">
        <f t="shared" si="9"/>
        <v>-3.82</v>
      </c>
      <c r="Y12" s="463">
        <f t="shared" si="10"/>
        <v>0.71</v>
      </c>
      <c r="Z12" s="460"/>
      <c r="AA12" s="460"/>
      <c r="AB12" s="460">
        <v>0.71</v>
      </c>
      <c r="AC12" s="460"/>
      <c r="AD12" s="460"/>
      <c r="AE12" s="460"/>
      <c r="AF12" s="459">
        <f t="shared" si="11"/>
        <v>17.45</v>
      </c>
      <c r="AG12" s="460">
        <v>17.37</v>
      </c>
      <c r="AH12" s="460">
        <v>0.08</v>
      </c>
      <c r="AI12" s="460"/>
      <c r="AJ12" s="460"/>
      <c r="AK12" s="460">
        <f>-23.48+1.5</f>
        <v>-21.98</v>
      </c>
      <c r="AL12" s="460" t="s">
        <v>846</v>
      </c>
      <c r="AM12" s="463">
        <f t="shared" si="12"/>
        <v>349.49</v>
      </c>
      <c r="AN12" s="463">
        <f t="shared" si="13"/>
        <v>11.39</v>
      </c>
      <c r="AO12" s="460">
        <f t="shared" ref="AO12:AT12" si="24">H12+Z12</f>
        <v>4.8</v>
      </c>
      <c r="AP12" s="460">
        <f t="shared" si="24"/>
        <v>0</v>
      </c>
      <c r="AQ12" s="460">
        <f t="shared" si="24"/>
        <v>6.59</v>
      </c>
      <c r="AR12" s="460">
        <f t="shared" si="24"/>
        <v>0</v>
      </c>
      <c r="AS12" s="460">
        <f t="shared" si="24"/>
        <v>0</v>
      </c>
      <c r="AT12" s="460">
        <f t="shared" si="24"/>
        <v>0</v>
      </c>
      <c r="AU12" s="463">
        <f t="shared" si="15"/>
        <v>21.08</v>
      </c>
      <c r="AV12" s="460">
        <f t="shared" si="16"/>
        <v>21</v>
      </c>
      <c r="AW12" s="460">
        <f t="shared" si="17"/>
        <v>0.08</v>
      </c>
      <c r="AX12" s="460">
        <f t="shared" si="18"/>
        <v>0</v>
      </c>
      <c r="AY12" s="460">
        <f t="shared" si="19"/>
        <v>0</v>
      </c>
      <c r="AZ12" s="463">
        <f t="shared" si="20"/>
        <v>317.02</v>
      </c>
      <c r="BA12" s="482"/>
      <c r="BB12" s="482"/>
    </row>
    <row r="13" s="425" customFormat="1" ht="39" customHeight="1" spans="1:54">
      <c r="A13" s="459">
        <v>8</v>
      </c>
      <c r="B13" s="460" t="s">
        <v>836</v>
      </c>
      <c r="C13" s="460" t="s">
        <v>206</v>
      </c>
      <c r="D13" s="461" t="s">
        <v>304</v>
      </c>
      <c r="E13" s="461" t="s">
        <v>841</v>
      </c>
      <c r="F13" s="463">
        <f t="shared" si="6"/>
        <v>6</v>
      </c>
      <c r="G13" s="463">
        <f t="shared" si="7"/>
        <v>6</v>
      </c>
      <c r="H13" s="460">
        <v>6</v>
      </c>
      <c r="I13" s="460"/>
      <c r="J13" s="460"/>
      <c r="K13" s="460"/>
      <c r="L13" s="460"/>
      <c r="M13" s="460"/>
      <c r="N13" s="460"/>
      <c r="O13" s="459">
        <f t="shared" si="8"/>
        <v>0</v>
      </c>
      <c r="P13" s="460"/>
      <c r="Q13" s="460"/>
      <c r="R13" s="460"/>
      <c r="S13" s="460"/>
      <c r="T13" s="460"/>
      <c r="U13" s="463"/>
      <c r="V13" s="460"/>
      <c r="W13" s="460"/>
      <c r="X13" s="463">
        <f t="shared" si="9"/>
        <v>0</v>
      </c>
      <c r="Y13" s="463">
        <f t="shared" si="10"/>
        <v>0</v>
      </c>
      <c r="Z13" s="460"/>
      <c r="AA13" s="460"/>
      <c r="AB13" s="460"/>
      <c r="AC13" s="460"/>
      <c r="AD13" s="460"/>
      <c r="AE13" s="460"/>
      <c r="AF13" s="459">
        <f t="shared" si="11"/>
        <v>0</v>
      </c>
      <c r="AG13" s="460"/>
      <c r="AH13" s="460"/>
      <c r="AI13" s="460"/>
      <c r="AJ13" s="460"/>
      <c r="AK13" s="460"/>
      <c r="AL13" s="460"/>
      <c r="AM13" s="463">
        <f t="shared" si="12"/>
        <v>6</v>
      </c>
      <c r="AN13" s="463">
        <f t="shared" si="13"/>
        <v>6</v>
      </c>
      <c r="AO13" s="460">
        <f t="shared" ref="AO13:AT13" si="25">H13+Z13</f>
        <v>6</v>
      </c>
      <c r="AP13" s="460">
        <f t="shared" si="25"/>
        <v>0</v>
      </c>
      <c r="AQ13" s="460">
        <f t="shared" si="25"/>
        <v>0</v>
      </c>
      <c r="AR13" s="460">
        <f t="shared" si="25"/>
        <v>0</v>
      </c>
      <c r="AS13" s="460">
        <f t="shared" si="25"/>
        <v>0</v>
      </c>
      <c r="AT13" s="460">
        <f t="shared" si="25"/>
        <v>0</v>
      </c>
      <c r="AU13" s="463">
        <f t="shared" si="15"/>
        <v>0</v>
      </c>
      <c r="AV13" s="460">
        <f t="shared" si="16"/>
        <v>0</v>
      </c>
      <c r="AW13" s="460">
        <f t="shared" si="17"/>
        <v>0</v>
      </c>
      <c r="AX13" s="460">
        <f t="shared" si="18"/>
        <v>0</v>
      </c>
      <c r="AY13" s="460">
        <f t="shared" si="19"/>
        <v>0</v>
      </c>
      <c r="AZ13" s="463">
        <f t="shared" si="20"/>
        <v>0</v>
      </c>
      <c r="BA13" s="482"/>
      <c r="BB13" s="482"/>
    </row>
    <row r="14" s="425" customFormat="1" ht="39" customHeight="1" spans="1:54">
      <c r="A14" s="459">
        <v>9</v>
      </c>
      <c r="B14" s="460" t="s">
        <v>836</v>
      </c>
      <c r="C14" s="460" t="s">
        <v>206</v>
      </c>
      <c r="D14" s="461" t="s">
        <v>305</v>
      </c>
      <c r="E14" s="461" t="s">
        <v>841</v>
      </c>
      <c r="F14" s="463">
        <f t="shared" si="6"/>
        <v>2.4</v>
      </c>
      <c r="G14" s="463">
        <f t="shared" si="7"/>
        <v>2.4</v>
      </c>
      <c r="H14" s="460">
        <v>2.4</v>
      </c>
      <c r="I14" s="460"/>
      <c r="J14" s="460"/>
      <c r="K14" s="460"/>
      <c r="L14" s="460"/>
      <c r="M14" s="460"/>
      <c r="N14" s="460"/>
      <c r="O14" s="459">
        <f t="shared" si="8"/>
        <v>0</v>
      </c>
      <c r="P14" s="460"/>
      <c r="Q14" s="460"/>
      <c r="R14" s="460"/>
      <c r="S14" s="460"/>
      <c r="T14" s="460"/>
      <c r="U14" s="463"/>
      <c r="V14" s="460"/>
      <c r="W14" s="461"/>
      <c r="X14" s="463">
        <f t="shared" si="9"/>
        <v>0</v>
      </c>
      <c r="Y14" s="463">
        <f t="shared" si="10"/>
        <v>0</v>
      </c>
      <c r="Z14" s="460"/>
      <c r="AA14" s="460"/>
      <c r="AB14" s="460"/>
      <c r="AC14" s="460"/>
      <c r="AD14" s="460"/>
      <c r="AE14" s="460"/>
      <c r="AF14" s="459">
        <f t="shared" si="11"/>
        <v>0</v>
      </c>
      <c r="AG14" s="460"/>
      <c r="AH14" s="460"/>
      <c r="AI14" s="460"/>
      <c r="AJ14" s="460"/>
      <c r="AK14" s="460"/>
      <c r="AL14" s="460"/>
      <c r="AM14" s="463">
        <f t="shared" si="12"/>
        <v>2.4</v>
      </c>
      <c r="AN14" s="463">
        <f t="shared" si="13"/>
        <v>2.4</v>
      </c>
      <c r="AO14" s="460">
        <f t="shared" ref="AO14:AT14" si="26">H14+Z14</f>
        <v>2.4</v>
      </c>
      <c r="AP14" s="460">
        <f t="shared" si="26"/>
        <v>0</v>
      </c>
      <c r="AQ14" s="460">
        <f t="shared" si="26"/>
        <v>0</v>
      </c>
      <c r="AR14" s="460">
        <f t="shared" si="26"/>
        <v>0</v>
      </c>
      <c r="AS14" s="460">
        <f t="shared" si="26"/>
        <v>0</v>
      </c>
      <c r="AT14" s="460">
        <f t="shared" si="26"/>
        <v>0</v>
      </c>
      <c r="AU14" s="463">
        <f t="shared" si="15"/>
        <v>0</v>
      </c>
      <c r="AV14" s="460">
        <f t="shared" si="16"/>
        <v>0</v>
      </c>
      <c r="AW14" s="460">
        <f t="shared" si="17"/>
        <v>0</v>
      </c>
      <c r="AX14" s="460">
        <f t="shared" si="18"/>
        <v>0</v>
      </c>
      <c r="AY14" s="460">
        <f t="shared" si="19"/>
        <v>0</v>
      </c>
      <c r="AZ14" s="463">
        <f t="shared" si="20"/>
        <v>0</v>
      </c>
      <c r="BA14" s="482"/>
      <c r="BB14" s="482"/>
    </row>
    <row r="15" s="425" customFormat="1" ht="39" customHeight="1" spans="1:54">
      <c r="A15" s="459">
        <v>10</v>
      </c>
      <c r="B15" s="460" t="s">
        <v>836</v>
      </c>
      <c r="C15" s="460" t="s">
        <v>206</v>
      </c>
      <c r="D15" s="461" t="s">
        <v>306</v>
      </c>
      <c r="E15" s="461" t="s">
        <v>841</v>
      </c>
      <c r="F15" s="463">
        <f t="shared" si="6"/>
        <v>3.6</v>
      </c>
      <c r="G15" s="463">
        <f t="shared" si="7"/>
        <v>3.6</v>
      </c>
      <c r="H15" s="460">
        <v>3.6</v>
      </c>
      <c r="I15" s="460"/>
      <c r="J15" s="460"/>
      <c r="K15" s="460"/>
      <c r="L15" s="460"/>
      <c r="M15" s="460"/>
      <c r="N15" s="460"/>
      <c r="O15" s="459">
        <f t="shared" si="8"/>
        <v>0</v>
      </c>
      <c r="P15" s="460"/>
      <c r="Q15" s="460"/>
      <c r="R15" s="460"/>
      <c r="S15" s="460"/>
      <c r="T15" s="460"/>
      <c r="U15" s="463"/>
      <c r="V15" s="460"/>
      <c r="W15" s="461"/>
      <c r="X15" s="463">
        <f t="shared" si="9"/>
        <v>0</v>
      </c>
      <c r="Y15" s="463">
        <f t="shared" si="10"/>
        <v>0</v>
      </c>
      <c r="Z15" s="460"/>
      <c r="AA15" s="460"/>
      <c r="AB15" s="460"/>
      <c r="AC15" s="460"/>
      <c r="AD15" s="460"/>
      <c r="AE15" s="460"/>
      <c r="AF15" s="459">
        <f t="shared" si="11"/>
        <v>0</v>
      </c>
      <c r="AG15" s="460"/>
      <c r="AH15" s="460"/>
      <c r="AI15" s="460"/>
      <c r="AJ15" s="460"/>
      <c r="AK15" s="460"/>
      <c r="AL15" s="460"/>
      <c r="AM15" s="463">
        <f t="shared" si="12"/>
        <v>3.6</v>
      </c>
      <c r="AN15" s="463">
        <f t="shared" si="13"/>
        <v>3.6</v>
      </c>
      <c r="AO15" s="460">
        <f t="shared" ref="AO15:AT15" si="27">H15+Z15</f>
        <v>3.6</v>
      </c>
      <c r="AP15" s="460">
        <f t="shared" si="27"/>
        <v>0</v>
      </c>
      <c r="AQ15" s="460">
        <f t="shared" si="27"/>
        <v>0</v>
      </c>
      <c r="AR15" s="460">
        <f t="shared" si="27"/>
        <v>0</v>
      </c>
      <c r="AS15" s="460">
        <f t="shared" si="27"/>
        <v>0</v>
      </c>
      <c r="AT15" s="460">
        <f t="shared" si="27"/>
        <v>0</v>
      </c>
      <c r="AU15" s="463">
        <f t="shared" si="15"/>
        <v>0</v>
      </c>
      <c r="AV15" s="460">
        <f t="shared" si="16"/>
        <v>0</v>
      </c>
      <c r="AW15" s="460">
        <f t="shared" si="17"/>
        <v>0</v>
      </c>
      <c r="AX15" s="460">
        <f t="shared" si="18"/>
        <v>0</v>
      </c>
      <c r="AY15" s="460">
        <f t="shared" si="19"/>
        <v>0</v>
      </c>
      <c r="AZ15" s="463">
        <f t="shared" si="20"/>
        <v>0</v>
      </c>
      <c r="BA15" s="482"/>
      <c r="BB15" s="482"/>
    </row>
    <row r="16" s="425" customFormat="1" ht="39" customHeight="1" spans="1:54">
      <c r="A16" s="459">
        <v>11</v>
      </c>
      <c r="B16" s="460" t="s">
        <v>836</v>
      </c>
      <c r="C16" s="460" t="s">
        <v>203</v>
      </c>
      <c r="D16" s="461" t="s">
        <v>315</v>
      </c>
      <c r="E16" s="461" t="s">
        <v>847</v>
      </c>
      <c r="F16" s="463">
        <f t="shared" si="6"/>
        <v>22.98</v>
      </c>
      <c r="G16" s="463">
        <f t="shared" si="7"/>
        <v>7.98</v>
      </c>
      <c r="H16" s="460">
        <v>3.6</v>
      </c>
      <c r="I16" s="460"/>
      <c r="J16" s="460">
        <v>4.38</v>
      </c>
      <c r="K16" s="460"/>
      <c r="L16" s="460"/>
      <c r="M16" s="460"/>
      <c r="N16" s="460"/>
      <c r="O16" s="459">
        <f t="shared" si="8"/>
        <v>0</v>
      </c>
      <c r="P16" s="460"/>
      <c r="Q16" s="460"/>
      <c r="R16" s="460"/>
      <c r="S16" s="460"/>
      <c r="T16" s="460"/>
      <c r="U16" s="463">
        <v>15</v>
      </c>
      <c r="V16" s="460" t="s">
        <v>838</v>
      </c>
      <c r="W16" s="461" t="s">
        <v>848</v>
      </c>
      <c r="X16" s="463">
        <f t="shared" si="9"/>
        <v>14.48</v>
      </c>
      <c r="Y16" s="463">
        <f t="shared" si="10"/>
        <v>-0.52</v>
      </c>
      <c r="Z16" s="460"/>
      <c r="AA16" s="460"/>
      <c r="AB16" s="460">
        <v>-0.52</v>
      </c>
      <c r="AC16" s="460"/>
      <c r="AD16" s="460"/>
      <c r="AE16" s="460"/>
      <c r="AF16" s="459">
        <f t="shared" si="11"/>
        <v>15</v>
      </c>
      <c r="AG16" s="460"/>
      <c r="AH16" s="460"/>
      <c r="AI16" s="460"/>
      <c r="AJ16" s="460">
        <v>15</v>
      </c>
      <c r="AK16" s="460"/>
      <c r="AL16" s="460" t="s">
        <v>849</v>
      </c>
      <c r="AM16" s="463">
        <f t="shared" si="12"/>
        <v>37.46</v>
      </c>
      <c r="AN16" s="463">
        <f t="shared" si="13"/>
        <v>7.46</v>
      </c>
      <c r="AO16" s="460">
        <f t="shared" ref="AO16:AT16" si="28">H16+Z16</f>
        <v>3.6</v>
      </c>
      <c r="AP16" s="460">
        <f t="shared" si="28"/>
        <v>0</v>
      </c>
      <c r="AQ16" s="460">
        <f t="shared" si="28"/>
        <v>3.86</v>
      </c>
      <c r="AR16" s="460">
        <f t="shared" si="28"/>
        <v>0</v>
      </c>
      <c r="AS16" s="460">
        <f t="shared" si="28"/>
        <v>0</v>
      </c>
      <c r="AT16" s="460">
        <f t="shared" si="28"/>
        <v>0</v>
      </c>
      <c r="AU16" s="463">
        <f t="shared" si="15"/>
        <v>15</v>
      </c>
      <c r="AV16" s="460">
        <f t="shared" si="16"/>
        <v>0</v>
      </c>
      <c r="AW16" s="460">
        <f t="shared" si="17"/>
        <v>0</v>
      </c>
      <c r="AX16" s="460">
        <f t="shared" si="18"/>
        <v>0</v>
      </c>
      <c r="AY16" s="460">
        <f t="shared" si="19"/>
        <v>15</v>
      </c>
      <c r="AZ16" s="463">
        <f t="shared" si="20"/>
        <v>15</v>
      </c>
      <c r="BA16" s="482"/>
      <c r="BB16" s="482"/>
    </row>
    <row r="17" s="425" customFormat="1" ht="39" customHeight="1" spans="1:54">
      <c r="A17" s="459">
        <v>12</v>
      </c>
      <c r="B17" s="460" t="s">
        <v>836</v>
      </c>
      <c r="C17" s="460" t="s">
        <v>206</v>
      </c>
      <c r="D17" s="461" t="s">
        <v>318</v>
      </c>
      <c r="E17" s="461" t="s">
        <v>850</v>
      </c>
      <c r="F17" s="463">
        <f t="shared" si="6"/>
        <v>0.6</v>
      </c>
      <c r="G17" s="463">
        <f t="shared" si="7"/>
        <v>0.6</v>
      </c>
      <c r="H17" s="460">
        <v>0.6</v>
      </c>
      <c r="I17" s="460"/>
      <c r="J17" s="460"/>
      <c r="K17" s="460"/>
      <c r="L17" s="460"/>
      <c r="M17" s="460"/>
      <c r="N17" s="460"/>
      <c r="O17" s="459">
        <f t="shared" si="8"/>
        <v>0</v>
      </c>
      <c r="P17" s="460"/>
      <c r="Q17" s="460"/>
      <c r="R17" s="460"/>
      <c r="S17" s="460"/>
      <c r="T17" s="460"/>
      <c r="U17" s="463"/>
      <c r="V17" s="460"/>
      <c r="W17" s="461"/>
      <c r="X17" s="463">
        <f t="shared" si="9"/>
        <v>0</v>
      </c>
      <c r="Y17" s="463">
        <f t="shared" si="10"/>
        <v>0</v>
      </c>
      <c r="Z17" s="460"/>
      <c r="AA17" s="460"/>
      <c r="AB17" s="460"/>
      <c r="AC17" s="460"/>
      <c r="AD17" s="460"/>
      <c r="AE17" s="460"/>
      <c r="AF17" s="459">
        <f t="shared" si="11"/>
        <v>0</v>
      </c>
      <c r="AG17" s="460"/>
      <c r="AH17" s="460"/>
      <c r="AI17" s="460"/>
      <c r="AJ17" s="460"/>
      <c r="AK17" s="460"/>
      <c r="AL17" s="460"/>
      <c r="AM17" s="463">
        <f t="shared" si="12"/>
        <v>0.6</v>
      </c>
      <c r="AN17" s="463">
        <f t="shared" si="13"/>
        <v>0.6</v>
      </c>
      <c r="AO17" s="460">
        <f t="shared" ref="AO17:AT17" si="29">H17+Z17</f>
        <v>0.6</v>
      </c>
      <c r="AP17" s="460">
        <f t="shared" si="29"/>
        <v>0</v>
      </c>
      <c r="AQ17" s="460">
        <f t="shared" si="29"/>
        <v>0</v>
      </c>
      <c r="AR17" s="460">
        <f t="shared" si="29"/>
        <v>0</v>
      </c>
      <c r="AS17" s="460">
        <f t="shared" si="29"/>
        <v>0</v>
      </c>
      <c r="AT17" s="460">
        <f t="shared" si="29"/>
        <v>0</v>
      </c>
      <c r="AU17" s="463">
        <f t="shared" si="15"/>
        <v>0</v>
      </c>
      <c r="AV17" s="460">
        <f t="shared" si="16"/>
        <v>0</v>
      </c>
      <c r="AW17" s="460">
        <f t="shared" si="17"/>
        <v>0</v>
      </c>
      <c r="AX17" s="460">
        <f t="shared" si="18"/>
        <v>0</v>
      </c>
      <c r="AY17" s="460">
        <f t="shared" si="19"/>
        <v>0</v>
      </c>
      <c r="AZ17" s="463">
        <f t="shared" si="20"/>
        <v>0</v>
      </c>
      <c r="BA17" s="482"/>
      <c r="BB17" s="482"/>
    </row>
    <row r="18" s="425" customFormat="1" ht="39" customHeight="1" spans="1:54">
      <c r="A18" s="459">
        <v>13</v>
      </c>
      <c r="B18" s="460" t="s">
        <v>836</v>
      </c>
      <c r="C18" s="460" t="s">
        <v>203</v>
      </c>
      <c r="D18" s="461" t="s">
        <v>216</v>
      </c>
      <c r="E18" s="461" t="s">
        <v>851</v>
      </c>
      <c r="F18" s="463">
        <f t="shared" si="6"/>
        <v>154.14</v>
      </c>
      <c r="G18" s="463">
        <f t="shared" si="7"/>
        <v>58.14</v>
      </c>
      <c r="H18" s="460">
        <v>1.8</v>
      </c>
      <c r="I18" s="460"/>
      <c r="J18" s="460">
        <v>2.34</v>
      </c>
      <c r="K18" s="460"/>
      <c r="L18" s="460"/>
      <c r="M18" s="460">
        <v>54</v>
      </c>
      <c r="N18" s="460" t="s">
        <v>852</v>
      </c>
      <c r="O18" s="459">
        <f t="shared" si="8"/>
        <v>0</v>
      </c>
      <c r="P18" s="460"/>
      <c r="Q18" s="460"/>
      <c r="R18" s="460"/>
      <c r="S18" s="460"/>
      <c r="T18" s="460"/>
      <c r="U18" s="463">
        <v>96</v>
      </c>
      <c r="V18" s="460" t="s">
        <v>838</v>
      </c>
      <c r="W18" s="461" t="s">
        <v>853</v>
      </c>
      <c r="X18" s="463">
        <f t="shared" si="9"/>
        <v>3</v>
      </c>
      <c r="Y18" s="463">
        <f t="shared" si="10"/>
        <v>3</v>
      </c>
      <c r="Z18" s="460"/>
      <c r="AA18" s="460"/>
      <c r="AB18" s="460">
        <v>-0.2</v>
      </c>
      <c r="AC18" s="460"/>
      <c r="AD18" s="460"/>
      <c r="AE18" s="460">
        <v>3.2</v>
      </c>
      <c r="AF18" s="459">
        <f t="shared" si="11"/>
        <v>0</v>
      </c>
      <c r="AG18" s="460"/>
      <c r="AH18" s="460"/>
      <c r="AI18" s="460"/>
      <c r="AJ18" s="460"/>
      <c r="AK18" s="460"/>
      <c r="AL18" s="460" t="s">
        <v>854</v>
      </c>
      <c r="AM18" s="463">
        <f t="shared" si="12"/>
        <v>157.14</v>
      </c>
      <c r="AN18" s="463">
        <f t="shared" si="13"/>
        <v>61.14</v>
      </c>
      <c r="AO18" s="460">
        <f t="shared" ref="AO18:AT18" si="30">H18+Z18</f>
        <v>1.8</v>
      </c>
      <c r="AP18" s="460">
        <f t="shared" si="30"/>
        <v>0</v>
      </c>
      <c r="AQ18" s="460">
        <f t="shared" si="30"/>
        <v>2.14</v>
      </c>
      <c r="AR18" s="460">
        <f t="shared" si="30"/>
        <v>0</v>
      </c>
      <c r="AS18" s="460">
        <f t="shared" si="30"/>
        <v>0</v>
      </c>
      <c r="AT18" s="460">
        <f t="shared" si="30"/>
        <v>57.2</v>
      </c>
      <c r="AU18" s="463">
        <f t="shared" si="15"/>
        <v>0</v>
      </c>
      <c r="AV18" s="460">
        <f t="shared" si="16"/>
        <v>0</v>
      </c>
      <c r="AW18" s="460">
        <f t="shared" si="17"/>
        <v>0</v>
      </c>
      <c r="AX18" s="460">
        <f t="shared" si="18"/>
        <v>0</v>
      </c>
      <c r="AY18" s="460">
        <f t="shared" si="19"/>
        <v>0</v>
      </c>
      <c r="AZ18" s="463">
        <f t="shared" si="20"/>
        <v>96</v>
      </c>
      <c r="BA18" s="482"/>
      <c r="BB18" s="482"/>
    </row>
    <row r="19" s="425" customFormat="1" ht="39" customHeight="1" spans="1:54">
      <c r="A19" s="459">
        <v>14</v>
      </c>
      <c r="B19" s="460" t="s">
        <v>836</v>
      </c>
      <c r="C19" s="460" t="s">
        <v>206</v>
      </c>
      <c r="D19" s="461" t="s">
        <v>225</v>
      </c>
      <c r="E19" s="461" t="s">
        <v>855</v>
      </c>
      <c r="F19" s="463">
        <f t="shared" si="6"/>
        <v>4.8</v>
      </c>
      <c r="G19" s="463">
        <f t="shared" si="7"/>
        <v>4.8</v>
      </c>
      <c r="H19" s="460">
        <v>4.8</v>
      </c>
      <c r="I19" s="460"/>
      <c r="J19" s="460"/>
      <c r="K19" s="460"/>
      <c r="L19" s="460"/>
      <c r="M19" s="460"/>
      <c r="N19" s="460"/>
      <c r="O19" s="459">
        <f t="shared" si="8"/>
        <v>0</v>
      </c>
      <c r="P19" s="460"/>
      <c r="Q19" s="460"/>
      <c r="R19" s="460"/>
      <c r="S19" s="460"/>
      <c r="T19" s="460"/>
      <c r="U19" s="463"/>
      <c r="V19" s="460"/>
      <c r="W19" s="461"/>
      <c r="X19" s="463">
        <f t="shared" si="9"/>
        <v>0</v>
      </c>
      <c r="Y19" s="463">
        <f t="shared" si="10"/>
        <v>0</v>
      </c>
      <c r="Z19" s="460"/>
      <c r="AA19" s="460"/>
      <c r="AB19" s="460"/>
      <c r="AC19" s="460"/>
      <c r="AD19" s="460"/>
      <c r="AE19" s="460"/>
      <c r="AF19" s="459">
        <f t="shared" si="11"/>
        <v>0</v>
      </c>
      <c r="AG19" s="460"/>
      <c r="AH19" s="460"/>
      <c r="AI19" s="460"/>
      <c r="AJ19" s="460"/>
      <c r="AK19" s="460"/>
      <c r="AL19" s="460"/>
      <c r="AM19" s="463">
        <f t="shared" si="12"/>
        <v>4.8</v>
      </c>
      <c r="AN19" s="463">
        <f t="shared" si="13"/>
        <v>4.8</v>
      </c>
      <c r="AO19" s="460">
        <f t="shared" ref="AO19:AT19" si="31">H19+Z19</f>
        <v>4.8</v>
      </c>
      <c r="AP19" s="460">
        <f t="shared" si="31"/>
        <v>0</v>
      </c>
      <c r="AQ19" s="460">
        <f t="shared" si="31"/>
        <v>0</v>
      </c>
      <c r="AR19" s="460">
        <f t="shared" si="31"/>
        <v>0</v>
      </c>
      <c r="AS19" s="460">
        <f t="shared" si="31"/>
        <v>0</v>
      </c>
      <c r="AT19" s="460">
        <f t="shared" si="31"/>
        <v>0</v>
      </c>
      <c r="AU19" s="463">
        <f t="shared" si="15"/>
        <v>0</v>
      </c>
      <c r="AV19" s="460">
        <f t="shared" si="16"/>
        <v>0</v>
      </c>
      <c r="AW19" s="460">
        <f t="shared" si="17"/>
        <v>0</v>
      </c>
      <c r="AX19" s="460">
        <f t="shared" si="18"/>
        <v>0</v>
      </c>
      <c r="AY19" s="460">
        <f t="shared" si="19"/>
        <v>0</v>
      </c>
      <c r="AZ19" s="463">
        <f t="shared" si="20"/>
        <v>0</v>
      </c>
      <c r="BA19" s="482"/>
      <c r="BB19" s="482"/>
    </row>
    <row r="20" s="425" customFormat="1" ht="39" customHeight="1" spans="1:54">
      <c r="A20" s="459">
        <v>15</v>
      </c>
      <c r="B20" s="460" t="s">
        <v>856</v>
      </c>
      <c r="C20" s="460" t="s">
        <v>203</v>
      </c>
      <c r="D20" s="461" t="s">
        <v>274</v>
      </c>
      <c r="E20" s="461" t="s">
        <v>857</v>
      </c>
      <c r="F20" s="463">
        <f t="shared" si="6"/>
        <v>392.21</v>
      </c>
      <c r="G20" s="463">
        <f t="shared" si="7"/>
        <v>272.21</v>
      </c>
      <c r="H20" s="460">
        <v>16.8</v>
      </c>
      <c r="I20" s="460"/>
      <c r="J20" s="460">
        <v>15.41</v>
      </c>
      <c r="K20" s="460"/>
      <c r="L20" s="460"/>
      <c r="M20" s="460">
        <v>240</v>
      </c>
      <c r="N20" s="460" t="s">
        <v>858</v>
      </c>
      <c r="O20" s="459">
        <f t="shared" si="8"/>
        <v>40</v>
      </c>
      <c r="P20" s="460">
        <v>40</v>
      </c>
      <c r="Q20" s="460"/>
      <c r="R20" s="460"/>
      <c r="S20" s="460"/>
      <c r="T20" s="460"/>
      <c r="U20" s="463">
        <v>80</v>
      </c>
      <c r="V20" s="460" t="s">
        <v>859</v>
      </c>
      <c r="W20" s="461" t="s">
        <v>860</v>
      </c>
      <c r="X20" s="463">
        <f t="shared" si="9"/>
        <v>136.72</v>
      </c>
      <c r="Y20" s="463">
        <f t="shared" si="10"/>
        <v>-199.54</v>
      </c>
      <c r="Z20" s="460"/>
      <c r="AA20" s="460"/>
      <c r="AB20" s="460"/>
      <c r="AC20" s="460"/>
      <c r="AD20" s="460"/>
      <c r="AE20" s="471">
        <v>-199.54</v>
      </c>
      <c r="AF20" s="459">
        <f t="shared" si="11"/>
        <v>334.76</v>
      </c>
      <c r="AG20" s="460">
        <f>298.76+36</f>
        <v>334.76</v>
      </c>
      <c r="AH20" s="460"/>
      <c r="AI20" s="460"/>
      <c r="AJ20" s="460"/>
      <c r="AK20" s="460">
        <v>1.5</v>
      </c>
      <c r="AL20" s="460" t="s">
        <v>846</v>
      </c>
      <c r="AM20" s="463">
        <f t="shared" si="12"/>
        <v>528.93</v>
      </c>
      <c r="AN20" s="463">
        <f t="shared" si="13"/>
        <v>72.67</v>
      </c>
      <c r="AO20" s="460">
        <f t="shared" ref="AO20:AT20" si="32">H20+Z20</f>
        <v>16.8</v>
      </c>
      <c r="AP20" s="460">
        <f t="shared" si="32"/>
        <v>0</v>
      </c>
      <c r="AQ20" s="460">
        <f t="shared" si="32"/>
        <v>15.41</v>
      </c>
      <c r="AR20" s="460">
        <f t="shared" si="32"/>
        <v>0</v>
      </c>
      <c r="AS20" s="460">
        <f t="shared" si="32"/>
        <v>0</v>
      </c>
      <c r="AT20" s="460">
        <f t="shared" si="32"/>
        <v>40.46</v>
      </c>
      <c r="AU20" s="463">
        <f t="shared" si="15"/>
        <v>374.76</v>
      </c>
      <c r="AV20" s="460">
        <f t="shared" si="16"/>
        <v>374.76</v>
      </c>
      <c r="AW20" s="460">
        <f t="shared" si="17"/>
        <v>0</v>
      </c>
      <c r="AX20" s="460">
        <f t="shared" si="18"/>
        <v>0</v>
      </c>
      <c r="AY20" s="460">
        <f t="shared" si="19"/>
        <v>0</v>
      </c>
      <c r="AZ20" s="463">
        <f t="shared" si="20"/>
        <v>81.5</v>
      </c>
      <c r="BA20" s="482"/>
      <c r="BB20" s="482"/>
    </row>
    <row r="21" s="425" customFormat="1" ht="39" customHeight="1" spans="1:54">
      <c r="A21" s="459">
        <v>16</v>
      </c>
      <c r="B21" s="460" t="s">
        <v>856</v>
      </c>
      <c r="C21" s="460" t="s">
        <v>206</v>
      </c>
      <c r="D21" s="461" t="s">
        <v>278</v>
      </c>
      <c r="E21" s="461" t="s">
        <v>861</v>
      </c>
      <c r="F21" s="463">
        <f t="shared" si="6"/>
        <v>10.2</v>
      </c>
      <c r="G21" s="463">
        <f t="shared" si="7"/>
        <v>10.2</v>
      </c>
      <c r="H21" s="460">
        <v>10.2</v>
      </c>
      <c r="I21" s="460"/>
      <c r="J21" s="460"/>
      <c r="K21" s="460"/>
      <c r="L21" s="460"/>
      <c r="M21" s="460"/>
      <c r="N21" s="460"/>
      <c r="O21" s="459">
        <f t="shared" si="8"/>
        <v>0</v>
      </c>
      <c r="P21" s="460"/>
      <c r="Q21" s="460"/>
      <c r="R21" s="460"/>
      <c r="S21" s="460"/>
      <c r="T21" s="460"/>
      <c r="U21" s="463"/>
      <c r="V21" s="460"/>
      <c r="W21" s="461"/>
      <c r="X21" s="463">
        <f t="shared" si="9"/>
        <v>0</v>
      </c>
      <c r="Y21" s="463">
        <f t="shared" si="10"/>
        <v>0</v>
      </c>
      <c r="Z21" s="460"/>
      <c r="AA21" s="460"/>
      <c r="AB21" s="460"/>
      <c r="AC21" s="460"/>
      <c r="AD21" s="460"/>
      <c r="AE21" s="460"/>
      <c r="AF21" s="459">
        <f t="shared" si="11"/>
        <v>0</v>
      </c>
      <c r="AG21" s="460"/>
      <c r="AH21" s="460"/>
      <c r="AI21" s="460"/>
      <c r="AJ21" s="460"/>
      <c r="AK21" s="460"/>
      <c r="AL21" s="460"/>
      <c r="AM21" s="463">
        <f t="shared" si="12"/>
        <v>10.2</v>
      </c>
      <c r="AN21" s="463">
        <f t="shared" si="13"/>
        <v>10.2</v>
      </c>
      <c r="AO21" s="460">
        <f t="shared" ref="AO21:AT21" si="33">H21+Z21</f>
        <v>10.2</v>
      </c>
      <c r="AP21" s="460">
        <f t="shared" si="33"/>
        <v>0</v>
      </c>
      <c r="AQ21" s="460">
        <f t="shared" si="33"/>
        <v>0</v>
      </c>
      <c r="AR21" s="460">
        <f t="shared" si="33"/>
        <v>0</v>
      </c>
      <c r="AS21" s="460">
        <f t="shared" si="33"/>
        <v>0</v>
      </c>
      <c r="AT21" s="460">
        <f t="shared" si="33"/>
        <v>0</v>
      </c>
      <c r="AU21" s="463">
        <f t="shared" si="15"/>
        <v>0</v>
      </c>
      <c r="AV21" s="460">
        <f t="shared" si="16"/>
        <v>0</v>
      </c>
      <c r="AW21" s="460">
        <f t="shared" si="17"/>
        <v>0</v>
      </c>
      <c r="AX21" s="460">
        <f t="shared" si="18"/>
        <v>0</v>
      </c>
      <c r="AY21" s="460">
        <f t="shared" si="19"/>
        <v>0</v>
      </c>
      <c r="AZ21" s="463">
        <f t="shared" si="20"/>
        <v>0</v>
      </c>
      <c r="BA21" s="482"/>
      <c r="BB21" s="482"/>
    </row>
    <row r="22" s="425" customFormat="1" ht="39" customHeight="1" spans="1:54">
      <c r="A22" s="459">
        <v>17</v>
      </c>
      <c r="B22" s="460" t="s">
        <v>856</v>
      </c>
      <c r="C22" s="460" t="s">
        <v>206</v>
      </c>
      <c r="D22" s="461" t="s">
        <v>276</v>
      </c>
      <c r="E22" s="461" t="s">
        <v>862</v>
      </c>
      <c r="F22" s="463">
        <f t="shared" si="6"/>
        <v>385.73</v>
      </c>
      <c r="G22" s="463">
        <f t="shared" si="7"/>
        <v>22.4</v>
      </c>
      <c r="H22" s="460">
        <v>5.4</v>
      </c>
      <c r="I22" s="460">
        <v>2</v>
      </c>
      <c r="J22" s="460"/>
      <c r="K22" s="460"/>
      <c r="L22" s="460"/>
      <c r="M22" s="460">
        <v>15</v>
      </c>
      <c r="N22" s="460" t="s">
        <v>863</v>
      </c>
      <c r="O22" s="459">
        <f t="shared" si="8"/>
        <v>0</v>
      </c>
      <c r="P22" s="460"/>
      <c r="Q22" s="460"/>
      <c r="R22" s="460"/>
      <c r="S22" s="460"/>
      <c r="T22" s="460"/>
      <c r="U22" s="463">
        <v>363.33</v>
      </c>
      <c r="V22" s="460" t="s">
        <v>838</v>
      </c>
      <c r="W22" s="461" t="s">
        <v>864</v>
      </c>
      <c r="X22" s="463">
        <f t="shared" si="9"/>
        <v>-308</v>
      </c>
      <c r="Y22" s="463">
        <f t="shared" si="10"/>
        <v>0</v>
      </c>
      <c r="Z22" s="460"/>
      <c r="AA22" s="460"/>
      <c r="AB22" s="460"/>
      <c r="AC22" s="460"/>
      <c r="AD22" s="460"/>
      <c r="AE22" s="460"/>
      <c r="AF22" s="459">
        <f t="shared" si="11"/>
        <v>0</v>
      </c>
      <c r="AG22" s="460"/>
      <c r="AH22" s="460"/>
      <c r="AI22" s="460"/>
      <c r="AJ22" s="460"/>
      <c r="AK22" s="460">
        <v>-308</v>
      </c>
      <c r="AL22" s="460"/>
      <c r="AM22" s="463">
        <f t="shared" si="12"/>
        <v>77.73</v>
      </c>
      <c r="AN22" s="463">
        <f t="shared" si="13"/>
        <v>22.4</v>
      </c>
      <c r="AO22" s="460">
        <f t="shared" ref="AO22:AT22" si="34">H22+Z22</f>
        <v>5.4</v>
      </c>
      <c r="AP22" s="460">
        <f t="shared" si="34"/>
        <v>2</v>
      </c>
      <c r="AQ22" s="460">
        <f t="shared" si="34"/>
        <v>0</v>
      </c>
      <c r="AR22" s="460">
        <f t="shared" si="34"/>
        <v>0</v>
      </c>
      <c r="AS22" s="460">
        <f t="shared" si="34"/>
        <v>0</v>
      </c>
      <c r="AT22" s="460">
        <f t="shared" si="34"/>
        <v>15</v>
      </c>
      <c r="AU22" s="463">
        <f t="shared" si="15"/>
        <v>0</v>
      </c>
      <c r="AV22" s="460">
        <f t="shared" si="16"/>
        <v>0</v>
      </c>
      <c r="AW22" s="460">
        <f t="shared" si="17"/>
        <v>0</v>
      </c>
      <c r="AX22" s="460">
        <f t="shared" si="18"/>
        <v>0</v>
      </c>
      <c r="AY22" s="460">
        <f t="shared" si="19"/>
        <v>0</v>
      </c>
      <c r="AZ22" s="463">
        <f t="shared" si="20"/>
        <v>55.33</v>
      </c>
      <c r="BA22" s="482">
        <v>308</v>
      </c>
      <c r="BB22" s="482"/>
    </row>
    <row r="23" s="425" customFormat="1" ht="39" customHeight="1" spans="1:54">
      <c r="A23" s="459">
        <v>18</v>
      </c>
      <c r="B23" s="460" t="s">
        <v>856</v>
      </c>
      <c r="C23" s="460" t="s">
        <v>206</v>
      </c>
      <c r="D23" s="461" t="s">
        <v>280</v>
      </c>
      <c r="E23" s="461" t="s">
        <v>861</v>
      </c>
      <c r="F23" s="463">
        <f t="shared" si="6"/>
        <v>4.2</v>
      </c>
      <c r="G23" s="463">
        <f t="shared" si="7"/>
        <v>4.2</v>
      </c>
      <c r="H23" s="460">
        <v>4.2</v>
      </c>
      <c r="I23" s="460"/>
      <c r="J23" s="460"/>
      <c r="K23" s="460"/>
      <c r="L23" s="460"/>
      <c r="M23" s="460"/>
      <c r="N23" s="460"/>
      <c r="O23" s="459">
        <f t="shared" si="8"/>
        <v>0</v>
      </c>
      <c r="P23" s="460"/>
      <c r="Q23" s="460"/>
      <c r="R23" s="460"/>
      <c r="S23" s="460"/>
      <c r="T23" s="460"/>
      <c r="U23" s="463"/>
      <c r="V23" s="460"/>
      <c r="W23" s="461"/>
      <c r="X23" s="463">
        <f t="shared" si="9"/>
        <v>0</v>
      </c>
      <c r="Y23" s="463">
        <f t="shared" si="10"/>
        <v>0</v>
      </c>
      <c r="Z23" s="460"/>
      <c r="AA23" s="460"/>
      <c r="AB23" s="460"/>
      <c r="AC23" s="460"/>
      <c r="AD23" s="460"/>
      <c r="AE23" s="460"/>
      <c r="AF23" s="459">
        <f t="shared" si="11"/>
        <v>0</v>
      </c>
      <c r="AG23" s="460"/>
      <c r="AH23" s="460"/>
      <c r="AI23" s="460"/>
      <c r="AJ23" s="460"/>
      <c r="AK23" s="460"/>
      <c r="AL23" s="460"/>
      <c r="AM23" s="463">
        <f t="shared" si="12"/>
        <v>4.2</v>
      </c>
      <c r="AN23" s="463">
        <f t="shared" si="13"/>
        <v>4.2</v>
      </c>
      <c r="AO23" s="460">
        <f t="shared" ref="AO23:AT23" si="35">H23+Z23</f>
        <v>4.2</v>
      </c>
      <c r="AP23" s="460">
        <f t="shared" si="35"/>
        <v>0</v>
      </c>
      <c r="AQ23" s="460">
        <f t="shared" si="35"/>
        <v>0</v>
      </c>
      <c r="AR23" s="460">
        <f t="shared" si="35"/>
        <v>0</v>
      </c>
      <c r="AS23" s="460">
        <f t="shared" si="35"/>
        <v>0</v>
      </c>
      <c r="AT23" s="460">
        <f t="shared" si="35"/>
        <v>0</v>
      </c>
      <c r="AU23" s="463">
        <f t="shared" si="15"/>
        <v>0</v>
      </c>
      <c r="AV23" s="460">
        <f t="shared" si="16"/>
        <v>0</v>
      </c>
      <c r="AW23" s="460">
        <f t="shared" si="17"/>
        <v>0</v>
      </c>
      <c r="AX23" s="460">
        <f t="shared" si="18"/>
        <v>0</v>
      </c>
      <c r="AY23" s="460">
        <f t="shared" si="19"/>
        <v>0</v>
      </c>
      <c r="AZ23" s="463">
        <f t="shared" si="20"/>
        <v>0</v>
      </c>
      <c r="BA23" s="482"/>
      <c r="BB23" s="482"/>
    </row>
    <row r="24" s="425" customFormat="1" ht="39" customHeight="1" spans="1:54">
      <c r="A24" s="459">
        <v>19</v>
      </c>
      <c r="B24" s="460" t="s">
        <v>856</v>
      </c>
      <c r="C24" s="460" t="s">
        <v>206</v>
      </c>
      <c r="D24" s="461" t="s">
        <v>281</v>
      </c>
      <c r="E24" s="461" t="s">
        <v>861</v>
      </c>
      <c r="F24" s="463">
        <f t="shared" si="6"/>
        <v>14</v>
      </c>
      <c r="G24" s="463">
        <f t="shared" si="7"/>
        <v>14</v>
      </c>
      <c r="H24" s="460">
        <v>12</v>
      </c>
      <c r="I24" s="460">
        <v>2</v>
      </c>
      <c r="J24" s="460"/>
      <c r="K24" s="460"/>
      <c r="L24" s="460"/>
      <c r="M24" s="460"/>
      <c r="N24" s="460"/>
      <c r="O24" s="459">
        <f t="shared" si="8"/>
        <v>0</v>
      </c>
      <c r="P24" s="460"/>
      <c r="Q24" s="460"/>
      <c r="R24" s="460"/>
      <c r="S24" s="460"/>
      <c r="T24" s="460"/>
      <c r="U24" s="463"/>
      <c r="V24" s="460"/>
      <c r="W24" s="461"/>
      <c r="X24" s="463">
        <f t="shared" si="9"/>
        <v>0</v>
      </c>
      <c r="Y24" s="463">
        <f t="shared" si="10"/>
        <v>0</v>
      </c>
      <c r="Z24" s="460"/>
      <c r="AA24" s="460"/>
      <c r="AB24" s="460"/>
      <c r="AC24" s="460"/>
      <c r="AD24" s="460"/>
      <c r="AE24" s="460"/>
      <c r="AF24" s="459">
        <f t="shared" si="11"/>
        <v>0</v>
      </c>
      <c r="AG24" s="460"/>
      <c r="AH24" s="460"/>
      <c r="AI24" s="460"/>
      <c r="AJ24" s="460"/>
      <c r="AK24" s="460"/>
      <c r="AL24" s="460"/>
      <c r="AM24" s="463">
        <f t="shared" si="12"/>
        <v>14</v>
      </c>
      <c r="AN24" s="463">
        <f t="shared" si="13"/>
        <v>14</v>
      </c>
      <c r="AO24" s="460">
        <f t="shared" ref="AO24:AT24" si="36">H24+Z24</f>
        <v>12</v>
      </c>
      <c r="AP24" s="460">
        <f t="shared" si="36"/>
        <v>2</v>
      </c>
      <c r="AQ24" s="460">
        <f t="shared" si="36"/>
        <v>0</v>
      </c>
      <c r="AR24" s="460">
        <f t="shared" si="36"/>
        <v>0</v>
      </c>
      <c r="AS24" s="460">
        <f t="shared" si="36"/>
        <v>0</v>
      </c>
      <c r="AT24" s="460">
        <f t="shared" si="36"/>
        <v>0</v>
      </c>
      <c r="AU24" s="463">
        <f t="shared" si="15"/>
        <v>0</v>
      </c>
      <c r="AV24" s="460">
        <f t="shared" si="16"/>
        <v>0</v>
      </c>
      <c r="AW24" s="460">
        <f t="shared" si="17"/>
        <v>0</v>
      </c>
      <c r="AX24" s="460">
        <f t="shared" si="18"/>
        <v>0</v>
      </c>
      <c r="AY24" s="460">
        <f t="shared" si="19"/>
        <v>0</v>
      </c>
      <c r="AZ24" s="463">
        <f t="shared" si="20"/>
        <v>0</v>
      </c>
      <c r="BA24" s="482"/>
      <c r="BB24" s="482"/>
    </row>
    <row r="25" s="425" customFormat="1" ht="39" customHeight="1" spans="1:54">
      <c r="A25" s="459">
        <v>20</v>
      </c>
      <c r="B25" s="460" t="s">
        <v>856</v>
      </c>
      <c r="C25" s="460" t="s">
        <v>206</v>
      </c>
      <c r="D25" s="461" t="s">
        <v>282</v>
      </c>
      <c r="E25" s="461" t="s">
        <v>861</v>
      </c>
      <c r="F25" s="463">
        <f t="shared" si="6"/>
        <v>5.4</v>
      </c>
      <c r="G25" s="463">
        <f t="shared" si="7"/>
        <v>5.4</v>
      </c>
      <c r="H25" s="460">
        <v>5.4</v>
      </c>
      <c r="I25" s="460"/>
      <c r="J25" s="460"/>
      <c r="K25" s="460"/>
      <c r="L25" s="460"/>
      <c r="M25" s="460"/>
      <c r="N25" s="460"/>
      <c r="O25" s="459">
        <f t="shared" si="8"/>
        <v>0</v>
      </c>
      <c r="P25" s="460"/>
      <c r="Q25" s="460"/>
      <c r="R25" s="460"/>
      <c r="S25" s="460"/>
      <c r="T25" s="460"/>
      <c r="U25" s="463"/>
      <c r="V25" s="460"/>
      <c r="W25" s="461"/>
      <c r="X25" s="463">
        <f t="shared" si="9"/>
        <v>0</v>
      </c>
      <c r="Y25" s="463">
        <f t="shared" si="10"/>
        <v>0</v>
      </c>
      <c r="Z25" s="460"/>
      <c r="AA25" s="460"/>
      <c r="AB25" s="460"/>
      <c r="AC25" s="460"/>
      <c r="AD25" s="460"/>
      <c r="AE25" s="460"/>
      <c r="AF25" s="459">
        <f t="shared" si="11"/>
        <v>0</v>
      </c>
      <c r="AG25" s="460"/>
      <c r="AH25" s="460"/>
      <c r="AI25" s="460"/>
      <c r="AJ25" s="460"/>
      <c r="AK25" s="460"/>
      <c r="AL25" s="460"/>
      <c r="AM25" s="463">
        <f t="shared" si="12"/>
        <v>5.4</v>
      </c>
      <c r="AN25" s="463">
        <f t="shared" si="13"/>
        <v>5.4</v>
      </c>
      <c r="AO25" s="460">
        <f t="shared" ref="AO25:AT25" si="37">H25+Z25</f>
        <v>5.4</v>
      </c>
      <c r="AP25" s="460">
        <f t="shared" si="37"/>
        <v>0</v>
      </c>
      <c r="AQ25" s="460">
        <f t="shared" si="37"/>
        <v>0</v>
      </c>
      <c r="AR25" s="460">
        <f t="shared" si="37"/>
        <v>0</v>
      </c>
      <c r="AS25" s="460">
        <f t="shared" si="37"/>
        <v>0</v>
      </c>
      <c r="AT25" s="460">
        <f t="shared" si="37"/>
        <v>0</v>
      </c>
      <c r="AU25" s="463">
        <f t="shared" si="15"/>
        <v>0</v>
      </c>
      <c r="AV25" s="460">
        <f t="shared" si="16"/>
        <v>0</v>
      </c>
      <c r="AW25" s="460">
        <f t="shared" si="17"/>
        <v>0</v>
      </c>
      <c r="AX25" s="460">
        <f t="shared" si="18"/>
        <v>0</v>
      </c>
      <c r="AY25" s="460">
        <f t="shared" si="19"/>
        <v>0</v>
      </c>
      <c r="AZ25" s="463">
        <f t="shared" si="20"/>
        <v>0</v>
      </c>
      <c r="BA25" s="482"/>
      <c r="BB25" s="482"/>
    </row>
    <row r="26" s="425" customFormat="1" ht="39" customHeight="1" spans="1:54">
      <c r="A26" s="459">
        <v>21</v>
      </c>
      <c r="B26" s="460" t="s">
        <v>856</v>
      </c>
      <c r="C26" s="460" t="s">
        <v>206</v>
      </c>
      <c r="D26" s="461" t="s">
        <v>283</v>
      </c>
      <c r="E26" s="461" t="s">
        <v>861</v>
      </c>
      <c r="F26" s="463">
        <f t="shared" si="6"/>
        <v>3</v>
      </c>
      <c r="G26" s="463">
        <f t="shared" si="7"/>
        <v>3</v>
      </c>
      <c r="H26" s="460">
        <v>3</v>
      </c>
      <c r="I26" s="460"/>
      <c r="J26" s="460"/>
      <c r="K26" s="460"/>
      <c r="L26" s="460"/>
      <c r="M26" s="460"/>
      <c r="N26" s="460"/>
      <c r="O26" s="459">
        <f t="shared" si="8"/>
        <v>0</v>
      </c>
      <c r="P26" s="460"/>
      <c r="Q26" s="460"/>
      <c r="R26" s="460"/>
      <c r="S26" s="460"/>
      <c r="T26" s="460"/>
      <c r="U26" s="463"/>
      <c r="V26" s="460"/>
      <c r="W26" s="461"/>
      <c r="X26" s="463">
        <f t="shared" si="9"/>
        <v>0</v>
      </c>
      <c r="Y26" s="463">
        <f t="shared" si="10"/>
        <v>0</v>
      </c>
      <c r="Z26" s="460"/>
      <c r="AA26" s="460"/>
      <c r="AB26" s="460"/>
      <c r="AC26" s="460"/>
      <c r="AD26" s="460"/>
      <c r="AE26" s="460"/>
      <c r="AF26" s="459">
        <f t="shared" si="11"/>
        <v>0</v>
      </c>
      <c r="AG26" s="460"/>
      <c r="AH26" s="460"/>
      <c r="AI26" s="460"/>
      <c r="AJ26" s="460"/>
      <c r="AK26" s="460"/>
      <c r="AL26" s="460"/>
      <c r="AM26" s="463">
        <f t="shared" si="12"/>
        <v>3</v>
      </c>
      <c r="AN26" s="463">
        <f t="shared" si="13"/>
        <v>3</v>
      </c>
      <c r="AO26" s="460">
        <f t="shared" ref="AO26:AT26" si="38">H26+Z26</f>
        <v>3</v>
      </c>
      <c r="AP26" s="460">
        <f t="shared" si="38"/>
        <v>0</v>
      </c>
      <c r="AQ26" s="460">
        <f t="shared" si="38"/>
        <v>0</v>
      </c>
      <c r="AR26" s="460">
        <f t="shared" si="38"/>
        <v>0</v>
      </c>
      <c r="AS26" s="460">
        <f t="shared" si="38"/>
        <v>0</v>
      </c>
      <c r="AT26" s="460">
        <f t="shared" si="38"/>
        <v>0</v>
      </c>
      <c r="AU26" s="463">
        <f t="shared" si="15"/>
        <v>0</v>
      </c>
      <c r="AV26" s="460">
        <f t="shared" si="16"/>
        <v>0</v>
      </c>
      <c r="AW26" s="460">
        <f t="shared" si="17"/>
        <v>0</v>
      </c>
      <c r="AX26" s="460">
        <f t="shared" si="18"/>
        <v>0</v>
      </c>
      <c r="AY26" s="460">
        <f t="shared" si="19"/>
        <v>0</v>
      </c>
      <c r="AZ26" s="463">
        <f t="shared" si="20"/>
        <v>0</v>
      </c>
      <c r="BA26" s="482"/>
      <c r="BB26" s="482"/>
    </row>
    <row r="27" s="425" customFormat="1" ht="39" customHeight="1" spans="1:54">
      <c r="A27" s="459">
        <v>22</v>
      </c>
      <c r="B27" s="460" t="s">
        <v>856</v>
      </c>
      <c r="C27" s="460" t="s">
        <v>203</v>
      </c>
      <c r="D27" s="461" t="s">
        <v>865</v>
      </c>
      <c r="E27" s="461" t="s">
        <v>866</v>
      </c>
      <c r="F27" s="463">
        <f t="shared" si="6"/>
        <v>1610</v>
      </c>
      <c r="G27" s="463">
        <f t="shared" si="7"/>
        <v>1610</v>
      </c>
      <c r="H27" s="460"/>
      <c r="I27" s="460"/>
      <c r="J27" s="460"/>
      <c r="K27" s="460"/>
      <c r="L27" s="460"/>
      <c r="M27" s="460">
        <v>1610</v>
      </c>
      <c r="N27" s="460" t="s">
        <v>858</v>
      </c>
      <c r="O27" s="459">
        <f t="shared" si="8"/>
        <v>0</v>
      </c>
      <c r="P27" s="460"/>
      <c r="Q27" s="460"/>
      <c r="R27" s="460"/>
      <c r="S27" s="460"/>
      <c r="T27" s="460"/>
      <c r="U27" s="463"/>
      <c r="V27" s="460"/>
      <c r="W27" s="461"/>
      <c r="X27" s="463">
        <f t="shared" si="9"/>
        <v>-1487.25</v>
      </c>
      <c r="Y27" s="463">
        <f t="shared" si="10"/>
        <v>-1487.25</v>
      </c>
      <c r="Z27" s="460"/>
      <c r="AA27" s="460"/>
      <c r="AB27" s="460"/>
      <c r="AC27" s="460"/>
      <c r="AD27" s="460"/>
      <c r="AE27" s="471">
        <f>102.75+4.15-1594.15</f>
        <v>-1487.25</v>
      </c>
      <c r="AF27" s="459">
        <f t="shared" si="11"/>
        <v>0</v>
      </c>
      <c r="AG27" s="460"/>
      <c r="AH27" s="460"/>
      <c r="AI27" s="460"/>
      <c r="AJ27" s="460"/>
      <c r="AK27" s="460"/>
      <c r="AL27" s="460" t="s">
        <v>867</v>
      </c>
      <c r="AM27" s="463">
        <f t="shared" si="12"/>
        <v>122.75</v>
      </c>
      <c r="AN27" s="463">
        <f t="shared" si="13"/>
        <v>122.75</v>
      </c>
      <c r="AO27" s="460">
        <f t="shared" ref="AO27:AT27" si="39">H27+Z27</f>
        <v>0</v>
      </c>
      <c r="AP27" s="460">
        <f t="shared" si="39"/>
        <v>0</v>
      </c>
      <c r="AQ27" s="460">
        <f t="shared" si="39"/>
        <v>0</v>
      </c>
      <c r="AR27" s="460">
        <f t="shared" si="39"/>
        <v>0</v>
      </c>
      <c r="AS27" s="460">
        <f t="shared" si="39"/>
        <v>0</v>
      </c>
      <c r="AT27" s="460">
        <f t="shared" si="39"/>
        <v>122.75</v>
      </c>
      <c r="AU27" s="463">
        <f t="shared" si="15"/>
        <v>0</v>
      </c>
      <c r="AV27" s="460">
        <f t="shared" si="16"/>
        <v>0</v>
      </c>
      <c r="AW27" s="460">
        <f t="shared" si="17"/>
        <v>0</v>
      </c>
      <c r="AX27" s="460">
        <f t="shared" si="18"/>
        <v>0</v>
      </c>
      <c r="AY27" s="460">
        <f t="shared" si="19"/>
        <v>0</v>
      </c>
      <c r="AZ27" s="463">
        <f t="shared" si="20"/>
        <v>0</v>
      </c>
      <c r="BA27" s="482"/>
      <c r="BB27" s="482">
        <v>1340.15</v>
      </c>
    </row>
    <row r="28" s="425" customFormat="1" ht="39" customHeight="1" spans="1:54">
      <c r="A28" s="459">
        <v>23</v>
      </c>
      <c r="B28" s="460" t="s">
        <v>856</v>
      </c>
      <c r="C28" s="460" t="s">
        <v>203</v>
      </c>
      <c r="D28" s="461" t="s">
        <v>227</v>
      </c>
      <c r="E28" s="461" t="s">
        <v>868</v>
      </c>
      <c r="F28" s="463">
        <f t="shared" si="6"/>
        <v>158.2</v>
      </c>
      <c r="G28" s="463">
        <f t="shared" si="7"/>
        <v>124.83</v>
      </c>
      <c r="H28" s="460">
        <v>14.4</v>
      </c>
      <c r="I28" s="460"/>
      <c r="J28" s="460">
        <v>17.28</v>
      </c>
      <c r="K28" s="460"/>
      <c r="L28" s="460">
        <v>7.15</v>
      </c>
      <c r="M28" s="460">
        <v>86</v>
      </c>
      <c r="N28" s="460" t="s">
        <v>869</v>
      </c>
      <c r="O28" s="459">
        <f t="shared" si="8"/>
        <v>33.37</v>
      </c>
      <c r="P28" s="460">
        <v>3.37</v>
      </c>
      <c r="Q28" s="460"/>
      <c r="R28" s="460">
        <v>28</v>
      </c>
      <c r="S28" s="460">
        <v>2</v>
      </c>
      <c r="T28" s="460" t="s">
        <v>870</v>
      </c>
      <c r="U28" s="463"/>
      <c r="V28" s="460"/>
      <c r="W28" s="461"/>
      <c r="X28" s="463">
        <f t="shared" si="9"/>
        <v>30.13</v>
      </c>
      <c r="Y28" s="463">
        <f t="shared" si="10"/>
        <v>-2.79</v>
      </c>
      <c r="Z28" s="460"/>
      <c r="AA28" s="460"/>
      <c r="AB28" s="460">
        <v>-2.79</v>
      </c>
      <c r="AC28" s="460"/>
      <c r="AD28" s="460"/>
      <c r="AE28" s="460"/>
      <c r="AF28" s="459">
        <f t="shared" si="11"/>
        <v>31.42</v>
      </c>
      <c r="AG28" s="460">
        <v>8.5</v>
      </c>
      <c r="AH28" s="460"/>
      <c r="AI28" s="460">
        <v>11.58</v>
      </c>
      <c r="AJ28" s="460">
        <v>11.34</v>
      </c>
      <c r="AK28" s="460">
        <v>1.5</v>
      </c>
      <c r="AL28" s="460" t="s">
        <v>871</v>
      </c>
      <c r="AM28" s="463">
        <f t="shared" si="12"/>
        <v>188.33</v>
      </c>
      <c r="AN28" s="463">
        <f t="shared" si="13"/>
        <v>122.04</v>
      </c>
      <c r="AO28" s="460">
        <f t="shared" ref="AO28:AT28" si="40">H28+Z28</f>
        <v>14.4</v>
      </c>
      <c r="AP28" s="460">
        <f t="shared" si="40"/>
        <v>0</v>
      </c>
      <c r="AQ28" s="460">
        <f t="shared" si="40"/>
        <v>14.49</v>
      </c>
      <c r="AR28" s="460">
        <f t="shared" si="40"/>
        <v>0</v>
      </c>
      <c r="AS28" s="460">
        <f t="shared" si="40"/>
        <v>7.15</v>
      </c>
      <c r="AT28" s="460">
        <f t="shared" si="40"/>
        <v>86</v>
      </c>
      <c r="AU28" s="463">
        <f t="shared" si="15"/>
        <v>64.79</v>
      </c>
      <c r="AV28" s="460">
        <f t="shared" si="16"/>
        <v>11.87</v>
      </c>
      <c r="AW28" s="460">
        <f t="shared" si="17"/>
        <v>0</v>
      </c>
      <c r="AX28" s="460">
        <f t="shared" si="18"/>
        <v>39.58</v>
      </c>
      <c r="AY28" s="460">
        <f t="shared" si="19"/>
        <v>13.34</v>
      </c>
      <c r="AZ28" s="463">
        <f t="shared" si="20"/>
        <v>1.5</v>
      </c>
      <c r="BA28" s="482"/>
      <c r="BB28" s="482"/>
    </row>
    <row r="29" s="425" customFormat="1" ht="39" customHeight="1" spans="1:54">
      <c r="A29" s="459">
        <v>24</v>
      </c>
      <c r="B29" s="460" t="s">
        <v>856</v>
      </c>
      <c r="C29" s="460" t="s">
        <v>206</v>
      </c>
      <c r="D29" s="461" t="s">
        <v>228</v>
      </c>
      <c r="E29" s="461" t="s">
        <v>868</v>
      </c>
      <c r="F29" s="463">
        <f t="shared" si="6"/>
        <v>24</v>
      </c>
      <c r="G29" s="463">
        <f t="shared" si="7"/>
        <v>24</v>
      </c>
      <c r="H29" s="460">
        <v>24</v>
      </c>
      <c r="I29" s="460"/>
      <c r="J29" s="460"/>
      <c r="K29" s="460"/>
      <c r="L29" s="460"/>
      <c r="M29" s="460"/>
      <c r="N29" s="460"/>
      <c r="O29" s="459">
        <f t="shared" si="8"/>
        <v>0</v>
      </c>
      <c r="P29" s="460"/>
      <c r="Q29" s="460"/>
      <c r="R29" s="460"/>
      <c r="S29" s="460"/>
      <c r="T29" s="460"/>
      <c r="U29" s="463"/>
      <c r="V29" s="460"/>
      <c r="W29" s="461"/>
      <c r="X29" s="463">
        <f t="shared" si="9"/>
        <v>0</v>
      </c>
      <c r="Y29" s="463">
        <f t="shared" si="10"/>
        <v>0</v>
      </c>
      <c r="Z29" s="460"/>
      <c r="AA29" s="460"/>
      <c r="AB29" s="460"/>
      <c r="AC29" s="460"/>
      <c r="AD29" s="460"/>
      <c r="AE29" s="460"/>
      <c r="AF29" s="459">
        <f t="shared" si="11"/>
        <v>0</v>
      </c>
      <c r="AG29" s="460"/>
      <c r="AH29" s="460"/>
      <c r="AI29" s="460"/>
      <c r="AJ29" s="460"/>
      <c r="AK29" s="460"/>
      <c r="AL29" s="460"/>
      <c r="AM29" s="463">
        <f t="shared" si="12"/>
        <v>24</v>
      </c>
      <c r="AN29" s="463">
        <f t="shared" si="13"/>
        <v>24</v>
      </c>
      <c r="AO29" s="460">
        <f t="shared" ref="AO29:AT29" si="41">H29+Z29</f>
        <v>24</v>
      </c>
      <c r="AP29" s="460">
        <f t="shared" si="41"/>
        <v>0</v>
      </c>
      <c r="AQ29" s="460">
        <f t="shared" si="41"/>
        <v>0</v>
      </c>
      <c r="AR29" s="460">
        <f t="shared" si="41"/>
        <v>0</v>
      </c>
      <c r="AS29" s="460">
        <f t="shared" si="41"/>
        <v>0</v>
      </c>
      <c r="AT29" s="460">
        <f t="shared" si="41"/>
        <v>0</v>
      </c>
      <c r="AU29" s="463">
        <f t="shared" si="15"/>
        <v>0</v>
      </c>
      <c r="AV29" s="460">
        <f t="shared" si="16"/>
        <v>0</v>
      </c>
      <c r="AW29" s="460">
        <f t="shared" si="17"/>
        <v>0</v>
      </c>
      <c r="AX29" s="460">
        <f t="shared" si="18"/>
        <v>0</v>
      </c>
      <c r="AY29" s="460">
        <f t="shared" si="19"/>
        <v>0</v>
      </c>
      <c r="AZ29" s="463">
        <f t="shared" si="20"/>
        <v>0</v>
      </c>
      <c r="BA29" s="482"/>
      <c r="BB29" s="482"/>
    </row>
    <row r="30" s="425" customFormat="1" ht="60" spans="1:54">
      <c r="A30" s="459">
        <v>25</v>
      </c>
      <c r="B30" s="460" t="s">
        <v>856</v>
      </c>
      <c r="C30" s="460" t="s">
        <v>203</v>
      </c>
      <c r="D30" s="461" t="s">
        <v>229</v>
      </c>
      <c r="E30" s="461" t="s">
        <v>868</v>
      </c>
      <c r="F30" s="463">
        <f t="shared" si="6"/>
        <v>247.79</v>
      </c>
      <c r="G30" s="463">
        <f t="shared" si="7"/>
        <v>112.79</v>
      </c>
      <c r="H30" s="460">
        <v>16.8</v>
      </c>
      <c r="I30" s="460"/>
      <c r="J30" s="460">
        <v>19.62</v>
      </c>
      <c r="K30" s="460"/>
      <c r="L30" s="460">
        <v>4.37</v>
      </c>
      <c r="M30" s="460">
        <v>72</v>
      </c>
      <c r="N30" s="460" t="s">
        <v>869</v>
      </c>
      <c r="O30" s="459">
        <f t="shared" si="8"/>
        <v>135</v>
      </c>
      <c r="P30" s="460">
        <v>5</v>
      </c>
      <c r="Q30" s="460"/>
      <c r="R30" s="460">
        <v>128</v>
      </c>
      <c r="S30" s="460">
        <v>2</v>
      </c>
      <c r="T30" s="460" t="s">
        <v>870</v>
      </c>
      <c r="U30" s="463"/>
      <c r="V30" s="460"/>
      <c r="W30" s="461"/>
      <c r="X30" s="463">
        <f t="shared" si="9"/>
        <v>37.19</v>
      </c>
      <c r="Y30" s="463">
        <f t="shared" si="10"/>
        <v>-0.88</v>
      </c>
      <c r="Z30" s="460"/>
      <c r="AA30" s="460"/>
      <c r="AB30" s="460">
        <v>-0.88</v>
      </c>
      <c r="AC30" s="460"/>
      <c r="AD30" s="460"/>
      <c r="AE30" s="460"/>
      <c r="AF30" s="459">
        <f t="shared" si="11"/>
        <v>36.57</v>
      </c>
      <c r="AG30" s="460">
        <v>8.46</v>
      </c>
      <c r="AH30" s="460"/>
      <c r="AI30" s="471">
        <f>83.26-75.45</f>
        <v>7.81</v>
      </c>
      <c r="AJ30" s="460">
        <v>20.3</v>
      </c>
      <c r="AK30" s="460">
        <v>1.5</v>
      </c>
      <c r="AL30" s="460" t="s">
        <v>872</v>
      </c>
      <c r="AM30" s="463">
        <f t="shared" si="12"/>
        <v>284.98</v>
      </c>
      <c r="AN30" s="463">
        <f t="shared" si="13"/>
        <v>111.91</v>
      </c>
      <c r="AO30" s="460">
        <f t="shared" ref="AO30:AT30" si="42">H30+Z30</f>
        <v>16.8</v>
      </c>
      <c r="AP30" s="460">
        <f t="shared" si="42"/>
        <v>0</v>
      </c>
      <c r="AQ30" s="460">
        <f t="shared" si="42"/>
        <v>18.74</v>
      </c>
      <c r="AR30" s="460">
        <f t="shared" si="42"/>
        <v>0</v>
      </c>
      <c r="AS30" s="460">
        <f t="shared" si="42"/>
        <v>4.37</v>
      </c>
      <c r="AT30" s="460">
        <f t="shared" si="42"/>
        <v>72</v>
      </c>
      <c r="AU30" s="463">
        <f t="shared" si="15"/>
        <v>171.57</v>
      </c>
      <c r="AV30" s="460">
        <f t="shared" si="16"/>
        <v>13.46</v>
      </c>
      <c r="AW30" s="460">
        <f t="shared" si="17"/>
        <v>0</v>
      </c>
      <c r="AX30" s="460">
        <f t="shared" si="18"/>
        <v>135.81</v>
      </c>
      <c r="AY30" s="460">
        <f t="shared" si="19"/>
        <v>22.3</v>
      </c>
      <c r="AZ30" s="463">
        <f t="shared" si="20"/>
        <v>1.5</v>
      </c>
      <c r="BA30" s="482"/>
      <c r="BB30" s="482"/>
    </row>
    <row r="31" s="425" customFormat="1" ht="39" customHeight="1" spans="1:54">
      <c r="A31" s="459">
        <v>26</v>
      </c>
      <c r="B31" s="460" t="s">
        <v>856</v>
      </c>
      <c r="C31" s="460" t="s">
        <v>206</v>
      </c>
      <c r="D31" s="461" t="s">
        <v>230</v>
      </c>
      <c r="E31" s="461" t="s">
        <v>868</v>
      </c>
      <c r="F31" s="463">
        <f t="shared" si="6"/>
        <v>25.8</v>
      </c>
      <c r="G31" s="463">
        <f t="shared" si="7"/>
        <v>25.8</v>
      </c>
      <c r="H31" s="460">
        <v>25.8</v>
      </c>
      <c r="I31" s="460"/>
      <c r="J31" s="460"/>
      <c r="K31" s="460"/>
      <c r="L31" s="460"/>
      <c r="M31" s="460"/>
      <c r="N31" s="460"/>
      <c r="O31" s="459">
        <f t="shared" si="8"/>
        <v>0</v>
      </c>
      <c r="P31" s="460"/>
      <c r="Q31" s="460"/>
      <c r="R31" s="460"/>
      <c r="S31" s="460"/>
      <c r="T31" s="460"/>
      <c r="U31" s="463"/>
      <c r="V31" s="460"/>
      <c r="W31" s="461"/>
      <c r="X31" s="463">
        <f t="shared" si="9"/>
        <v>0</v>
      </c>
      <c r="Y31" s="463">
        <f t="shared" si="10"/>
        <v>0</v>
      </c>
      <c r="Z31" s="460"/>
      <c r="AA31" s="460"/>
      <c r="AB31" s="460"/>
      <c r="AC31" s="460"/>
      <c r="AD31" s="460"/>
      <c r="AE31" s="460"/>
      <c r="AF31" s="459">
        <f t="shared" si="11"/>
        <v>0</v>
      </c>
      <c r="AG31" s="460"/>
      <c r="AH31" s="460"/>
      <c r="AI31" s="460"/>
      <c r="AJ31" s="460"/>
      <c r="AK31" s="460"/>
      <c r="AL31" s="460"/>
      <c r="AM31" s="463">
        <f t="shared" si="12"/>
        <v>25.8</v>
      </c>
      <c r="AN31" s="463">
        <f t="shared" si="13"/>
        <v>25.8</v>
      </c>
      <c r="AO31" s="460">
        <f t="shared" ref="AO31:AT31" si="43">H31+Z31</f>
        <v>25.8</v>
      </c>
      <c r="AP31" s="460">
        <f t="shared" si="43"/>
        <v>0</v>
      </c>
      <c r="AQ31" s="460">
        <f t="shared" si="43"/>
        <v>0</v>
      </c>
      <c r="AR31" s="460">
        <f t="shared" si="43"/>
        <v>0</v>
      </c>
      <c r="AS31" s="460">
        <f t="shared" si="43"/>
        <v>0</v>
      </c>
      <c r="AT31" s="460">
        <f t="shared" si="43"/>
        <v>0</v>
      </c>
      <c r="AU31" s="463">
        <f t="shared" si="15"/>
        <v>0</v>
      </c>
      <c r="AV31" s="460">
        <f t="shared" si="16"/>
        <v>0</v>
      </c>
      <c r="AW31" s="460">
        <f t="shared" si="17"/>
        <v>0</v>
      </c>
      <c r="AX31" s="460">
        <f t="shared" si="18"/>
        <v>0</v>
      </c>
      <c r="AY31" s="460">
        <f t="shared" si="19"/>
        <v>0</v>
      </c>
      <c r="AZ31" s="463">
        <f t="shared" si="20"/>
        <v>0</v>
      </c>
      <c r="BA31" s="482"/>
      <c r="BB31" s="482"/>
    </row>
    <row r="32" s="425" customFormat="1" ht="39" customHeight="1" spans="1:54">
      <c r="A32" s="459">
        <v>27</v>
      </c>
      <c r="B32" s="460" t="s">
        <v>856</v>
      </c>
      <c r="C32" s="460" t="s">
        <v>203</v>
      </c>
      <c r="D32" s="461" t="s">
        <v>231</v>
      </c>
      <c r="E32" s="461" t="s">
        <v>868</v>
      </c>
      <c r="F32" s="463">
        <f t="shared" si="6"/>
        <v>88.93</v>
      </c>
      <c r="G32" s="463">
        <f t="shared" si="7"/>
        <v>25.93</v>
      </c>
      <c r="H32" s="460">
        <v>10.2</v>
      </c>
      <c r="I32" s="460"/>
      <c r="J32" s="460">
        <v>12.3</v>
      </c>
      <c r="K32" s="460"/>
      <c r="L32" s="460">
        <v>3.43</v>
      </c>
      <c r="M32" s="460"/>
      <c r="N32" s="460"/>
      <c r="O32" s="459">
        <f t="shared" si="8"/>
        <v>63</v>
      </c>
      <c r="P32" s="460">
        <v>0</v>
      </c>
      <c r="Q32" s="460"/>
      <c r="R32" s="460">
        <v>61</v>
      </c>
      <c r="S32" s="460">
        <v>2</v>
      </c>
      <c r="T32" s="460" t="s">
        <v>870</v>
      </c>
      <c r="U32" s="463"/>
      <c r="V32" s="460"/>
      <c r="W32" s="461"/>
      <c r="X32" s="463">
        <f t="shared" si="9"/>
        <v>10.28</v>
      </c>
      <c r="Y32" s="463">
        <f t="shared" si="10"/>
        <v>-1.68</v>
      </c>
      <c r="Z32" s="460"/>
      <c r="AA32" s="460"/>
      <c r="AB32" s="460">
        <v>-1.68</v>
      </c>
      <c r="AC32" s="460"/>
      <c r="AD32" s="460"/>
      <c r="AE32" s="460"/>
      <c r="AF32" s="459">
        <f t="shared" si="11"/>
        <v>10.46</v>
      </c>
      <c r="AG32" s="460">
        <v>17.46</v>
      </c>
      <c r="AH32" s="460"/>
      <c r="AI32" s="471">
        <f>54-61</f>
        <v>-7</v>
      </c>
      <c r="AJ32" s="460"/>
      <c r="AK32" s="460">
        <v>1.5</v>
      </c>
      <c r="AL32" s="460" t="s">
        <v>846</v>
      </c>
      <c r="AM32" s="463">
        <f t="shared" si="12"/>
        <v>99.21</v>
      </c>
      <c r="AN32" s="463">
        <f t="shared" si="13"/>
        <v>24.25</v>
      </c>
      <c r="AO32" s="460">
        <f t="shared" ref="AO32:AT32" si="44">H32+Z32</f>
        <v>10.2</v>
      </c>
      <c r="AP32" s="460">
        <f t="shared" si="44"/>
        <v>0</v>
      </c>
      <c r="AQ32" s="460">
        <f t="shared" si="44"/>
        <v>10.62</v>
      </c>
      <c r="AR32" s="460">
        <f t="shared" si="44"/>
        <v>0</v>
      </c>
      <c r="AS32" s="460">
        <f t="shared" si="44"/>
        <v>3.43</v>
      </c>
      <c r="AT32" s="460">
        <f t="shared" si="44"/>
        <v>0</v>
      </c>
      <c r="AU32" s="463">
        <f t="shared" si="15"/>
        <v>73.46</v>
      </c>
      <c r="AV32" s="460">
        <f t="shared" si="16"/>
        <v>17.46</v>
      </c>
      <c r="AW32" s="460">
        <f t="shared" si="17"/>
        <v>0</v>
      </c>
      <c r="AX32" s="460">
        <f t="shared" si="18"/>
        <v>54</v>
      </c>
      <c r="AY32" s="460">
        <f t="shared" si="19"/>
        <v>2</v>
      </c>
      <c r="AZ32" s="463">
        <f t="shared" si="20"/>
        <v>1.5</v>
      </c>
      <c r="BA32" s="482"/>
      <c r="BB32" s="482"/>
    </row>
    <row r="33" s="425" customFormat="1" ht="39" customHeight="1" spans="1:54">
      <c r="A33" s="459">
        <v>28</v>
      </c>
      <c r="B33" s="460" t="s">
        <v>856</v>
      </c>
      <c r="C33" s="460" t="s">
        <v>206</v>
      </c>
      <c r="D33" s="461" t="s">
        <v>232</v>
      </c>
      <c r="E33" s="461" t="s">
        <v>868</v>
      </c>
      <c r="F33" s="463">
        <f t="shared" si="6"/>
        <v>20.4</v>
      </c>
      <c r="G33" s="463">
        <f t="shared" si="7"/>
        <v>20.4</v>
      </c>
      <c r="H33" s="460">
        <v>20.4</v>
      </c>
      <c r="I33" s="460"/>
      <c r="J33" s="460"/>
      <c r="K33" s="460"/>
      <c r="L33" s="460"/>
      <c r="M33" s="460"/>
      <c r="N33" s="460"/>
      <c r="O33" s="459">
        <f t="shared" si="8"/>
        <v>0</v>
      </c>
      <c r="P33" s="460"/>
      <c r="Q33" s="460"/>
      <c r="R33" s="460"/>
      <c r="S33" s="460"/>
      <c r="T33" s="460"/>
      <c r="U33" s="463"/>
      <c r="V33" s="460"/>
      <c r="W33" s="461"/>
      <c r="X33" s="463">
        <f t="shared" si="9"/>
        <v>0</v>
      </c>
      <c r="Y33" s="463">
        <f t="shared" si="10"/>
        <v>0</v>
      </c>
      <c r="Z33" s="460"/>
      <c r="AA33" s="460"/>
      <c r="AB33" s="460"/>
      <c r="AC33" s="460"/>
      <c r="AD33" s="460"/>
      <c r="AE33" s="460"/>
      <c r="AF33" s="459">
        <f t="shared" si="11"/>
        <v>0</v>
      </c>
      <c r="AG33" s="460"/>
      <c r="AH33" s="460"/>
      <c r="AI33" s="460"/>
      <c r="AJ33" s="460"/>
      <c r="AK33" s="460"/>
      <c r="AL33" s="460"/>
      <c r="AM33" s="463">
        <f t="shared" si="12"/>
        <v>20.4</v>
      </c>
      <c r="AN33" s="463">
        <f t="shared" si="13"/>
        <v>20.4</v>
      </c>
      <c r="AO33" s="460">
        <f t="shared" ref="AO33:AT33" si="45">H33+Z33</f>
        <v>20.4</v>
      </c>
      <c r="AP33" s="460">
        <f t="shared" si="45"/>
        <v>0</v>
      </c>
      <c r="AQ33" s="460">
        <f t="shared" si="45"/>
        <v>0</v>
      </c>
      <c r="AR33" s="460">
        <f t="shared" si="45"/>
        <v>0</v>
      </c>
      <c r="AS33" s="460">
        <f t="shared" si="45"/>
        <v>0</v>
      </c>
      <c r="AT33" s="460">
        <f t="shared" si="45"/>
        <v>0</v>
      </c>
      <c r="AU33" s="463">
        <f t="shared" si="15"/>
        <v>0</v>
      </c>
      <c r="AV33" s="460">
        <f t="shared" si="16"/>
        <v>0</v>
      </c>
      <c r="AW33" s="460">
        <f t="shared" si="17"/>
        <v>0</v>
      </c>
      <c r="AX33" s="460">
        <f t="shared" si="18"/>
        <v>0</v>
      </c>
      <c r="AY33" s="460">
        <f t="shared" si="19"/>
        <v>0</v>
      </c>
      <c r="AZ33" s="463">
        <f t="shared" si="20"/>
        <v>0</v>
      </c>
      <c r="BA33" s="482"/>
      <c r="BB33" s="482"/>
    </row>
    <row r="34" s="425" customFormat="1" ht="39" customHeight="1" spans="1:54">
      <c r="A34" s="459">
        <v>29</v>
      </c>
      <c r="B34" s="460" t="s">
        <v>856</v>
      </c>
      <c r="C34" s="460" t="s">
        <v>203</v>
      </c>
      <c r="D34" s="461" t="s">
        <v>233</v>
      </c>
      <c r="E34" s="461" t="s">
        <v>868</v>
      </c>
      <c r="F34" s="463">
        <f t="shared" si="6"/>
        <v>147.19</v>
      </c>
      <c r="G34" s="463">
        <f t="shared" si="7"/>
        <v>39.19</v>
      </c>
      <c r="H34" s="460">
        <v>12.6</v>
      </c>
      <c r="I34" s="460"/>
      <c r="J34" s="460">
        <v>14.4</v>
      </c>
      <c r="K34" s="460"/>
      <c r="L34" s="460">
        <v>12.19</v>
      </c>
      <c r="M34" s="460"/>
      <c r="N34" s="460"/>
      <c r="O34" s="459">
        <f t="shared" si="8"/>
        <v>108</v>
      </c>
      <c r="P34" s="460">
        <v>3</v>
      </c>
      <c r="Q34" s="460"/>
      <c r="R34" s="460">
        <v>103</v>
      </c>
      <c r="S34" s="460">
        <v>2</v>
      </c>
      <c r="T34" s="460" t="s">
        <v>870</v>
      </c>
      <c r="U34" s="463"/>
      <c r="V34" s="460"/>
      <c r="W34" s="461"/>
      <c r="X34" s="463">
        <f t="shared" si="9"/>
        <v>-53.39</v>
      </c>
      <c r="Y34" s="463">
        <f t="shared" si="10"/>
        <v>0.87</v>
      </c>
      <c r="Z34" s="460"/>
      <c r="AA34" s="460"/>
      <c r="AB34" s="460">
        <v>0.87</v>
      </c>
      <c r="AC34" s="460"/>
      <c r="AD34" s="460"/>
      <c r="AE34" s="460"/>
      <c r="AF34" s="459">
        <f t="shared" si="11"/>
        <v>-55.76</v>
      </c>
      <c r="AG34" s="460">
        <v>8.58</v>
      </c>
      <c r="AH34" s="460"/>
      <c r="AI34" s="471">
        <f>58.39-122.73</f>
        <v>-64.34</v>
      </c>
      <c r="AJ34" s="460"/>
      <c r="AK34" s="460">
        <v>1.5</v>
      </c>
      <c r="AL34" s="460" t="s">
        <v>846</v>
      </c>
      <c r="AM34" s="463">
        <f t="shared" si="12"/>
        <v>93.8</v>
      </c>
      <c r="AN34" s="463">
        <f t="shared" si="13"/>
        <v>40.06</v>
      </c>
      <c r="AO34" s="460">
        <f t="shared" ref="AO34:AT34" si="46">H34+Z34</f>
        <v>12.6</v>
      </c>
      <c r="AP34" s="460">
        <f t="shared" si="46"/>
        <v>0</v>
      </c>
      <c r="AQ34" s="460">
        <f t="shared" si="46"/>
        <v>15.27</v>
      </c>
      <c r="AR34" s="460">
        <f t="shared" si="46"/>
        <v>0</v>
      </c>
      <c r="AS34" s="460">
        <f t="shared" si="46"/>
        <v>12.19</v>
      </c>
      <c r="AT34" s="460">
        <f t="shared" si="46"/>
        <v>0</v>
      </c>
      <c r="AU34" s="463">
        <f t="shared" si="15"/>
        <v>52.24</v>
      </c>
      <c r="AV34" s="460">
        <f t="shared" si="16"/>
        <v>11.58</v>
      </c>
      <c r="AW34" s="460">
        <f t="shared" si="17"/>
        <v>0</v>
      </c>
      <c r="AX34" s="460">
        <f t="shared" si="18"/>
        <v>38.66</v>
      </c>
      <c r="AY34" s="460">
        <f t="shared" si="19"/>
        <v>2</v>
      </c>
      <c r="AZ34" s="463">
        <f t="shared" si="20"/>
        <v>1.5</v>
      </c>
      <c r="BA34" s="482"/>
      <c r="BB34" s="482">
        <v>193.38</v>
      </c>
    </row>
    <row r="35" s="425" customFormat="1" ht="39" customHeight="1" spans="1:54">
      <c r="A35" s="459">
        <v>30</v>
      </c>
      <c r="B35" s="460" t="s">
        <v>856</v>
      </c>
      <c r="C35" s="460" t="s">
        <v>206</v>
      </c>
      <c r="D35" s="461" t="s">
        <v>234</v>
      </c>
      <c r="E35" s="461" t="s">
        <v>868</v>
      </c>
      <c r="F35" s="463">
        <f t="shared" si="6"/>
        <v>23.4</v>
      </c>
      <c r="G35" s="463">
        <f t="shared" si="7"/>
        <v>23.4</v>
      </c>
      <c r="H35" s="460">
        <v>23.4</v>
      </c>
      <c r="I35" s="460"/>
      <c r="J35" s="460"/>
      <c r="K35" s="460"/>
      <c r="L35" s="460"/>
      <c r="M35" s="460"/>
      <c r="N35" s="460"/>
      <c r="O35" s="459">
        <f t="shared" si="8"/>
        <v>0</v>
      </c>
      <c r="P35" s="460"/>
      <c r="Q35" s="460"/>
      <c r="R35" s="460"/>
      <c r="S35" s="460"/>
      <c r="T35" s="460"/>
      <c r="U35" s="463"/>
      <c r="V35" s="460"/>
      <c r="W35" s="461"/>
      <c r="X35" s="463">
        <f t="shared" si="9"/>
        <v>0</v>
      </c>
      <c r="Y35" s="463">
        <f t="shared" si="10"/>
        <v>0</v>
      </c>
      <c r="Z35" s="460"/>
      <c r="AA35" s="460"/>
      <c r="AB35" s="460"/>
      <c r="AC35" s="460"/>
      <c r="AD35" s="460"/>
      <c r="AE35" s="460"/>
      <c r="AF35" s="459">
        <f t="shared" si="11"/>
        <v>0</v>
      </c>
      <c r="AG35" s="460"/>
      <c r="AH35" s="460"/>
      <c r="AI35" s="460"/>
      <c r="AJ35" s="460"/>
      <c r="AK35" s="460"/>
      <c r="AL35" s="460"/>
      <c r="AM35" s="463">
        <f t="shared" si="12"/>
        <v>23.4</v>
      </c>
      <c r="AN35" s="463">
        <f t="shared" si="13"/>
        <v>23.4</v>
      </c>
      <c r="AO35" s="460">
        <f t="shared" ref="AO35:AT35" si="47">H35+Z35</f>
        <v>23.4</v>
      </c>
      <c r="AP35" s="460">
        <f t="shared" si="47"/>
        <v>0</v>
      </c>
      <c r="AQ35" s="460">
        <f t="shared" si="47"/>
        <v>0</v>
      </c>
      <c r="AR35" s="460">
        <f t="shared" si="47"/>
        <v>0</v>
      </c>
      <c r="AS35" s="460">
        <f t="shared" si="47"/>
        <v>0</v>
      </c>
      <c r="AT35" s="460">
        <f t="shared" si="47"/>
        <v>0</v>
      </c>
      <c r="AU35" s="463">
        <f t="shared" si="15"/>
        <v>0</v>
      </c>
      <c r="AV35" s="460">
        <f t="shared" si="16"/>
        <v>0</v>
      </c>
      <c r="AW35" s="460">
        <f t="shared" si="17"/>
        <v>0</v>
      </c>
      <c r="AX35" s="460">
        <f t="shared" si="18"/>
        <v>0</v>
      </c>
      <c r="AY35" s="460">
        <f t="shared" si="19"/>
        <v>0</v>
      </c>
      <c r="AZ35" s="463">
        <f t="shared" si="20"/>
        <v>0</v>
      </c>
      <c r="BA35" s="482"/>
      <c r="BB35" s="482"/>
    </row>
    <row r="36" s="425" customFormat="1" ht="39" customHeight="1" spans="1:54">
      <c r="A36" s="459">
        <v>31</v>
      </c>
      <c r="B36" s="460" t="s">
        <v>856</v>
      </c>
      <c r="C36" s="460" t="s">
        <v>203</v>
      </c>
      <c r="D36" s="461" t="s">
        <v>235</v>
      </c>
      <c r="E36" s="461" t="s">
        <v>868</v>
      </c>
      <c r="F36" s="463">
        <f t="shared" si="6"/>
        <v>139.12</v>
      </c>
      <c r="G36" s="463">
        <f t="shared" si="7"/>
        <v>36.12</v>
      </c>
      <c r="H36" s="460">
        <v>13.2</v>
      </c>
      <c r="I36" s="460"/>
      <c r="J36" s="460">
        <v>15.9</v>
      </c>
      <c r="K36" s="460"/>
      <c r="L36" s="460">
        <v>7.02</v>
      </c>
      <c r="M36" s="460"/>
      <c r="N36" s="460"/>
      <c r="O36" s="459">
        <f t="shared" si="8"/>
        <v>103</v>
      </c>
      <c r="P36" s="460">
        <v>7</v>
      </c>
      <c r="Q36" s="460"/>
      <c r="R36" s="460">
        <v>94</v>
      </c>
      <c r="S36" s="460">
        <v>2</v>
      </c>
      <c r="T36" s="460" t="s">
        <v>870</v>
      </c>
      <c r="U36" s="463"/>
      <c r="V36" s="460"/>
      <c r="W36" s="461"/>
      <c r="X36" s="463">
        <f t="shared" si="9"/>
        <v>81.96</v>
      </c>
      <c r="Y36" s="463">
        <f t="shared" si="10"/>
        <v>-0.32</v>
      </c>
      <c r="Z36" s="460"/>
      <c r="AA36" s="460"/>
      <c r="AB36" s="460">
        <v>-0.32</v>
      </c>
      <c r="AC36" s="460"/>
      <c r="AD36" s="460"/>
      <c r="AE36" s="460"/>
      <c r="AF36" s="459">
        <f t="shared" si="11"/>
        <v>80.78</v>
      </c>
      <c r="AG36" s="460">
        <v>29.91</v>
      </c>
      <c r="AH36" s="460"/>
      <c r="AI36" s="471">
        <f>66.48-15.61</f>
        <v>50.87</v>
      </c>
      <c r="AJ36" s="460"/>
      <c r="AK36" s="460">
        <v>1.5</v>
      </c>
      <c r="AL36" s="460" t="s">
        <v>846</v>
      </c>
      <c r="AM36" s="463">
        <f t="shared" si="12"/>
        <v>221.08</v>
      </c>
      <c r="AN36" s="463">
        <f t="shared" si="13"/>
        <v>35.8</v>
      </c>
      <c r="AO36" s="460">
        <f t="shared" ref="AO36:AT36" si="48">H36+Z36</f>
        <v>13.2</v>
      </c>
      <c r="AP36" s="460">
        <f t="shared" si="48"/>
        <v>0</v>
      </c>
      <c r="AQ36" s="460">
        <f t="shared" si="48"/>
        <v>15.58</v>
      </c>
      <c r="AR36" s="460">
        <f t="shared" si="48"/>
        <v>0</v>
      </c>
      <c r="AS36" s="460">
        <f t="shared" si="48"/>
        <v>7.02</v>
      </c>
      <c r="AT36" s="460">
        <f t="shared" si="48"/>
        <v>0</v>
      </c>
      <c r="AU36" s="463">
        <f t="shared" si="15"/>
        <v>183.78</v>
      </c>
      <c r="AV36" s="460">
        <f t="shared" si="16"/>
        <v>36.91</v>
      </c>
      <c r="AW36" s="460">
        <f t="shared" si="17"/>
        <v>0</v>
      </c>
      <c r="AX36" s="460">
        <f t="shared" si="18"/>
        <v>144.87</v>
      </c>
      <c r="AY36" s="460">
        <f t="shared" si="19"/>
        <v>2</v>
      </c>
      <c r="AZ36" s="463">
        <f t="shared" si="20"/>
        <v>1.5</v>
      </c>
      <c r="BA36" s="482"/>
      <c r="BB36" s="482"/>
    </row>
    <row r="37" s="425" customFormat="1" ht="39" customHeight="1" spans="1:54">
      <c r="A37" s="459">
        <v>32</v>
      </c>
      <c r="B37" s="460" t="s">
        <v>856</v>
      </c>
      <c r="C37" s="460" t="s">
        <v>206</v>
      </c>
      <c r="D37" s="461" t="s">
        <v>236</v>
      </c>
      <c r="E37" s="461" t="s">
        <v>868</v>
      </c>
      <c r="F37" s="463">
        <f t="shared" si="6"/>
        <v>25.8</v>
      </c>
      <c r="G37" s="463">
        <f t="shared" si="7"/>
        <v>25.8</v>
      </c>
      <c r="H37" s="460">
        <v>25.8</v>
      </c>
      <c r="I37" s="460"/>
      <c r="J37" s="460"/>
      <c r="K37" s="460"/>
      <c r="L37" s="460"/>
      <c r="M37" s="460"/>
      <c r="N37" s="460"/>
      <c r="O37" s="459">
        <f t="shared" si="8"/>
        <v>0</v>
      </c>
      <c r="P37" s="460"/>
      <c r="Q37" s="460"/>
      <c r="R37" s="460"/>
      <c r="S37" s="460"/>
      <c r="T37" s="460"/>
      <c r="U37" s="463"/>
      <c r="V37" s="460"/>
      <c r="W37" s="461"/>
      <c r="X37" s="463">
        <f t="shared" si="9"/>
        <v>0</v>
      </c>
      <c r="Y37" s="463">
        <f t="shared" si="10"/>
        <v>0</v>
      </c>
      <c r="Z37" s="460"/>
      <c r="AA37" s="460"/>
      <c r="AB37" s="460"/>
      <c r="AC37" s="460"/>
      <c r="AD37" s="460"/>
      <c r="AE37" s="460"/>
      <c r="AF37" s="459">
        <f t="shared" si="11"/>
        <v>0</v>
      </c>
      <c r="AG37" s="460"/>
      <c r="AH37" s="460"/>
      <c r="AI37" s="460"/>
      <c r="AJ37" s="460"/>
      <c r="AK37" s="460"/>
      <c r="AL37" s="460"/>
      <c r="AM37" s="463">
        <f t="shared" si="12"/>
        <v>25.8</v>
      </c>
      <c r="AN37" s="463">
        <f t="shared" si="13"/>
        <v>25.8</v>
      </c>
      <c r="AO37" s="460">
        <f t="shared" ref="AO37:AT37" si="49">H37+Z37</f>
        <v>25.8</v>
      </c>
      <c r="AP37" s="460">
        <f t="shared" si="49"/>
        <v>0</v>
      </c>
      <c r="AQ37" s="460">
        <f t="shared" si="49"/>
        <v>0</v>
      </c>
      <c r="AR37" s="460">
        <f t="shared" si="49"/>
        <v>0</v>
      </c>
      <c r="AS37" s="460">
        <f t="shared" si="49"/>
        <v>0</v>
      </c>
      <c r="AT37" s="460">
        <f t="shared" si="49"/>
        <v>0</v>
      </c>
      <c r="AU37" s="463">
        <f t="shared" si="15"/>
        <v>0</v>
      </c>
      <c r="AV37" s="460">
        <f t="shared" si="16"/>
        <v>0</v>
      </c>
      <c r="AW37" s="460">
        <f t="shared" si="17"/>
        <v>0</v>
      </c>
      <c r="AX37" s="460">
        <f t="shared" si="18"/>
        <v>0</v>
      </c>
      <c r="AY37" s="460">
        <f t="shared" si="19"/>
        <v>0</v>
      </c>
      <c r="AZ37" s="463">
        <f t="shared" si="20"/>
        <v>0</v>
      </c>
      <c r="BA37" s="482"/>
      <c r="BB37" s="482"/>
    </row>
    <row r="38" s="425" customFormat="1" ht="60" spans="1:54">
      <c r="A38" s="459">
        <v>33</v>
      </c>
      <c r="B38" s="460" t="s">
        <v>856</v>
      </c>
      <c r="C38" s="460" t="s">
        <v>203</v>
      </c>
      <c r="D38" s="461" t="s">
        <v>237</v>
      </c>
      <c r="E38" s="461" t="s">
        <v>868</v>
      </c>
      <c r="F38" s="463">
        <f t="shared" si="6"/>
        <v>74.86</v>
      </c>
      <c r="G38" s="463">
        <f t="shared" si="7"/>
        <v>49.86</v>
      </c>
      <c r="H38" s="460">
        <v>8.4</v>
      </c>
      <c r="I38" s="460"/>
      <c r="J38" s="460">
        <v>10.14</v>
      </c>
      <c r="K38" s="460"/>
      <c r="L38" s="460">
        <v>31.32</v>
      </c>
      <c r="M38" s="460"/>
      <c r="N38" s="460"/>
      <c r="O38" s="459">
        <f t="shared" si="8"/>
        <v>25</v>
      </c>
      <c r="P38" s="460">
        <v>3</v>
      </c>
      <c r="Q38" s="460"/>
      <c r="R38" s="460">
        <v>20</v>
      </c>
      <c r="S38" s="460">
        <v>2</v>
      </c>
      <c r="T38" s="460" t="s">
        <v>870</v>
      </c>
      <c r="U38" s="463"/>
      <c r="V38" s="460"/>
      <c r="W38" s="461"/>
      <c r="X38" s="463">
        <f t="shared" si="9"/>
        <v>24.91</v>
      </c>
      <c r="Y38" s="463">
        <f t="shared" si="10"/>
        <v>0.48</v>
      </c>
      <c r="Z38" s="460"/>
      <c r="AA38" s="460"/>
      <c r="AB38" s="460">
        <v>0.48</v>
      </c>
      <c r="AC38" s="460"/>
      <c r="AD38" s="460"/>
      <c r="AE38" s="460"/>
      <c r="AF38" s="459">
        <f t="shared" si="11"/>
        <v>22.93</v>
      </c>
      <c r="AG38" s="460">
        <v>11.72</v>
      </c>
      <c r="AH38" s="460"/>
      <c r="AI38" s="460">
        <v>11.21</v>
      </c>
      <c r="AJ38" s="460"/>
      <c r="AK38" s="460">
        <v>1.5</v>
      </c>
      <c r="AL38" s="460" t="s">
        <v>846</v>
      </c>
      <c r="AM38" s="463">
        <f t="shared" si="12"/>
        <v>99.77</v>
      </c>
      <c r="AN38" s="463">
        <f t="shared" si="13"/>
        <v>50.34</v>
      </c>
      <c r="AO38" s="460">
        <f t="shared" ref="AO38:AT38" si="50">H38+Z38</f>
        <v>8.4</v>
      </c>
      <c r="AP38" s="460">
        <f t="shared" si="50"/>
        <v>0</v>
      </c>
      <c r="AQ38" s="460">
        <f t="shared" si="50"/>
        <v>10.62</v>
      </c>
      <c r="AR38" s="460">
        <f t="shared" si="50"/>
        <v>0</v>
      </c>
      <c r="AS38" s="460">
        <f t="shared" si="50"/>
        <v>31.32</v>
      </c>
      <c r="AT38" s="460">
        <f t="shared" si="50"/>
        <v>0</v>
      </c>
      <c r="AU38" s="463">
        <f t="shared" si="15"/>
        <v>47.93</v>
      </c>
      <c r="AV38" s="460">
        <f t="shared" si="16"/>
        <v>14.72</v>
      </c>
      <c r="AW38" s="460">
        <f t="shared" si="17"/>
        <v>0</v>
      </c>
      <c r="AX38" s="460">
        <f t="shared" si="18"/>
        <v>31.21</v>
      </c>
      <c r="AY38" s="460">
        <f t="shared" si="19"/>
        <v>2</v>
      </c>
      <c r="AZ38" s="463">
        <f t="shared" si="20"/>
        <v>1.5</v>
      </c>
      <c r="BA38" s="482"/>
      <c r="BB38" s="482"/>
    </row>
    <row r="39" s="425" customFormat="1" ht="39" customHeight="1" spans="1:54">
      <c r="A39" s="459">
        <v>34</v>
      </c>
      <c r="B39" s="460" t="s">
        <v>856</v>
      </c>
      <c r="C39" s="460" t="s">
        <v>206</v>
      </c>
      <c r="D39" s="461" t="s">
        <v>238</v>
      </c>
      <c r="E39" s="461" t="s">
        <v>868</v>
      </c>
      <c r="F39" s="463">
        <f t="shared" si="6"/>
        <v>13.2</v>
      </c>
      <c r="G39" s="463">
        <f t="shared" si="7"/>
        <v>13.2</v>
      </c>
      <c r="H39" s="460">
        <v>13.2</v>
      </c>
      <c r="I39" s="460"/>
      <c r="J39" s="460"/>
      <c r="K39" s="460"/>
      <c r="L39" s="460"/>
      <c r="M39" s="460"/>
      <c r="N39" s="460"/>
      <c r="O39" s="459">
        <f t="shared" si="8"/>
        <v>0</v>
      </c>
      <c r="P39" s="460"/>
      <c r="Q39" s="460"/>
      <c r="R39" s="460"/>
      <c r="S39" s="460"/>
      <c r="T39" s="460"/>
      <c r="U39" s="463"/>
      <c r="V39" s="460"/>
      <c r="W39" s="461"/>
      <c r="X39" s="463">
        <f t="shared" si="9"/>
        <v>0</v>
      </c>
      <c r="Y39" s="463">
        <f t="shared" si="10"/>
        <v>0</v>
      </c>
      <c r="Z39" s="460"/>
      <c r="AA39" s="460"/>
      <c r="AB39" s="460"/>
      <c r="AC39" s="460"/>
      <c r="AD39" s="460"/>
      <c r="AE39" s="460"/>
      <c r="AF39" s="459">
        <f t="shared" si="11"/>
        <v>0</v>
      </c>
      <c r="AG39" s="460"/>
      <c r="AH39" s="460"/>
      <c r="AI39" s="460"/>
      <c r="AJ39" s="460"/>
      <c r="AK39" s="460"/>
      <c r="AL39" s="460"/>
      <c r="AM39" s="463">
        <f t="shared" si="12"/>
        <v>13.2</v>
      </c>
      <c r="AN39" s="463">
        <f t="shared" si="13"/>
        <v>13.2</v>
      </c>
      <c r="AO39" s="460">
        <f t="shared" ref="AO39:AT39" si="51">H39+Z39</f>
        <v>13.2</v>
      </c>
      <c r="AP39" s="460">
        <f t="shared" si="51"/>
        <v>0</v>
      </c>
      <c r="AQ39" s="460">
        <f t="shared" si="51"/>
        <v>0</v>
      </c>
      <c r="AR39" s="460">
        <f t="shared" si="51"/>
        <v>0</v>
      </c>
      <c r="AS39" s="460">
        <f t="shared" si="51"/>
        <v>0</v>
      </c>
      <c r="AT39" s="460">
        <f t="shared" si="51"/>
        <v>0</v>
      </c>
      <c r="AU39" s="463">
        <f t="shared" si="15"/>
        <v>0</v>
      </c>
      <c r="AV39" s="460">
        <f t="shared" si="16"/>
        <v>0</v>
      </c>
      <c r="AW39" s="460">
        <f t="shared" si="17"/>
        <v>0</v>
      </c>
      <c r="AX39" s="460">
        <f t="shared" si="18"/>
        <v>0</v>
      </c>
      <c r="AY39" s="460">
        <f t="shared" si="19"/>
        <v>0</v>
      </c>
      <c r="AZ39" s="463">
        <f t="shared" si="20"/>
        <v>0</v>
      </c>
      <c r="BA39" s="482"/>
      <c r="BB39" s="482"/>
    </row>
    <row r="40" s="425" customFormat="1" ht="39" customHeight="1" spans="1:54">
      <c r="A40" s="459">
        <v>35</v>
      </c>
      <c r="B40" s="460" t="s">
        <v>856</v>
      </c>
      <c r="C40" s="460" t="s">
        <v>203</v>
      </c>
      <c r="D40" s="461" t="s">
        <v>239</v>
      </c>
      <c r="E40" s="461" t="s">
        <v>868</v>
      </c>
      <c r="F40" s="463">
        <f t="shared" si="6"/>
        <v>61.62</v>
      </c>
      <c r="G40" s="463">
        <f t="shared" si="7"/>
        <v>49.57</v>
      </c>
      <c r="H40" s="460">
        <v>8.4</v>
      </c>
      <c r="I40" s="460"/>
      <c r="J40" s="460">
        <v>10.5</v>
      </c>
      <c r="K40" s="460"/>
      <c r="L40" s="460">
        <v>30.67</v>
      </c>
      <c r="M40" s="460"/>
      <c r="N40" s="460"/>
      <c r="O40" s="459">
        <f t="shared" si="8"/>
        <v>12.05</v>
      </c>
      <c r="P40" s="460">
        <v>4.05</v>
      </c>
      <c r="Q40" s="460"/>
      <c r="R40" s="460">
        <v>6</v>
      </c>
      <c r="S40" s="460">
        <v>2</v>
      </c>
      <c r="T40" s="460" t="s">
        <v>870</v>
      </c>
      <c r="U40" s="463"/>
      <c r="V40" s="460"/>
      <c r="W40" s="461"/>
      <c r="X40" s="463">
        <f t="shared" si="9"/>
        <v>5.43</v>
      </c>
      <c r="Y40" s="463">
        <f t="shared" si="10"/>
        <v>-0.48</v>
      </c>
      <c r="Z40" s="460"/>
      <c r="AA40" s="460"/>
      <c r="AB40" s="460">
        <v>-0.48</v>
      </c>
      <c r="AC40" s="460"/>
      <c r="AD40" s="460"/>
      <c r="AE40" s="460"/>
      <c r="AF40" s="459">
        <f t="shared" si="11"/>
        <v>4.41</v>
      </c>
      <c r="AG40" s="460">
        <v>7.49</v>
      </c>
      <c r="AH40" s="460"/>
      <c r="AI40" s="460">
        <v>-3.08</v>
      </c>
      <c r="AJ40" s="460"/>
      <c r="AK40" s="460">
        <v>1.5</v>
      </c>
      <c r="AL40" s="460" t="s">
        <v>846</v>
      </c>
      <c r="AM40" s="463">
        <f t="shared" si="12"/>
        <v>67.05</v>
      </c>
      <c r="AN40" s="463">
        <f t="shared" si="13"/>
        <v>49.09</v>
      </c>
      <c r="AO40" s="460">
        <f t="shared" ref="AO40:AT40" si="52">H40+Z40</f>
        <v>8.4</v>
      </c>
      <c r="AP40" s="460">
        <f t="shared" si="52"/>
        <v>0</v>
      </c>
      <c r="AQ40" s="460">
        <f t="shared" si="52"/>
        <v>10.02</v>
      </c>
      <c r="AR40" s="460">
        <f t="shared" si="52"/>
        <v>0</v>
      </c>
      <c r="AS40" s="460">
        <f t="shared" si="52"/>
        <v>30.67</v>
      </c>
      <c r="AT40" s="460">
        <f t="shared" si="52"/>
        <v>0</v>
      </c>
      <c r="AU40" s="463">
        <f t="shared" si="15"/>
        <v>16.46</v>
      </c>
      <c r="AV40" s="460">
        <f t="shared" si="16"/>
        <v>11.54</v>
      </c>
      <c r="AW40" s="460">
        <f t="shared" si="17"/>
        <v>0</v>
      </c>
      <c r="AX40" s="460">
        <f t="shared" si="18"/>
        <v>2.92</v>
      </c>
      <c r="AY40" s="460">
        <f t="shared" si="19"/>
        <v>2</v>
      </c>
      <c r="AZ40" s="463">
        <f t="shared" si="20"/>
        <v>1.5</v>
      </c>
      <c r="BA40" s="482"/>
      <c r="BB40" s="482"/>
    </row>
    <row r="41" s="425" customFormat="1" ht="39" customHeight="1" spans="1:54">
      <c r="A41" s="459">
        <v>36</v>
      </c>
      <c r="B41" s="460" t="s">
        <v>856</v>
      </c>
      <c r="C41" s="460" t="s">
        <v>206</v>
      </c>
      <c r="D41" s="461" t="s">
        <v>240</v>
      </c>
      <c r="E41" s="461" t="s">
        <v>868</v>
      </c>
      <c r="F41" s="463">
        <f t="shared" si="6"/>
        <v>13.8</v>
      </c>
      <c r="G41" s="463">
        <f t="shared" si="7"/>
        <v>13.8</v>
      </c>
      <c r="H41" s="460">
        <v>13.8</v>
      </c>
      <c r="I41" s="460"/>
      <c r="J41" s="460"/>
      <c r="K41" s="460"/>
      <c r="L41" s="460"/>
      <c r="M41" s="460"/>
      <c r="N41" s="460"/>
      <c r="O41" s="459">
        <f t="shared" si="8"/>
        <v>0</v>
      </c>
      <c r="P41" s="460"/>
      <c r="Q41" s="460"/>
      <c r="R41" s="460"/>
      <c r="S41" s="460"/>
      <c r="T41" s="460"/>
      <c r="U41" s="463"/>
      <c r="V41" s="460"/>
      <c r="W41" s="461"/>
      <c r="X41" s="463">
        <f t="shared" si="9"/>
        <v>0</v>
      </c>
      <c r="Y41" s="463">
        <f t="shared" si="10"/>
        <v>0</v>
      </c>
      <c r="Z41" s="460"/>
      <c r="AA41" s="460"/>
      <c r="AB41" s="460"/>
      <c r="AC41" s="460"/>
      <c r="AD41" s="460"/>
      <c r="AE41" s="460"/>
      <c r="AF41" s="459">
        <f t="shared" si="11"/>
        <v>0</v>
      </c>
      <c r="AG41" s="460"/>
      <c r="AH41" s="460"/>
      <c r="AI41" s="460"/>
      <c r="AJ41" s="460"/>
      <c r="AK41" s="460"/>
      <c r="AL41" s="460"/>
      <c r="AM41" s="463">
        <f t="shared" si="12"/>
        <v>13.8</v>
      </c>
      <c r="AN41" s="463">
        <f t="shared" si="13"/>
        <v>13.8</v>
      </c>
      <c r="AO41" s="460">
        <f t="shared" ref="AO41:AT41" si="53">H41+Z41</f>
        <v>13.8</v>
      </c>
      <c r="AP41" s="460">
        <f t="shared" si="53"/>
        <v>0</v>
      </c>
      <c r="AQ41" s="460">
        <f t="shared" si="53"/>
        <v>0</v>
      </c>
      <c r="AR41" s="460">
        <f t="shared" si="53"/>
        <v>0</v>
      </c>
      <c r="AS41" s="460">
        <f t="shared" si="53"/>
        <v>0</v>
      </c>
      <c r="AT41" s="460">
        <f t="shared" si="53"/>
        <v>0</v>
      </c>
      <c r="AU41" s="463">
        <f t="shared" si="15"/>
        <v>0</v>
      </c>
      <c r="AV41" s="460">
        <f t="shared" si="16"/>
        <v>0</v>
      </c>
      <c r="AW41" s="460">
        <f t="shared" si="17"/>
        <v>0</v>
      </c>
      <c r="AX41" s="460">
        <f t="shared" si="18"/>
        <v>0</v>
      </c>
      <c r="AY41" s="460">
        <f t="shared" si="19"/>
        <v>0</v>
      </c>
      <c r="AZ41" s="463">
        <f t="shared" si="20"/>
        <v>0</v>
      </c>
      <c r="BA41" s="482"/>
      <c r="BB41" s="482"/>
    </row>
    <row r="42" s="425" customFormat="1" ht="39" customHeight="1" spans="1:54">
      <c r="A42" s="459">
        <v>37</v>
      </c>
      <c r="B42" s="460" t="s">
        <v>856</v>
      </c>
      <c r="C42" s="460" t="s">
        <v>203</v>
      </c>
      <c r="D42" s="461" t="s">
        <v>241</v>
      </c>
      <c r="E42" s="461" t="s">
        <v>868</v>
      </c>
      <c r="F42" s="463">
        <f t="shared" si="6"/>
        <v>79.52</v>
      </c>
      <c r="G42" s="463">
        <f t="shared" si="7"/>
        <v>49.52</v>
      </c>
      <c r="H42" s="460">
        <v>9</v>
      </c>
      <c r="I42" s="460"/>
      <c r="J42" s="460">
        <v>10.5</v>
      </c>
      <c r="K42" s="460"/>
      <c r="L42" s="460">
        <v>30.02</v>
      </c>
      <c r="M42" s="460"/>
      <c r="N42" s="460"/>
      <c r="O42" s="459">
        <f t="shared" si="8"/>
        <v>30</v>
      </c>
      <c r="P42" s="460">
        <v>5</v>
      </c>
      <c r="Q42" s="460"/>
      <c r="R42" s="460">
        <v>23</v>
      </c>
      <c r="S42" s="460">
        <v>2</v>
      </c>
      <c r="T42" s="460" t="s">
        <v>870</v>
      </c>
      <c r="U42" s="463"/>
      <c r="V42" s="460"/>
      <c r="W42" s="461"/>
      <c r="X42" s="463">
        <f t="shared" si="9"/>
        <v>55.14</v>
      </c>
      <c r="Y42" s="463">
        <f t="shared" si="10"/>
        <v>0.06</v>
      </c>
      <c r="Z42" s="460"/>
      <c r="AA42" s="460"/>
      <c r="AB42" s="460">
        <v>0.06</v>
      </c>
      <c r="AC42" s="460"/>
      <c r="AD42" s="460"/>
      <c r="AE42" s="460"/>
      <c r="AF42" s="459">
        <f t="shared" si="11"/>
        <v>53.58</v>
      </c>
      <c r="AG42" s="460">
        <v>22.4</v>
      </c>
      <c r="AH42" s="460"/>
      <c r="AI42" s="460">
        <v>31.18</v>
      </c>
      <c r="AJ42" s="460"/>
      <c r="AK42" s="460">
        <v>1.5</v>
      </c>
      <c r="AL42" s="460" t="s">
        <v>846</v>
      </c>
      <c r="AM42" s="463">
        <f t="shared" si="12"/>
        <v>134.66</v>
      </c>
      <c r="AN42" s="463">
        <f t="shared" si="13"/>
        <v>49.58</v>
      </c>
      <c r="AO42" s="460">
        <f t="shared" ref="AO42:AT42" si="54">H42+Z42</f>
        <v>9</v>
      </c>
      <c r="AP42" s="460">
        <f t="shared" si="54"/>
        <v>0</v>
      </c>
      <c r="AQ42" s="460">
        <f t="shared" si="54"/>
        <v>10.56</v>
      </c>
      <c r="AR42" s="460">
        <f t="shared" si="54"/>
        <v>0</v>
      </c>
      <c r="AS42" s="460">
        <f t="shared" si="54"/>
        <v>30.02</v>
      </c>
      <c r="AT42" s="460">
        <f t="shared" si="54"/>
        <v>0</v>
      </c>
      <c r="AU42" s="463">
        <f t="shared" si="15"/>
        <v>83.58</v>
      </c>
      <c r="AV42" s="460">
        <f t="shared" si="16"/>
        <v>27.4</v>
      </c>
      <c r="AW42" s="460">
        <f t="shared" si="17"/>
        <v>0</v>
      </c>
      <c r="AX42" s="460">
        <f t="shared" si="18"/>
        <v>54.18</v>
      </c>
      <c r="AY42" s="460">
        <f t="shared" si="19"/>
        <v>2</v>
      </c>
      <c r="AZ42" s="463">
        <f t="shared" si="20"/>
        <v>1.5</v>
      </c>
      <c r="BA42" s="482"/>
      <c r="BB42" s="482"/>
    </row>
    <row r="43" s="425" customFormat="1" ht="39" customHeight="1" spans="1:54">
      <c r="A43" s="459">
        <v>38</v>
      </c>
      <c r="B43" s="460" t="s">
        <v>856</v>
      </c>
      <c r="C43" s="460" t="s">
        <v>206</v>
      </c>
      <c r="D43" s="461" t="s">
        <v>242</v>
      </c>
      <c r="E43" s="461" t="s">
        <v>868</v>
      </c>
      <c r="F43" s="463">
        <f t="shared" si="6"/>
        <v>18.6</v>
      </c>
      <c r="G43" s="463">
        <f t="shared" si="7"/>
        <v>18.6</v>
      </c>
      <c r="H43" s="460">
        <v>18.6</v>
      </c>
      <c r="I43" s="460"/>
      <c r="J43" s="460"/>
      <c r="K43" s="460"/>
      <c r="L43" s="460"/>
      <c r="M43" s="460"/>
      <c r="N43" s="460"/>
      <c r="O43" s="459">
        <f t="shared" si="8"/>
        <v>0</v>
      </c>
      <c r="P43" s="460"/>
      <c r="Q43" s="460"/>
      <c r="R43" s="460"/>
      <c r="S43" s="460"/>
      <c r="T43" s="460"/>
      <c r="U43" s="463"/>
      <c r="V43" s="460"/>
      <c r="W43" s="461"/>
      <c r="X43" s="463">
        <f t="shared" si="9"/>
        <v>0</v>
      </c>
      <c r="Y43" s="463">
        <f t="shared" si="10"/>
        <v>0</v>
      </c>
      <c r="Z43" s="460"/>
      <c r="AA43" s="460"/>
      <c r="AB43" s="460"/>
      <c r="AC43" s="460"/>
      <c r="AD43" s="460"/>
      <c r="AE43" s="460"/>
      <c r="AF43" s="459">
        <f t="shared" si="11"/>
        <v>0</v>
      </c>
      <c r="AG43" s="460"/>
      <c r="AH43" s="460"/>
      <c r="AI43" s="460"/>
      <c r="AJ43" s="460"/>
      <c r="AK43" s="460"/>
      <c r="AL43" s="460"/>
      <c r="AM43" s="463">
        <f t="shared" si="12"/>
        <v>18.6</v>
      </c>
      <c r="AN43" s="463">
        <f t="shared" si="13"/>
        <v>18.6</v>
      </c>
      <c r="AO43" s="460">
        <f t="shared" ref="AO43:AT43" si="55">H43+Z43</f>
        <v>18.6</v>
      </c>
      <c r="AP43" s="460">
        <f t="shared" si="55"/>
        <v>0</v>
      </c>
      <c r="AQ43" s="460">
        <f t="shared" si="55"/>
        <v>0</v>
      </c>
      <c r="AR43" s="460">
        <f t="shared" si="55"/>
        <v>0</v>
      </c>
      <c r="AS43" s="460">
        <f t="shared" si="55"/>
        <v>0</v>
      </c>
      <c r="AT43" s="460">
        <f t="shared" si="55"/>
        <v>0</v>
      </c>
      <c r="AU43" s="463">
        <f t="shared" si="15"/>
        <v>0</v>
      </c>
      <c r="AV43" s="460">
        <f t="shared" si="16"/>
        <v>0</v>
      </c>
      <c r="AW43" s="460">
        <f t="shared" si="17"/>
        <v>0</v>
      </c>
      <c r="AX43" s="460">
        <f t="shared" si="18"/>
        <v>0</v>
      </c>
      <c r="AY43" s="460">
        <f t="shared" si="19"/>
        <v>0</v>
      </c>
      <c r="AZ43" s="463">
        <f t="shared" si="20"/>
        <v>0</v>
      </c>
      <c r="BA43" s="482"/>
      <c r="BB43" s="482"/>
    </row>
    <row r="44" s="425" customFormat="1" ht="96" spans="1:54">
      <c r="A44" s="459">
        <v>39</v>
      </c>
      <c r="B44" s="460" t="s">
        <v>856</v>
      </c>
      <c r="C44" s="460" t="s">
        <v>203</v>
      </c>
      <c r="D44" s="461" t="s">
        <v>243</v>
      </c>
      <c r="E44" s="461" t="s">
        <v>868</v>
      </c>
      <c r="F44" s="463">
        <f t="shared" si="6"/>
        <v>540.1</v>
      </c>
      <c r="G44" s="463">
        <f t="shared" si="7"/>
        <v>307.1</v>
      </c>
      <c r="H44" s="460">
        <v>19.8</v>
      </c>
      <c r="I44" s="460"/>
      <c r="J44" s="460">
        <v>24.06</v>
      </c>
      <c r="K44" s="460"/>
      <c r="L44" s="460">
        <v>18.24</v>
      </c>
      <c r="M44" s="460">
        <v>245</v>
      </c>
      <c r="N44" s="460" t="s">
        <v>873</v>
      </c>
      <c r="O44" s="459">
        <f t="shared" si="8"/>
        <v>233</v>
      </c>
      <c r="P44" s="460">
        <v>15</v>
      </c>
      <c r="Q44" s="460"/>
      <c r="R44" s="460">
        <v>216</v>
      </c>
      <c r="S44" s="460">
        <v>2</v>
      </c>
      <c r="T44" s="460" t="s">
        <v>870</v>
      </c>
      <c r="U44" s="463"/>
      <c r="V44" s="460"/>
      <c r="W44" s="461"/>
      <c r="X44" s="463">
        <f t="shared" si="9"/>
        <v>-69.28</v>
      </c>
      <c r="Y44" s="463">
        <f t="shared" si="10"/>
        <v>-204.48</v>
      </c>
      <c r="Z44" s="460"/>
      <c r="AA44" s="460"/>
      <c r="AB44" s="460">
        <v>6.1</v>
      </c>
      <c r="AC44" s="460"/>
      <c r="AD44" s="460"/>
      <c r="AE44" s="471">
        <f>-34.6-175.98</f>
        <v>-210.58</v>
      </c>
      <c r="AF44" s="459">
        <f t="shared" si="11"/>
        <v>103.7</v>
      </c>
      <c r="AG44" s="460">
        <v>62.91</v>
      </c>
      <c r="AH44" s="460"/>
      <c r="AI44" s="471">
        <f>232.92-194.63</f>
        <v>38.29</v>
      </c>
      <c r="AJ44" s="460">
        <v>2.5</v>
      </c>
      <c r="AK44" s="460">
        <f>30+1.5</f>
        <v>31.5</v>
      </c>
      <c r="AL44" s="460" t="s">
        <v>874</v>
      </c>
      <c r="AM44" s="463">
        <f t="shared" si="12"/>
        <v>470.82</v>
      </c>
      <c r="AN44" s="463">
        <f t="shared" si="13"/>
        <v>102.62</v>
      </c>
      <c r="AO44" s="460">
        <f t="shared" ref="AO44:AT44" si="56">H44+Z44</f>
        <v>19.8</v>
      </c>
      <c r="AP44" s="460">
        <f t="shared" si="56"/>
        <v>0</v>
      </c>
      <c r="AQ44" s="460">
        <f t="shared" si="56"/>
        <v>30.16</v>
      </c>
      <c r="AR44" s="460">
        <f t="shared" si="56"/>
        <v>0</v>
      </c>
      <c r="AS44" s="460">
        <f t="shared" si="56"/>
        <v>18.24</v>
      </c>
      <c r="AT44" s="460">
        <f t="shared" si="56"/>
        <v>34.42</v>
      </c>
      <c r="AU44" s="463">
        <f t="shared" si="15"/>
        <v>336.7</v>
      </c>
      <c r="AV44" s="460">
        <f t="shared" si="16"/>
        <v>77.91</v>
      </c>
      <c r="AW44" s="460">
        <f t="shared" si="17"/>
        <v>0</v>
      </c>
      <c r="AX44" s="460">
        <f t="shared" si="18"/>
        <v>254.29</v>
      </c>
      <c r="AY44" s="460">
        <f t="shared" si="19"/>
        <v>4.5</v>
      </c>
      <c r="AZ44" s="463">
        <f t="shared" si="20"/>
        <v>31.5</v>
      </c>
      <c r="BA44" s="482"/>
      <c r="BB44" s="482">
        <v>516.95</v>
      </c>
    </row>
    <row r="45" s="425" customFormat="1" ht="39" customHeight="1" spans="1:54">
      <c r="A45" s="459">
        <v>40</v>
      </c>
      <c r="B45" s="460" t="s">
        <v>856</v>
      </c>
      <c r="C45" s="460" t="s">
        <v>206</v>
      </c>
      <c r="D45" s="461" t="s">
        <v>244</v>
      </c>
      <c r="E45" s="461" t="s">
        <v>868</v>
      </c>
      <c r="F45" s="463">
        <f t="shared" si="6"/>
        <v>26.4</v>
      </c>
      <c r="G45" s="463">
        <f t="shared" si="7"/>
        <v>26.4</v>
      </c>
      <c r="H45" s="460">
        <v>26.4</v>
      </c>
      <c r="I45" s="460"/>
      <c r="J45" s="460"/>
      <c r="K45" s="460"/>
      <c r="L45" s="460"/>
      <c r="M45" s="460"/>
      <c r="N45" s="460"/>
      <c r="O45" s="459">
        <f t="shared" si="8"/>
        <v>0</v>
      </c>
      <c r="P45" s="460"/>
      <c r="Q45" s="460"/>
      <c r="R45" s="460"/>
      <c r="S45" s="460"/>
      <c r="T45" s="460"/>
      <c r="U45" s="463"/>
      <c r="V45" s="460"/>
      <c r="W45" s="461"/>
      <c r="X45" s="463">
        <f t="shared" si="9"/>
        <v>0</v>
      </c>
      <c r="Y45" s="463">
        <f t="shared" si="10"/>
        <v>0</v>
      </c>
      <c r="Z45" s="460"/>
      <c r="AA45" s="460"/>
      <c r="AB45" s="460"/>
      <c r="AC45" s="460"/>
      <c r="AD45" s="460"/>
      <c r="AE45" s="460"/>
      <c r="AF45" s="459">
        <f t="shared" si="11"/>
        <v>0</v>
      </c>
      <c r="AG45" s="460"/>
      <c r="AH45" s="460"/>
      <c r="AI45" s="460"/>
      <c r="AJ45" s="460"/>
      <c r="AK45" s="460"/>
      <c r="AL45" s="460"/>
      <c r="AM45" s="463">
        <f t="shared" si="12"/>
        <v>26.4</v>
      </c>
      <c r="AN45" s="463">
        <f t="shared" si="13"/>
        <v>26.4</v>
      </c>
      <c r="AO45" s="460">
        <f t="shared" ref="AO45:AT45" si="57">H45+Z45</f>
        <v>26.4</v>
      </c>
      <c r="AP45" s="460">
        <f t="shared" si="57"/>
        <v>0</v>
      </c>
      <c r="AQ45" s="460">
        <f t="shared" si="57"/>
        <v>0</v>
      </c>
      <c r="AR45" s="460">
        <f t="shared" si="57"/>
        <v>0</v>
      </c>
      <c r="AS45" s="460">
        <f t="shared" si="57"/>
        <v>0</v>
      </c>
      <c r="AT45" s="460">
        <f t="shared" si="57"/>
        <v>0</v>
      </c>
      <c r="AU45" s="463">
        <f t="shared" si="15"/>
        <v>0</v>
      </c>
      <c r="AV45" s="460">
        <f t="shared" si="16"/>
        <v>0</v>
      </c>
      <c r="AW45" s="460">
        <f t="shared" si="17"/>
        <v>0</v>
      </c>
      <c r="AX45" s="460">
        <f t="shared" si="18"/>
        <v>0</v>
      </c>
      <c r="AY45" s="460">
        <f t="shared" si="19"/>
        <v>0</v>
      </c>
      <c r="AZ45" s="463">
        <f t="shared" si="20"/>
        <v>0</v>
      </c>
      <c r="BA45" s="482"/>
      <c r="BB45" s="482"/>
    </row>
    <row r="46" s="425" customFormat="1" ht="60" spans="1:54">
      <c r="A46" s="459">
        <v>41</v>
      </c>
      <c r="B46" s="460" t="s">
        <v>856</v>
      </c>
      <c r="C46" s="460" t="s">
        <v>203</v>
      </c>
      <c r="D46" s="461" t="s">
        <v>245</v>
      </c>
      <c r="E46" s="461" t="s">
        <v>868</v>
      </c>
      <c r="F46" s="463">
        <f t="shared" si="6"/>
        <v>226.03</v>
      </c>
      <c r="G46" s="463">
        <f t="shared" si="7"/>
        <v>41.45</v>
      </c>
      <c r="H46" s="460">
        <v>12</v>
      </c>
      <c r="I46" s="460"/>
      <c r="J46" s="460">
        <v>13.98</v>
      </c>
      <c r="K46" s="460"/>
      <c r="L46" s="460">
        <v>15.47</v>
      </c>
      <c r="M46" s="460"/>
      <c r="N46" s="460"/>
      <c r="O46" s="459">
        <f t="shared" si="8"/>
        <v>184.58</v>
      </c>
      <c r="P46" s="460">
        <v>4.58</v>
      </c>
      <c r="Q46" s="460"/>
      <c r="R46" s="460">
        <v>178</v>
      </c>
      <c r="S46" s="460">
        <v>2</v>
      </c>
      <c r="T46" s="460" t="s">
        <v>870</v>
      </c>
      <c r="U46" s="463"/>
      <c r="V46" s="460"/>
      <c r="W46" s="461"/>
      <c r="X46" s="463">
        <f t="shared" si="9"/>
        <v>-28.46</v>
      </c>
      <c r="Y46" s="463">
        <f t="shared" si="10"/>
        <v>0.16</v>
      </c>
      <c r="Z46" s="460"/>
      <c r="AA46" s="460"/>
      <c r="AB46" s="460">
        <v>0.16</v>
      </c>
      <c r="AC46" s="460"/>
      <c r="AD46" s="460"/>
      <c r="AE46" s="460"/>
      <c r="AF46" s="459">
        <f t="shared" si="11"/>
        <v>-30.12</v>
      </c>
      <c r="AG46" s="460">
        <v>3.71</v>
      </c>
      <c r="AH46" s="460"/>
      <c r="AI46" s="471">
        <f>144.17-178</f>
        <v>-33.83</v>
      </c>
      <c r="AJ46" s="460"/>
      <c r="AK46" s="460">
        <v>1.5</v>
      </c>
      <c r="AL46" s="460" t="s">
        <v>846</v>
      </c>
      <c r="AM46" s="463">
        <f t="shared" si="12"/>
        <v>197.57</v>
      </c>
      <c r="AN46" s="463">
        <f t="shared" si="13"/>
        <v>41.61</v>
      </c>
      <c r="AO46" s="460">
        <f t="shared" ref="AO46:AT46" si="58">H46+Z46</f>
        <v>12</v>
      </c>
      <c r="AP46" s="460">
        <f t="shared" si="58"/>
        <v>0</v>
      </c>
      <c r="AQ46" s="460">
        <f t="shared" si="58"/>
        <v>14.14</v>
      </c>
      <c r="AR46" s="460">
        <f t="shared" si="58"/>
        <v>0</v>
      </c>
      <c r="AS46" s="460">
        <f t="shared" si="58"/>
        <v>15.47</v>
      </c>
      <c r="AT46" s="460">
        <f t="shared" si="58"/>
        <v>0</v>
      </c>
      <c r="AU46" s="463">
        <f t="shared" si="15"/>
        <v>154.46</v>
      </c>
      <c r="AV46" s="460">
        <f t="shared" si="16"/>
        <v>8.29</v>
      </c>
      <c r="AW46" s="460">
        <f t="shared" si="17"/>
        <v>0</v>
      </c>
      <c r="AX46" s="460">
        <f t="shared" si="18"/>
        <v>144.17</v>
      </c>
      <c r="AY46" s="460">
        <f t="shared" si="19"/>
        <v>2</v>
      </c>
      <c r="AZ46" s="463">
        <f t="shared" si="20"/>
        <v>1.5</v>
      </c>
      <c r="BA46" s="482"/>
      <c r="BB46" s="482">
        <v>289.28</v>
      </c>
    </row>
    <row r="47" s="425" customFormat="1" ht="39" customHeight="1" spans="1:54">
      <c r="A47" s="459">
        <v>42</v>
      </c>
      <c r="B47" s="460" t="s">
        <v>856</v>
      </c>
      <c r="C47" s="460" t="s">
        <v>206</v>
      </c>
      <c r="D47" s="461" t="s">
        <v>246</v>
      </c>
      <c r="E47" s="461" t="s">
        <v>868</v>
      </c>
      <c r="F47" s="463">
        <f t="shared" si="6"/>
        <v>18.6</v>
      </c>
      <c r="G47" s="463">
        <f t="shared" si="7"/>
        <v>18.6</v>
      </c>
      <c r="H47" s="460">
        <v>18.6</v>
      </c>
      <c r="I47" s="460"/>
      <c r="J47" s="460"/>
      <c r="K47" s="460"/>
      <c r="L47" s="460"/>
      <c r="M47" s="460"/>
      <c r="N47" s="460"/>
      <c r="O47" s="459">
        <f t="shared" si="8"/>
        <v>0</v>
      </c>
      <c r="P47" s="460"/>
      <c r="Q47" s="460"/>
      <c r="R47" s="460"/>
      <c r="S47" s="460"/>
      <c r="T47" s="460"/>
      <c r="U47" s="463"/>
      <c r="V47" s="460"/>
      <c r="W47" s="461"/>
      <c r="X47" s="463">
        <f t="shared" si="9"/>
        <v>0</v>
      </c>
      <c r="Y47" s="463">
        <f t="shared" si="10"/>
        <v>0</v>
      </c>
      <c r="Z47" s="460"/>
      <c r="AA47" s="460"/>
      <c r="AB47" s="460"/>
      <c r="AC47" s="460"/>
      <c r="AD47" s="460"/>
      <c r="AE47" s="460"/>
      <c r="AF47" s="459">
        <f t="shared" si="11"/>
        <v>0</v>
      </c>
      <c r="AG47" s="460"/>
      <c r="AH47" s="460"/>
      <c r="AI47" s="460"/>
      <c r="AJ47" s="460"/>
      <c r="AK47" s="460"/>
      <c r="AL47" s="460"/>
      <c r="AM47" s="463">
        <f t="shared" si="12"/>
        <v>18.6</v>
      </c>
      <c r="AN47" s="463">
        <f t="shared" si="13"/>
        <v>18.6</v>
      </c>
      <c r="AO47" s="460">
        <f t="shared" ref="AO47:AT47" si="59">H47+Z47</f>
        <v>18.6</v>
      </c>
      <c r="AP47" s="460">
        <f t="shared" si="59"/>
        <v>0</v>
      </c>
      <c r="AQ47" s="460">
        <f t="shared" si="59"/>
        <v>0</v>
      </c>
      <c r="AR47" s="460">
        <f t="shared" si="59"/>
        <v>0</v>
      </c>
      <c r="AS47" s="460">
        <f t="shared" si="59"/>
        <v>0</v>
      </c>
      <c r="AT47" s="460">
        <f t="shared" si="59"/>
        <v>0</v>
      </c>
      <c r="AU47" s="463">
        <f t="shared" si="15"/>
        <v>0</v>
      </c>
      <c r="AV47" s="460">
        <f t="shared" si="16"/>
        <v>0</v>
      </c>
      <c r="AW47" s="460">
        <f t="shared" si="17"/>
        <v>0</v>
      </c>
      <c r="AX47" s="460">
        <f t="shared" si="18"/>
        <v>0</v>
      </c>
      <c r="AY47" s="460">
        <f t="shared" si="19"/>
        <v>0</v>
      </c>
      <c r="AZ47" s="463">
        <f t="shared" si="20"/>
        <v>0</v>
      </c>
      <c r="BA47" s="482"/>
      <c r="BB47" s="482"/>
    </row>
    <row r="48" s="425" customFormat="1" ht="48" customHeight="1" spans="1:54">
      <c r="A48" s="459">
        <v>43</v>
      </c>
      <c r="B48" s="460" t="s">
        <v>856</v>
      </c>
      <c r="C48" s="460" t="s">
        <v>203</v>
      </c>
      <c r="D48" s="461" t="s">
        <v>247</v>
      </c>
      <c r="E48" s="461" t="s">
        <v>868</v>
      </c>
      <c r="F48" s="463">
        <f t="shared" si="6"/>
        <v>213.65</v>
      </c>
      <c r="G48" s="463">
        <f t="shared" si="7"/>
        <v>65.65</v>
      </c>
      <c r="H48" s="460">
        <v>18</v>
      </c>
      <c r="I48" s="460"/>
      <c r="J48" s="460">
        <v>20.82</v>
      </c>
      <c r="K48" s="460"/>
      <c r="L48" s="460">
        <v>10.33</v>
      </c>
      <c r="M48" s="460">
        <v>16.5</v>
      </c>
      <c r="N48" s="460" t="s">
        <v>875</v>
      </c>
      <c r="O48" s="459">
        <f t="shared" si="8"/>
        <v>148</v>
      </c>
      <c r="P48" s="460">
        <v>11</v>
      </c>
      <c r="Q48" s="460"/>
      <c r="R48" s="460">
        <v>135</v>
      </c>
      <c r="S48" s="460">
        <v>2</v>
      </c>
      <c r="T48" s="460" t="s">
        <v>870</v>
      </c>
      <c r="U48" s="463"/>
      <c r="V48" s="460"/>
      <c r="W48" s="461"/>
      <c r="X48" s="463">
        <f t="shared" si="9"/>
        <v>122.16</v>
      </c>
      <c r="Y48" s="463">
        <f t="shared" si="10"/>
        <v>-3.84</v>
      </c>
      <c r="Z48" s="460"/>
      <c r="AA48" s="460"/>
      <c r="AB48" s="460">
        <v>-0.29</v>
      </c>
      <c r="AC48" s="460"/>
      <c r="AD48" s="460"/>
      <c r="AE48" s="460">
        <v>-3.55</v>
      </c>
      <c r="AF48" s="459">
        <f t="shared" si="11"/>
        <v>124.5</v>
      </c>
      <c r="AG48" s="460">
        <v>59.14</v>
      </c>
      <c r="AH48" s="460"/>
      <c r="AI48" s="471">
        <f>201.24-135.88</f>
        <v>65.36</v>
      </c>
      <c r="AJ48" s="460"/>
      <c r="AK48" s="460">
        <v>1.5</v>
      </c>
      <c r="AL48" s="460" t="s">
        <v>876</v>
      </c>
      <c r="AM48" s="463">
        <f t="shared" si="12"/>
        <v>335.81</v>
      </c>
      <c r="AN48" s="463">
        <f t="shared" si="13"/>
        <v>61.81</v>
      </c>
      <c r="AO48" s="460">
        <f t="shared" ref="AO48:AT48" si="60">H48+Z48</f>
        <v>18</v>
      </c>
      <c r="AP48" s="460">
        <f t="shared" si="60"/>
        <v>0</v>
      </c>
      <c r="AQ48" s="460">
        <f t="shared" si="60"/>
        <v>20.53</v>
      </c>
      <c r="AR48" s="460">
        <f t="shared" si="60"/>
        <v>0</v>
      </c>
      <c r="AS48" s="460">
        <f t="shared" si="60"/>
        <v>10.33</v>
      </c>
      <c r="AT48" s="460">
        <f t="shared" si="60"/>
        <v>12.95</v>
      </c>
      <c r="AU48" s="463">
        <f t="shared" si="15"/>
        <v>272.5</v>
      </c>
      <c r="AV48" s="460">
        <f t="shared" si="16"/>
        <v>70.14</v>
      </c>
      <c r="AW48" s="460">
        <f t="shared" si="17"/>
        <v>0</v>
      </c>
      <c r="AX48" s="460">
        <f t="shared" si="18"/>
        <v>200.36</v>
      </c>
      <c r="AY48" s="460">
        <f t="shared" si="19"/>
        <v>2</v>
      </c>
      <c r="AZ48" s="463">
        <f t="shared" si="20"/>
        <v>1.5</v>
      </c>
      <c r="BA48" s="482"/>
      <c r="BB48" s="482">
        <v>348.72</v>
      </c>
    </row>
    <row r="49" s="425" customFormat="1" ht="39" customHeight="1" spans="1:54">
      <c r="A49" s="459">
        <v>44</v>
      </c>
      <c r="B49" s="460" t="s">
        <v>856</v>
      </c>
      <c r="C49" s="460" t="s">
        <v>206</v>
      </c>
      <c r="D49" s="461" t="s">
        <v>248</v>
      </c>
      <c r="E49" s="461" t="s">
        <v>868</v>
      </c>
      <c r="F49" s="463">
        <f t="shared" si="6"/>
        <v>27</v>
      </c>
      <c r="G49" s="463">
        <f t="shared" si="7"/>
        <v>27</v>
      </c>
      <c r="H49" s="460">
        <v>27</v>
      </c>
      <c r="I49" s="460"/>
      <c r="J49" s="460"/>
      <c r="K49" s="460"/>
      <c r="L49" s="460"/>
      <c r="M49" s="460"/>
      <c r="N49" s="460"/>
      <c r="O49" s="459">
        <f t="shared" si="8"/>
        <v>0</v>
      </c>
      <c r="P49" s="460"/>
      <c r="Q49" s="460"/>
      <c r="R49" s="460"/>
      <c r="S49" s="460"/>
      <c r="T49" s="460"/>
      <c r="U49" s="463"/>
      <c r="V49" s="460"/>
      <c r="W49" s="461"/>
      <c r="X49" s="463">
        <f t="shared" si="9"/>
        <v>0</v>
      </c>
      <c r="Y49" s="463">
        <f t="shared" si="10"/>
        <v>0</v>
      </c>
      <c r="Z49" s="460"/>
      <c r="AA49" s="460"/>
      <c r="AB49" s="460"/>
      <c r="AC49" s="460"/>
      <c r="AD49" s="460"/>
      <c r="AE49" s="460"/>
      <c r="AF49" s="459">
        <f t="shared" si="11"/>
        <v>0</v>
      </c>
      <c r="AG49" s="460"/>
      <c r="AH49" s="460"/>
      <c r="AI49" s="460"/>
      <c r="AJ49" s="460"/>
      <c r="AK49" s="460"/>
      <c r="AL49" s="460"/>
      <c r="AM49" s="463">
        <f t="shared" si="12"/>
        <v>27</v>
      </c>
      <c r="AN49" s="463">
        <f t="shared" si="13"/>
        <v>27</v>
      </c>
      <c r="AO49" s="460">
        <f t="shared" ref="AO49:AT49" si="61">H49+Z49</f>
        <v>27</v>
      </c>
      <c r="AP49" s="460">
        <f t="shared" si="61"/>
        <v>0</v>
      </c>
      <c r="AQ49" s="460">
        <f t="shared" si="61"/>
        <v>0</v>
      </c>
      <c r="AR49" s="460">
        <f t="shared" si="61"/>
        <v>0</v>
      </c>
      <c r="AS49" s="460">
        <f t="shared" si="61"/>
        <v>0</v>
      </c>
      <c r="AT49" s="460">
        <f t="shared" si="61"/>
        <v>0</v>
      </c>
      <c r="AU49" s="463">
        <f t="shared" si="15"/>
        <v>0</v>
      </c>
      <c r="AV49" s="460">
        <f t="shared" si="16"/>
        <v>0</v>
      </c>
      <c r="AW49" s="460">
        <f t="shared" si="17"/>
        <v>0</v>
      </c>
      <c r="AX49" s="460">
        <f t="shared" si="18"/>
        <v>0</v>
      </c>
      <c r="AY49" s="460">
        <f t="shared" si="19"/>
        <v>0</v>
      </c>
      <c r="AZ49" s="463">
        <f t="shared" si="20"/>
        <v>0</v>
      </c>
      <c r="BA49" s="482"/>
      <c r="BB49" s="482"/>
    </row>
    <row r="50" s="425" customFormat="1" ht="39" customHeight="1" spans="1:54">
      <c r="A50" s="459">
        <v>45</v>
      </c>
      <c r="B50" s="460" t="s">
        <v>856</v>
      </c>
      <c r="C50" s="460" t="s">
        <v>203</v>
      </c>
      <c r="D50" s="461" t="s">
        <v>249</v>
      </c>
      <c r="E50" s="461" t="s">
        <v>868</v>
      </c>
      <c r="F50" s="463">
        <f t="shared" si="6"/>
        <v>253.08</v>
      </c>
      <c r="G50" s="463">
        <f t="shared" si="7"/>
        <v>55.08</v>
      </c>
      <c r="H50" s="460">
        <v>19.8</v>
      </c>
      <c r="I50" s="460"/>
      <c r="J50" s="460">
        <v>21.96</v>
      </c>
      <c r="K50" s="460"/>
      <c r="L50" s="460">
        <v>13.32</v>
      </c>
      <c r="M50" s="460"/>
      <c r="N50" s="460"/>
      <c r="O50" s="459">
        <f t="shared" si="8"/>
        <v>198</v>
      </c>
      <c r="P50" s="460">
        <v>6</v>
      </c>
      <c r="Q50" s="460"/>
      <c r="R50" s="460">
        <v>190</v>
      </c>
      <c r="S50" s="460">
        <v>2</v>
      </c>
      <c r="T50" s="460" t="s">
        <v>870</v>
      </c>
      <c r="U50" s="463"/>
      <c r="V50" s="460"/>
      <c r="W50" s="461"/>
      <c r="X50" s="463">
        <f t="shared" si="9"/>
        <v>59.81</v>
      </c>
      <c r="Y50" s="463">
        <f t="shared" si="10"/>
        <v>-2.73</v>
      </c>
      <c r="Z50" s="460"/>
      <c r="AA50" s="460"/>
      <c r="AB50" s="460">
        <v>-2.73</v>
      </c>
      <c r="AC50" s="460"/>
      <c r="AD50" s="460"/>
      <c r="AE50" s="460"/>
      <c r="AF50" s="459">
        <f t="shared" si="11"/>
        <v>31.04</v>
      </c>
      <c r="AG50" s="460">
        <v>31.85</v>
      </c>
      <c r="AH50" s="460"/>
      <c r="AI50" s="471">
        <f>189.19-190</f>
        <v>-0.810000000000002</v>
      </c>
      <c r="AJ50" s="460"/>
      <c r="AK50" s="460">
        <f>30+1.5</f>
        <v>31.5</v>
      </c>
      <c r="AL50" s="460" t="s">
        <v>877</v>
      </c>
      <c r="AM50" s="463">
        <f t="shared" si="12"/>
        <v>312.89</v>
      </c>
      <c r="AN50" s="463">
        <f t="shared" si="13"/>
        <v>52.35</v>
      </c>
      <c r="AO50" s="460">
        <f t="shared" ref="AO50:AT50" si="62">H50+Z50</f>
        <v>19.8</v>
      </c>
      <c r="AP50" s="460">
        <f t="shared" si="62"/>
        <v>0</v>
      </c>
      <c r="AQ50" s="460">
        <f t="shared" si="62"/>
        <v>19.23</v>
      </c>
      <c r="AR50" s="460">
        <f t="shared" si="62"/>
        <v>0</v>
      </c>
      <c r="AS50" s="460">
        <f t="shared" si="62"/>
        <v>13.32</v>
      </c>
      <c r="AT50" s="460">
        <f t="shared" si="62"/>
        <v>0</v>
      </c>
      <c r="AU50" s="463">
        <f t="shared" si="15"/>
        <v>229.04</v>
      </c>
      <c r="AV50" s="460">
        <f t="shared" si="16"/>
        <v>37.85</v>
      </c>
      <c r="AW50" s="460">
        <f t="shared" si="17"/>
        <v>0</v>
      </c>
      <c r="AX50" s="460">
        <f t="shared" si="18"/>
        <v>189.19</v>
      </c>
      <c r="AY50" s="460">
        <f t="shared" si="19"/>
        <v>2</v>
      </c>
      <c r="AZ50" s="463">
        <f t="shared" si="20"/>
        <v>31.5</v>
      </c>
      <c r="BA50" s="482"/>
      <c r="BB50" s="482">
        <v>368.28</v>
      </c>
    </row>
    <row r="51" s="425" customFormat="1" ht="39" customHeight="1" spans="1:54">
      <c r="A51" s="459">
        <v>46</v>
      </c>
      <c r="B51" s="460" t="s">
        <v>856</v>
      </c>
      <c r="C51" s="460" t="s">
        <v>206</v>
      </c>
      <c r="D51" s="461" t="s">
        <v>250</v>
      </c>
      <c r="E51" s="461" t="s">
        <v>868</v>
      </c>
      <c r="F51" s="463">
        <f t="shared" si="6"/>
        <v>18.6</v>
      </c>
      <c r="G51" s="463">
        <f t="shared" si="7"/>
        <v>18.6</v>
      </c>
      <c r="H51" s="460">
        <v>18.6</v>
      </c>
      <c r="I51" s="460"/>
      <c r="J51" s="460"/>
      <c r="K51" s="460"/>
      <c r="L51" s="460"/>
      <c r="M51" s="460"/>
      <c r="N51" s="460"/>
      <c r="O51" s="459">
        <f t="shared" si="8"/>
        <v>0</v>
      </c>
      <c r="P51" s="460"/>
      <c r="Q51" s="460"/>
      <c r="R51" s="460"/>
      <c r="S51" s="460"/>
      <c r="T51" s="460"/>
      <c r="U51" s="463"/>
      <c r="V51" s="460"/>
      <c r="W51" s="461"/>
      <c r="X51" s="463">
        <f t="shared" si="9"/>
        <v>0</v>
      </c>
      <c r="Y51" s="463">
        <f t="shared" si="10"/>
        <v>0</v>
      </c>
      <c r="Z51" s="460"/>
      <c r="AA51" s="460"/>
      <c r="AB51" s="460"/>
      <c r="AC51" s="460"/>
      <c r="AD51" s="460"/>
      <c r="AE51" s="460"/>
      <c r="AF51" s="459">
        <f t="shared" si="11"/>
        <v>0</v>
      </c>
      <c r="AG51" s="460"/>
      <c r="AH51" s="460"/>
      <c r="AI51" s="460"/>
      <c r="AJ51" s="460"/>
      <c r="AK51" s="460"/>
      <c r="AL51" s="460"/>
      <c r="AM51" s="463">
        <f t="shared" si="12"/>
        <v>18.6</v>
      </c>
      <c r="AN51" s="463">
        <f t="shared" si="13"/>
        <v>18.6</v>
      </c>
      <c r="AO51" s="460">
        <f t="shared" ref="AO51:AT51" si="63">H51+Z51</f>
        <v>18.6</v>
      </c>
      <c r="AP51" s="460">
        <f t="shared" si="63"/>
        <v>0</v>
      </c>
      <c r="AQ51" s="460">
        <f t="shared" si="63"/>
        <v>0</v>
      </c>
      <c r="AR51" s="460">
        <f t="shared" si="63"/>
        <v>0</v>
      </c>
      <c r="AS51" s="460">
        <f t="shared" si="63"/>
        <v>0</v>
      </c>
      <c r="AT51" s="460">
        <f t="shared" si="63"/>
        <v>0</v>
      </c>
      <c r="AU51" s="463">
        <f t="shared" si="15"/>
        <v>0</v>
      </c>
      <c r="AV51" s="460">
        <f t="shared" si="16"/>
        <v>0</v>
      </c>
      <c r="AW51" s="460">
        <f t="shared" si="17"/>
        <v>0</v>
      </c>
      <c r="AX51" s="460">
        <f t="shared" si="18"/>
        <v>0</v>
      </c>
      <c r="AY51" s="460">
        <f t="shared" si="19"/>
        <v>0</v>
      </c>
      <c r="AZ51" s="463">
        <f t="shared" si="20"/>
        <v>0</v>
      </c>
      <c r="BA51" s="482"/>
      <c r="BB51" s="482"/>
    </row>
    <row r="52" s="425" customFormat="1" ht="39" customHeight="1" spans="1:54">
      <c r="A52" s="459">
        <v>47</v>
      </c>
      <c r="B52" s="460" t="s">
        <v>856</v>
      </c>
      <c r="C52" s="460" t="s">
        <v>203</v>
      </c>
      <c r="D52" s="461" t="s">
        <v>251</v>
      </c>
      <c r="E52" s="461" t="s">
        <v>868</v>
      </c>
      <c r="F52" s="463">
        <f t="shared" si="6"/>
        <v>191.58</v>
      </c>
      <c r="G52" s="463">
        <f t="shared" si="7"/>
        <v>52.58</v>
      </c>
      <c r="H52" s="460">
        <v>16.2</v>
      </c>
      <c r="I52" s="460"/>
      <c r="J52" s="460">
        <v>18.24</v>
      </c>
      <c r="K52" s="460"/>
      <c r="L52" s="460">
        <v>18.14</v>
      </c>
      <c r="M52" s="460"/>
      <c r="N52" s="460"/>
      <c r="O52" s="459">
        <f t="shared" si="8"/>
        <v>139</v>
      </c>
      <c r="P52" s="460">
        <v>5</v>
      </c>
      <c r="Q52" s="460"/>
      <c r="R52" s="460">
        <v>132</v>
      </c>
      <c r="S52" s="460">
        <v>2</v>
      </c>
      <c r="T52" s="460" t="s">
        <v>870</v>
      </c>
      <c r="U52" s="463"/>
      <c r="V52" s="460"/>
      <c r="W52" s="461"/>
      <c r="X52" s="463">
        <f t="shared" si="9"/>
        <v>17.21</v>
      </c>
      <c r="Y52" s="463">
        <f t="shared" si="10"/>
        <v>0.33</v>
      </c>
      <c r="Z52" s="460"/>
      <c r="AA52" s="460"/>
      <c r="AB52" s="460">
        <v>0.33</v>
      </c>
      <c r="AC52" s="460"/>
      <c r="AD52" s="460"/>
      <c r="AE52" s="460"/>
      <c r="AF52" s="459">
        <f t="shared" si="11"/>
        <v>15.38</v>
      </c>
      <c r="AG52" s="460">
        <v>29.69</v>
      </c>
      <c r="AH52" s="460"/>
      <c r="AI52" s="471">
        <f>109.63-132</f>
        <v>-22.37</v>
      </c>
      <c r="AJ52" s="460">
        <v>8.06</v>
      </c>
      <c r="AK52" s="460">
        <v>1.5</v>
      </c>
      <c r="AL52" s="460" t="s">
        <v>878</v>
      </c>
      <c r="AM52" s="463">
        <f t="shared" si="12"/>
        <v>208.79</v>
      </c>
      <c r="AN52" s="463">
        <f t="shared" si="13"/>
        <v>52.91</v>
      </c>
      <c r="AO52" s="460">
        <f t="shared" ref="AO52:AT52" si="64">H52+Z52</f>
        <v>16.2</v>
      </c>
      <c r="AP52" s="460">
        <f t="shared" si="64"/>
        <v>0</v>
      </c>
      <c r="AQ52" s="460">
        <f t="shared" si="64"/>
        <v>18.57</v>
      </c>
      <c r="AR52" s="460">
        <f t="shared" si="64"/>
        <v>0</v>
      </c>
      <c r="AS52" s="460">
        <f t="shared" si="64"/>
        <v>18.14</v>
      </c>
      <c r="AT52" s="460">
        <f t="shared" si="64"/>
        <v>0</v>
      </c>
      <c r="AU52" s="463">
        <f t="shared" si="15"/>
        <v>154.38</v>
      </c>
      <c r="AV52" s="460">
        <f t="shared" si="16"/>
        <v>34.69</v>
      </c>
      <c r="AW52" s="460">
        <f t="shared" si="17"/>
        <v>0</v>
      </c>
      <c r="AX52" s="460">
        <f t="shared" si="18"/>
        <v>109.63</v>
      </c>
      <c r="AY52" s="460">
        <f t="shared" si="19"/>
        <v>10.06</v>
      </c>
      <c r="AZ52" s="463">
        <f t="shared" si="20"/>
        <v>1.5</v>
      </c>
      <c r="BA52" s="482"/>
      <c r="BB52" s="482"/>
    </row>
    <row r="53" s="425" customFormat="1" ht="39" customHeight="1" spans="1:54">
      <c r="A53" s="459">
        <v>48</v>
      </c>
      <c r="B53" s="460" t="s">
        <v>856</v>
      </c>
      <c r="C53" s="460" t="s">
        <v>206</v>
      </c>
      <c r="D53" s="461" t="s">
        <v>252</v>
      </c>
      <c r="E53" s="461" t="s">
        <v>868</v>
      </c>
      <c r="F53" s="463">
        <f t="shared" si="6"/>
        <v>20.4</v>
      </c>
      <c r="G53" s="463">
        <f t="shared" si="7"/>
        <v>20.4</v>
      </c>
      <c r="H53" s="460">
        <v>20.4</v>
      </c>
      <c r="I53" s="460"/>
      <c r="J53" s="460"/>
      <c r="K53" s="460"/>
      <c r="L53" s="460"/>
      <c r="M53" s="460"/>
      <c r="N53" s="460"/>
      <c r="O53" s="459">
        <f t="shared" si="8"/>
        <v>0</v>
      </c>
      <c r="P53" s="460"/>
      <c r="Q53" s="460"/>
      <c r="R53" s="460"/>
      <c r="S53" s="460"/>
      <c r="T53" s="460"/>
      <c r="U53" s="463"/>
      <c r="V53" s="460"/>
      <c r="W53" s="461"/>
      <c r="X53" s="463">
        <f t="shared" si="9"/>
        <v>0</v>
      </c>
      <c r="Y53" s="463">
        <f t="shared" si="10"/>
        <v>0</v>
      </c>
      <c r="Z53" s="460"/>
      <c r="AA53" s="460"/>
      <c r="AB53" s="460"/>
      <c r="AC53" s="460"/>
      <c r="AD53" s="460"/>
      <c r="AE53" s="460"/>
      <c r="AF53" s="459">
        <f t="shared" si="11"/>
        <v>0</v>
      </c>
      <c r="AG53" s="460"/>
      <c r="AH53" s="460"/>
      <c r="AI53" s="460"/>
      <c r="AJ53" s="460"/>
      <c r="AK53" s="460"/>
      <c r="AL53" s="460"/>
      <c r="AM53" s="463">
        <f t="shared" si="12"/>
        <v>20.4</v>
      </c>
      <c r="AN53" s="463">
        <f t="shared" si="13"/>
        <v>20.4</v>
      </c>
      <c r="AO53" s="460">
        <f t="shared" ref="AO53:AT53" si="65">H53+Z53</f>
        <v>20.4</v>
      </c>
      <c r="AP53" s="460">
        <f t="shared" si="65"/>
        <v>0</v>
      </c>
      <c r="AQ53" s="460">
        <f t="shared" si="65"/>
        <v>0</v>
      </c>
      <c r="AR53" s="460">
        <f t="shared" si="65"/>
        <v>0</v>
      </c>
      <c r="AS53" s="460">
        <f t="shared" si="65"/>
        <v>0</v>
      </c>
      <c r="AT53" s="460">
        <f t="shared" si="65"/>
        <v>0</v>
      </c>
      <c r="AU53" s="463">
        <f t="shared" si="15"/>
        <v>0</v>
      </c>
      <c r="AV53" s="460">
        <f t="shared" si="16"/>
        <v>0</v>
      </c>
      <c r="AW53" s="460">
        <f t="shared" si="17"/>
        <v>0</v>
      </c>
      <c r="AX53" s="460">
        <f t="shared" si="18"/>
        <v>0</v>
      </c>
      <c r="AY53" s="460">
        <f t="shared" si="19"/>
        <v>0</v>
      </c>
      <c r="AZ53" s="463">
        <f t="shared" si="20"/>
        <v>0</v>
      </c>
      <c r="BA53" s="482"/>
      <c r="BB53" s="482"/>
    </row>
    <row r="54" s="425" customFormat="1" ht="39" customHeight="1" spans="1:54">
      <c r="A54" s="459">
        <v>49</v>
      </c>
      <c r="B54" s="460" t="s">
        <v>856</v>
      </c>
      <c r="C54" s="460" t="s">
        <v>203</v>
      </c>
      <c r="D54" s="461" t="s">
        <v>253</v>
      </c>
      <c r="E54" s="461" t="s">
        <v>868</v>
      </c>
      <c r="F54" s="463">
        <f t="shared" si="6"/>
        <v>121.3</v>
      </c>
      <c r="G54" s="463">
        <f t="shared" si="7"/>
        <v>42.3</v>
      </c>
      <c r="H54" s="460">
        <v>13.8</v>
      </c>
      <c r="I54" s="460"/>
      <c r="J54" s="460">
        <v>15.96</v>
      </c>
      <c r="K54" s="460"/>
      <c r="L54" s="460">
        <v>12.54</v>
      </c>
      <c r="M54" s="460"/>
      <c r="N54" s="460"/>
      <c r="O54" s="459">
        <f t="shared" si="8"/>
        <v>79</v>
      </c>
      <c r="P54" s="460">
        <v>5</v>
      </c>
      <c r="Q54" s="460"/>
      <c r="R54" s="460">
        <v>72</v>
      </c>
      <c r="S54" s="460">
        <v>2</v>
      </c>
      <c r="T54" s="460" t="s">
        <v>870</v>
      </c>
      <c r="U54" s="463"/>
      <c r="V54" s="460"/>
      <c r="W54" s="461"/>
      <c r="X54" s="463">
        <f t="shared" si="9"/>
        <v>-4.2</v>
      </c>
      <c r="Y54" s="463">
        <f t="shared" si="10"/>
        <v>-0.51</v>
      </c>
      <c r="Z54" s="460"/>
      <c r="AA54" s="460"/>
      <c r="AB54" s="460">
        <v>-0.51</v>
      </c>
      <c r="AC54" s="460"/>
      <c r="AD54" s="460"/>
      <c r="AE54" s="460"/>
      <c r="AF54" s="459">
        <f t="shared" si="11"/>
        <v>-5.19</v>
      </c>
      <c r="AG54" s="460">
        <v>20.75</v>
      </c>
      <c r="AH54" s="460"/>
      <c r="AI54" s="471">
        <f>46.06-72</f>
        <v>-25.94</v>
      </c>
      <c r="AJ54" s="460"/>
      <c r="AK54" s="460">
        <v>1.5</v>
      </c>
      <c r="AL54" s="460" t="s">
        <v>846</v>
      </c>
      <c r="AM54" s="463">
        <f t="shared" si="12"/>
        <v>117.1</v>
      </c>
      <c r="AN54" s="463">
        <f t="shared" si="13"/>
        <v>41.79</v>
      </c>
      <c r="AO54" s="460">
        <f t="shared" ref="AO54:AT54" si="66">H54+Z54</f>
        <v>13.8</v>
      </c>
      <c r="AP54" s="460">
        <f t="shared" si="66"/>
        <v>0</v>
      </c>
      <c r="AQ54" s="460">
        <f t="shared" si="66"/>
        <v>15.45</v>
      </c>
      <c r="AR54" s="460">
        <f t="shared" si="66"/>
        <v>0</v>
      </c>
      <c r="AS54" s="460">
        <f t="shared" si="66"/>
        <v>12.54</v>
      </c>
      <c r="AT54" s="460">
        <f t="shared" si="66"/>
        <v>0</v>
      </c>
      <c r="AU54" s="463">
        <f t="shared" si="15"/>
        <v>73.81</v>
      </c>
      <c r="AV54" s="460">
        <f t="shared" si="16"/>
        <v>25.75</v>
      </c>
      <c r="AW54" s="460">
        <f t="shared" si="17"/>
        <v>0</v>
      </c>
      <c r="AX54" s="460">
        <f t="shared" si="18"/>
        <v>46.06</v>
      </c>
      <c r="AY54" s="460">
        <f t="shared" si="19"/>
        <v>2</v>
      </c>
      <c r="AZ54" s="463">
        <f t="shared" si="20"/>
        <v>1.5</v>
      </c>
      <c r="BA54" s="482"/>
      <c r="BB54" s="482"/>
    </row>
    <row r="55" s="425" customFormat="1" ht="39" customHeight="1" spans="1:54">
      <c r="A55" s="459">
        <v>50</v>
      </c>
      <c r="B55" s="460" t="s">
        <v>856</v>
      </c>
      <c r="C55" s="460" t="s">
        <v>206</v>
      </c>
      <c r="D55" s="461" t="s">
        <v>254</v>
      </c>
      <c r="E55" s="461" t="s">
        <v>868</v>
      </c>
      <c r="F55" s="463">
        <f t="shared" si="6"/>
        <v>19.8</v>
      </c>
      <c r="G55" s="463">
        <f t="shared" si="7"/>
        <v>19.8</v>
      </c>
      <c r="H55" s="460">
        <v>19.8</v>
      </c>
      <c r="I55" s="460"/>
      <c r="J55" s="460"/>
      <c r="K55" s="460"/>
      <c r="L55" s="460"/>
      <c r="M55" s="460"/>
      <c r="N55" s="460"/>
      <c r="O55" s="459">
        <f t="shared" si="8"/>
        <v>0</v>
      </c>
      <c r="P55" s="460"/>
      <c r="Q55" s="460"/>
      <c r="R55" s="460"/>
      <c r="S55" s="460"/>
      <c r="T55" s="460"/>
      <c r="U55" s="463"/>
      <c r="V55" s="460"/>
      <c r="W55" s="461"/>
      <c r="X55" s="463">
        <f t="shared" si="9"/>
        <v>0</v>
      </c>
      <c r="Y55" s="463">
        <f t="shared" si="10"/>
        <v>0</v>
      </c>
      <c r="Z55" s="460"/>
      <c r="AA55" s="460"/>
      <c r="AB55" s="460"/>
      <c r="AC55" s="460"/>
      <c r="AD55" s="460"/>
      <c r="AE55" s="460"/>
      <c r="AF55" s="459">
        <f t="shared" si="11"/>
        <v>0</v>
      </c>
      <c r="AG55" s="460"/>
      <c r="AH55" s="460"/>
      <c r="AI55" s="460"/>
      <c r="AJ55" s="460"/>
      <c r="AK55" s="460"/>
      <c r="AL55" s="460"/>
      <c r="AM55" s="463">
        <f t="shared" si="12"/>
        <v>19.8</v>
      </c>
      <c r="AN55" s="463">
        <f t="shared" si="13"/>
        <v>19.8</v>
      </c>
      <c r="AO55" s="460">
        <f t="shared" ref="AO55:AT55" si="67">H55+Z55</f>
        <v>19.8</v>
      </c>
      <c r="AP55" s="460">
        <f t="shared" si="67"/>
        <v>0</v>
      </c>
      <c r="AQ55" s="460">
        <f t="shared" si="67"/>
        <v>0</v>
      </c>
      <c r="AR55" s="460">
        <f t="shared" si="67"/>
        <v>0</v>
      </c>
      <c r="AS55" s="460">
        <f t="shared" si="67"/>
        <v>0</v>
      </c>
      <c r="AT55" s="460">
        <f t="shared" si="67"/>
        <v>0</v>
      </c>
      <c r="AU55" s="463">
        <f t="shared" si="15"/>
        <v>0</v>
      </c>
      <c r="AV55" s="460">
        <f t="shared" si="16"/>
        <v>0</v>
      </c>
      <c r="AW55" s="460">
        <f t="shared" si="17"/>
        <v>0</v>
      </c>
      <c r="AX55" s="460">
        <f t="shared" si="18"/>
        <v>0</v>
      </c>
      <c r="AY55" s="460">
        <f t="shared" si="19"/>
        <v>0</v>
      </c>
      <c r="AZ55" s="463">
        <f t="shared" si="20"/>
        <v>0</v>
      </c>
      <c r="BA55" s="482"/>
      <c r="BB55" s="482"/>
    </row>
    <row r="56" s="425" customFormat="1" ht="39" customHeight="1" spans="1:54">
      <c r="A56" s="459">
        <v>51</v>
      </c>
      <c r="B56" s="460" t="s">
        <v>856</v>
      </c>
      <c r="C56" s="460" t="s">
        <v>203</v>
      </c>
      <c r="D56" s="461" t="s">
        <v>255</v>
      </c>
      <c r="E56" s="461" t="s">
        <v>868</v>
      </c>
      <c r="F56" s="463">
        <f t="shared" si="6"/>
        <v>117.29</v>
      </c>
      <c r="G56" s="463">
        <f t="shared" si="7"/>
        <v>48.29</v>
      </c>
      <c r="H56" s="460">
        <v>14.4</v>
      </c>
      <c r="I56" s="460"/>
      <c r="J56" s="460">
        <v>16.2</v>
      </c>
      <c r="K56" s="460"/>
      <c r="L56" s="460">
        <v>17.69</v>
      </c>
      <c r="M56" s="460"/>
      <c r="N56" s="460"/>
      <c r="O56" s="459">
        <f t="shared" si="8"/>
        <v>69</v>
      </c>
      <c r="P56" s="460">
        <v>5</v>
      </c>
      <c r="Q56" s="460"/>
      <c r="R56" s="460">
        <v>62</v>
      </c>
      <c r="S56" s="460">
        <v>2</v>
      </c>
      <c r="T56" s="460" t="s">
        <v>870</v>
      </c>
      <c r="U56" s="463"/>
      <c r="V56" s="460"/>
      <c r="W56" s="461"/>
      <c r="X56" s="463">
        <f t="shared" si="9"/>
        <v>20.55</v>
      </c>
      <c r="Y56" s="463">
        <f t="shared" si="10"/>
        <v>-0.27</v>
      </c>
      <c r="Z56" s="460"/>
      <c r="AA56" s="460"/>
      <c r="AB56" s="460">
        <v>-0.27</v>
      </c>
      <c r="AC56" s="460"/>
      <c r="AD56" s="460"/>
      <c r="AE56" s="460"/>
      <c r="AF56" s="459">
        <f t="shared" si="11"/>
        <v>19.32</v>
      </c>
      <c r="AG56" s="460">
        <v>24.58</v>
      </c>
      <c r="AH56" s="460"/>
      <c r="AI56" s="471">
        <f>56.74-62</f>
        <v>-5.26</v>
      </c>
      <c r="AJ56" s="460"/>
      <c r="AK56" s="460">
        <v>1.5</v>
      </c>
      <c r="AL56" s="460" t="s">
        <v>846</v>
      </c>
      <c r="AM56" s="463">
        <f t="shared" si="12"/>
        <v>137.84</v>
      </c>
      <c r="AN56" s="463">
        <f t="shared" si="13"/>
        <v>48.02</v>
      </c>
      <c r="AO56" s="460">
        <f t="shared" ref="AO56:AT56" si="68">H56+Z56</f>
        <v>14.4</v>
      </c>
      <c r="AP56" s="460">
        <f t="shared" si="68"/>
        <v>0</v>
      </c>
      <c r="AQ56" s="460">
        <f t="shared" si="68"/>
        <v>15.93</v>
      </c>
      <c r="AR56" s="460">
        <f t="shared" si="68"/>
        <v>0</v>
      </c>
      <c r="AS56" s="460">
        <f t="shared" si="68"/>
        <v>17.69</v>
      </c>
      <c r="AT56" s="460">
        <f t="shared" si="68"/>
        <v>0</v>
      </c>
      <c r="AU56" s="463">
        <f t="shared" si="15"/>
        <v>88.32</v>
      </c>
      <c r="AV56" s="460">
        <f t="shared" si="16"/>
        <v>29.58</v>
      </c>
      <c r="AW56" s="460">
        <f t="shared" si="17"/>
        <v>0</v>
      </c>
      <c r="AX56" s="460">
        <f t="shared" si="18"/>
        <v>56.74</v>
      </c>
      <c r="AY56" s="460">
        <f t="shared" si="19"/>
        <v>2</v>
      </c>
      <c r="AZ56" s="463">
        <f t="shared" si="20"/>
        <v>1.5</v>
      </c>
      <c r="BA56" s="482"/>
      <c r="BB56" s="482"/>
    </row>
    <row r="57" s="425" customFormat="1" ht="39" customHeight="1" spans="1:54">
      <c r="A57" s="459">
        <v>52</v>
      </c>
      <c r="B57" s="460" t="s">
        <v>856</v>
      </c>
      <c r="C57" s="460" t="s">
        <v>206</v>
      </c>
      <c r="D57" s="461" t="s">
        <v>256</v>
      </c>
      <c r="E57" s="461" t="s">
        <v>868</v>
      </c>
      <c r="F57" s="463">
        <f t="shared" si="6"/>
        <v>19.2</v>
      </c>
      <c r="G57" s="463">
        <f t="shared" si="7"/>
        <v>19.2</v>
      </c>
      <c r="H57" s="460">
        <v>19.2</v>
      </c>
      <c r="I57" s="460"/>
      <c r="J57" s="460"/>
      <c r="K57" s="460"/>
      <c r="L57" s="460"/>
      <c r="M57" s="460"/>
      <c r="N57" s="460"/>
      <c r="O57" s="459">
        <f t="shared" si="8"/>
        <v>0</v>
      </c>
      <c r="P57" s="460"/>
      <c r="Q57" s="460"/>
      <c r="R57" s="460"/>
      <c r="S57" s="460"/>
      <c r="T57" s="460"/>
      <c r="U57" s="463"/>
      <c r="V57" s="460"/>
      <c r="W57" s="461"/>
      <c r="X57" s="463">
        <f t="shared" si="9"/>
        <v>0</v>
      </c>
      <c r="Y57" s="463">
        <f t="shared" si="10"/>
        <v>0</v>
      </c>
      <c r="Z57" s="460"/>
      <c r="AA57" s="460"/>
      <c r="AB57" s="460"/>
      <c r="AC57" s="460"/>
      <c r="AD57" s="460"/>
      <c r="AE57" s="460"/>
      <c r="AF57" s="459">
        <f t="shared" si="11"/>
        <v>0</v>
      </c>
      <c r="AG57" s="460"/>
      <c r="AH57" s="460"/>
      <c r="AI57" s="460"/>
      <c r="AJ57" s="460"/>
      <c r="AK57" s="460"/>
      <c r="AL57" s="460"/>
      <c r="AM57" s="463">
        <f t="shared" si="12"/>
        <v>19.2</v>
      </c>
      <c r="AN57" s="463">
        <f t="shared" si="13"/>
        <v>19.2</v>
      </c>
      <c r="AO57" s="460">
        <f t="shared" ref="AO57:AT57" si="69">H57+Z57</f>
        <v>19.2</v>
      </c>
      <c r="AP57" s="460">
        <f t="shared" si="69"/>
        <v>0</v>
      </c>
      <c r="AQ57" s="460">
        <f t="shared" si="69"/>
        <v>0</v>
      </c>
      <c r="AR57" s="460">
        <f t="shared" si="69"/>
        <v>0</v>
      </c>
      <c r="AS57" s="460">
        <f t="shared" si="69"/>
        <v>0</v>
      </c>
      <c r="AT57" s="460">
        <f t="shared" si="69"/>
        <v>0</v>
      </c>
      <c r="AU57" s="463">
        <f t="shared" si="15"/>
        <v>0</v>
      </c>
      <c r="AV57" s="460">
        <f t="shared" si="16"/>
        <v>0</v>
      </c>
      <c r="AW57" s="460">
        <f t="shared" si="17"/>
        <v>0</v>
      </c>
      <c r="AX57" s="460">
        <f t="shared" si="18"/>
        <v>0</v>
      </c>
      <c r="AY57" s="460">
        <f t="shared" si="19"/>
        <v>0</v>
      </c>
      <c r="AZ57" s="463">
        <f t="shared" si="20"/>
        <v>0</v>
      </c>
      <c r="BA57" s="482"/>
      <c r="BB57" s="482"/>
    </row>
    <row r="58" s="425" customFormat="1" ht="39" customHeight="1" spans="1:54">
      <c r="A58" s="459">
        <v>53</v>
      </c>
      <c r="B58" s="460" t="s">
        <v>856</v>
      </c>
      <c r="C58" s="460" t="s">
        <v>203</v>
      </c>
      <c r="D58" s="461" t="s">
        <v>257</v>
      </c>
      <c r="E58" s="461" t="s">
        <v>868</v>
      </c>
      <c r="F58" s="463">
        <f t="shared" si="6"/>
        <v>138.08</v>
      </c>
      <c r="G58" s="463">
        <f t="shared" si="7"/>
        <v>97.08</v>
      </c>
      <c r="H58" s="460">
        <v>11.4</v>
      </c>
      <c r="I58" s="460"/>
      <c r="J58" s="460">
        <v>14.7</v>
      </c>
      <c r="K58" s="460"/>
      <c r="L58" s="460">
        <v>40.98</v>
      </c>
      <c r="M58" s="460">
        <v>30</v>
      </c>
      <c r="N58" s="460" t="s">
        <v>879</v>
      </c>
      <c r="O58" s="459">
        <f t="shared" si="8"/>
        <v>41</v>
      </c>
      <c r="P58" s="460">
        <v>4</v>
      </c>
      <c r="Q58" s="460"/>
      <c r="R58" s="460">
        <v>35</v>
      </c>
      <c r="S58" s="460">
        <v>2</v>
      </c>
      <c r="T58" s="460" t="s">
        <v>870</v>
      </c>
      <c r="U58" s="463"/>
      <c r="V58" s="460"/>
      <c r="W58" s="461"/>
      <c r="X58" s="463">
        <f t="shared" si="9"/>
        <v>62.28</v>
      </c>
      <c r="Y58" s="463">
        <f t="shared" si="10"/>
        <v>-0.36</v>
      </c>
      <c r="Z58" s="460"/>
      <c r="AA58" s="460"/>
      <c r="AB58" s="460">
        <v>-0.36</v>
      </c>
      <c r="AC58" s="460"/>
      <c r="AD58" s="460"/>
      <c r="AE58" s="460"/>
      <c r="AF58" s="459">
        <f t="shared" si="11"/>
        <v>61.14</v>
      </c>
      <c r="AG58" s="460">
        <v>21.88</v>
      </c>
      <c r="AH58" s="460"/>
      <c r="AI58" s="460">
        <v>39.26</v>
      </c>
      <c r="AJ58" s="460"/>
      <c r="AK58" s="460">
        <v>1.5</v>
      </c>
      <c r="AL58" s="460" t="s">
        <v>846</v>
      </c>
      <c r="AM58" s="463">
        <f t="shared" si="12"/>
        <v>200.36</v>
      </c>
      <c r="AN58" s="463">
        <f t="shared" si="13"/>
        <v>96.72</v>
      </c>
      <c r="AO58" s="460">
        <f t="shared" ref="AO58:AT58" si="70">H58+Z58</f>
        <v>11.4</v>
      </c>
      <c r="AP58" s="460">
        <f t="shared" si="70"/>
        <v>0</v>
      </c>
      <c r="AQ58" s="460">
        <f t="shared" si="70"/>
        <v>14.34</v>
      </c>
      <c r="AR58" s="460">
        <f t="shared" si="70"/>
        <v>0</v>
      </c>
      <c r="AS58" s="460">
        <f t="shared" si="70"/>
        <v>40.98</v>
      </c>
      <c r="AT58" s="460">
        <f t="shared" si="70"/>
        <v>30</v>
      </c>
      <c r="AU58" s="463">
        <f t="shared" si="15"/>
        <v>102.14</v>
      </c>
      <c r="AV58" s="460">
        <f t="shared" si="16"/>
        <v>25.88</v>
      </c>
      <c r="AW58" s="460">
        <f t="shared" si="17"/>
        <v>0</v>
      </c>
      <c r="AX58" s="460">
        <f t="shared" si="18"/>
        <v>74.26</v>
      </c>
      <c r="AY58" s="460">
        <f t="shared" si="19"/>
        <v>2</v>
      </c>
      <c r="AZ58" s="463">
        <f t="shared" si="20"/>
        <v>1.5</v>
      </c>
      <c r="BA58" s="482"/>
      <c r="BB58" s="482"/>
    </row>
    <row r="59" s="425" customFormat="1" ht="39" customHeight="1" spans="1:54">
      <c r="A59" s="459">
        <v>54</v>
      </c>
      <c r="B59" s="460" t="s">
        <v>856</v>
      </c>
      <c r="C59" s="460" t="s">
        <v>206</v>
      </c>
      <c r="D59" s="461" t="s">
        <v>258</v>
      </c>
      <c r="E59" s="461" t="s">
        <v>868</v>
      </c>
      <c r="F59" s="463">
        <f t="shared" si="6"/>
        <v>15.6</v>
      </c>
      <c r="G59" s="463">
        <f t="shared" si="7"/>
        <v>15.6</v>
      </c>
      <c r="H59" s="460">
        <v>15.6</v>
      </c>
      <c r="I59" s="460"/>
      <c r="J59" s="460"/>
      <c r="K59" s="460"/>
      <c r="L59" s="460"/>
      <c r="M59" s="460"/>
      <c r="N59" s="460"/>
      <c r="O59" s="459">
        <f t="shared" si="8"/>
        <v>0</v>
      </c>
      <c r="P59" s="460"/>
      <c r="Q59" s="460"/>
      <c r="R59" s="460"/>
      <c r="S59" s="460"/>
      <c r="T59" s="460"/>
      <c r="U59" s="463"/>
      <c r="V59" s="460"/>
      <c r="W59" s="461"/>
      <c r="X59" s="463">
        <f t="shared" si="9"/>
        <v>0</v>
      </c>
      <c r="Y59" s="463">
        <f t="shared" si="10"/>
        <v>0</v>
      </c>
      <c r="Z59" s="460"/>
      <c r="AA59" s="460"/>
      <c r="AB59" s="460"/>
      <c r="AC59" s="460"/>
      <c r="AD59" s="460"/>
      <c r="AE59" s="460"/>
      <c r="AF59" s="459">
        <f t="shared" si="11"/>
        <v>0</v>
      </c>
      <c r="AG59" s="460"/>
      <c r="AH59" s="460"/>
      <c r="AI59" s="460"/>
      <c r="AJ59" s="460"/>
      <c r="AK59" s="460"/>
      <c r="AL59" s="460"/>
      <c r="AM59" s="463">
        <f t="shared" si="12"/>
        <v>15.6</v>
      </c>
      <c r="AN59" s="463">
        <f t="shared" si="13"/>
        <v>15.6</v>
      </c>
      <c r="AO59" s="460">
        <f t="shared" ref="AO59:AT59" si="71">H59+Z59</f>
        <v>15.6</v>
      </c>
      <c r="AP59" s="460">
        <f t="shared" si="71"/>
        <v>0</v>
      </c>
      <c r="AQ59" s="460">
        <f t="shared" si="71"/>
        <v>0</v>
      </c>
      <c r="AR59" s="460">
        <f t="shared" si="71"/>
        <v>0</v>
      </c>
      <c r="AS59" s="460">
        <f t="shared" si="71"/>
        <v>0</v>
      </c>
      <c r="AT59" s="460">
        <f t="shared" si="71"/>
        <v>0</v>
      </c>
      <c r="AU59" s="463">
        <f t="shared" si="15"/>
        <v>0</v>
      </c>
      <c r="AV59" s="460">
        <f t="shared" si="16"/>
        <v>0</v>
      </c>
      <c r="AW59" s="460">
        <f t="shared" si="17"/>
        <v>0</v>
      </c>
      <c r="AX59" s="460">
        <f t="shared" si="18"/>
        <v>0</v>
      </c>
      <c r="AY59" s="460">
        <f t="shared" si="19"/>
        <v>0</v>
      </c>
      <c r="AZ59" s="463">
        <f t="shared" si="20"/>
        <v>0</v>
      </c>
      <c r="BA59" s="482"/>
      <c r="BB59" s="482"/>
    </row>
    <row r="60" s="425" customFormat="1" ht="39" customHeight="1" spans="1:54">
      <c r="A60" s="459">
        <v>55</v>
      </c>
      <c r="B60" s="460" t="s">
        <v>856</v>
      </c>
      <c r="C60" s="460" t="s">
        <v>203</v>
      </c>
      <c r="D60" s="461" t="s">
        <v>259</v>
      </c>
      <c r="E60" s="461" t="s">
        <v>868</v>
      </c>
      <c r="F60" s="463">
        <f t="shared" si="6"/>
        <v>116.32</v>
      </c>
      <c r="G60" s="463">
        <f t="shared" si="7"/>
        <v>58.32</v>
      </c>
      <c r="H60" s="460">
        <v>8.4</v>
      </c>
      <c r="I60" s="460"/>
      <c r="J60" s="460">
        <v>9.66</v>
      </c>
      <c r="K60" s="460"/>
      <c r="L60" s="460">
        <v>40.26</v>
      </c>
      <c r="M60" s="460"/>
      <c r="N60" s="460"/>
      <c r="O60" s="459">
        <f t="shared" si="8"/>
        <v>58</v>
      </c>
      <c r="P60" s="460">
        <v>3</v>
      </c>
      <c r="Q60" s="460"/>
      <c r="R60" s="460">
        <v>53</v>
      </c>
      <c r="S60" s="460">
        <v>2</v>
      </c>
      <c r="T60" s="460" t="s">
        <v>870</v>
      </c>
      <c r="U60" s="463"/>
      <c r="V60" s="460"/>
      <c r="W60" s="461"/>
      <c r="X60" s="463">
        <f t="shared" si="9"/>
        <v>42.11</v>
      </c>
      <c r="Y60" s="463">
        <f t="shared" si="10"/>
        <v>0.48</v>
      </c>
      <c r="Z60" s="460"/>
      <c r="AA60" s="460"/>
      <c r="AB60" s="460">
        <v>0.48</v>
      </c>
      <c r="AC60" s="460"/>
      <c r="AD60" s="460"/>
      <c r="AE60" s="460"/>
      <c r="AF60" s="459">
        <f t="shared" si="11"/>
        <v>40.13</v>
      </c>
      <c r="AG60" s="460">
        <v>4.93</v>
      </c>
      <c r="AH60" s="460"/>
      <c r="AI60" s="460">
        <v>35.2</v>
      </c>
      <c r="AJ60" s="460"/>
      <c r="AK60" s="460">
        <v>1.5</v>
      </c>
      <c r="AL60" s="460" t="s">
        <v>846</v>
      </c>
      <c r="AM60" s="463">
        <f t="shared" si="12"/>
        <v>158.43</v>
      </c>
      <c r="AN60" s="463">
        <f t="shared" si="13"/>
        <v>58.8</v>
      </c>
      <c r="AO60" s="460">
        <f t="shared" ref="AO60:AT60" si="72">H60+Z60</f>
        <v>8.4</v>
      </c>
      <c r="AP60" s="460">
        <f t="shared" si="72"/>
        <v>0</v>
      </c>
      <c r="AQ60" s="460">
        <f t="shared" si="72"/>
        <v>10.14</v>
      </c>
      <c r="AR60" s="460">
        <f t="shared" si="72"/>
        <v>0</v>
      </c>
      <c r="AS60" s="460">
        <f t="shared" si="72"/>
        <v>40.26</v>
      </c>
      <c r="AT60" s="460">
        <f t="shared" si="72"/>
        <v>0</v>
      </c>
      <c r="AU60" s="463">
        <f t="shared" si="15"/>
        <v>98.13</v>
      </c>
      <c r="AV60" s="460">
        <f t="shared" si="16"/>
        <v>7.93</v>
      </c>
      <c r="AW60" s="460">
        <f t="shared" si="17"/>
        <v>0</v>
      </c>
      <c r="AX60" s="460">
        <f t="shared" si="18"/>
        <v>88.2</v>
      </c>
      <c r="AY60" s="460">
        <f t="shared" si="19"/>
        <v>2</v>
      </c>
      <c r="AZ60" s="463">
        <f t="shared" si="20"/>
        <v>1.5</v>
      </c>
      <c r="BA60" s="482"/>
      <c r="BB60" s="482"/>
    </row>
    <row r="61" s="425" customFormat="1" ht="39" customHeight="1" spans="1:54">
      <c r="A61" s="459">
        <v>56</v>
      </c>
      <c r="B61" s="460" t="s">
        <v>856</v>
      </c>
      <c r="C61" s="460" t="s">
        <v>206</v>
      </c>
      <c r="D61" s="461" t="s">
        <v>260</v>
      </c>
      <c r="E61" s="461" t="s">
        <v>868</v>
      </c>
      <c r="F61" s="463">
        <f t="shared" si="6"/>
        <v>13.2</v>
      </c>
      <c r="G61" s="463">
        <f t="shared" si="7"/>
        <v>13.2</v>
      </c>
      <c r="H61" s="460">
        <v>13.2</v>
      </c>
      <c r="I61" s="460"/>
      <c r="J61" s="460"/>
      <c r="K61" s="460"/>
      <c r="L61" s="460"/>
      <c r="M61" s="460"/>
      <c r="N61" s="460"/>
      <c r="O61" s="459">
        <f t="shared" si="8"/>
        <v>0</v>
      </c>
      <c r="P61" s="460"/>
      <c r="Q61" s="460"/>
      <c r="R61" s="460"/>
      <c r="S61" s="460"/>
      <c r="T61" s="460"/>
      <c r="U61" s="463"/>
      <c r="V61" s="460"/>
      <c r="W61" s="461"/>
      <c r="X61" s="463">
        <f t="shared" si="9"/>
        <v>0</v>
      </c>
      <c r="Y61" s="463">
        <f t="shared" si="10"/>
        <v>0</v>
      </c>
      <c r="Z61" s="460"/>
      <c r="AA61" s="460"/>
      <c r="AB61" s="460"/>
      <c r="AC61" s="460"/>
      <c r="AD61" s="460"/>
      <c r="AE61" s="460"/>
      <c r="AF61" s="459">
        <f t="shared" si="11"/>
        <v>0</v>
      </c>
      <c r="AG61" s="460"/>
      <c r="AH61" s="460"/>
      <c r="AI61" s="460"/>
      <c r="AJ61" s="460"/>
      <c r="AK61" s="460"/>
      <c r="AL61" s="460"/>
      <c r="AM61" s="463">
        <f t="shared" si="12"/>
        <v>13.2</v>
      </c>
      <c r="AN61" s="463">
        <f t="shared" si="13"/>
        <v>13.2</v>
      </c>
      <c r="AO61" s="460">
        <f t="shared" ref="AO61:AT61" si="73">H61+Z61</f>
        <v>13.2</v>
      </c>
      <c r="AP61" s="460">
        <f t="shared" si="73"/>
        <v>0</v>
      </c>
      <c r="AQ61" s="460">
        <f t="shared" si="73"/>
        <v>0</v>
      </c>
      <c r="AR61" s="460">
        <f t="shared" si="73"/>
        <v>0</v>
      </c>
      <c r="AS61" s="460">
        <f t="shared" si="73"/>
        <v>0</v>
      </c>
      <c r="AT61" s="460">
        <f t="shared" si="73"/>
        <v>0</v>
      </c>
      <c r="AU61" s="463">
        <f t="shared" si="15"/>
        <v>0</v>
      </c>
      <c r="AV61" s="460">
        <f t="shared" si="16"/>
        <v>0</v>
      </c>
      <c r="AW61" s="460">
        <f t="shared" si="17"/>
        <v>0</v>
      </c>
      <c r="AX61" s="460">
        <f t="shared" si="18"/>
        <v>0</v>
      </c>
      <c r="AY61" s="460">
        <f t="shared" si="19"/>
        <v>0</v>
      </c>
      <c r="AZ61" s="463">
        <f t="shared" si="20"/>
        <v>0</v>
      </c>
      <c r="BA61" s="482"/>
      <c r="BB61" s="482"/>
    </row>
    <row r="62" s="425" customFormat="1" ht="45" customHeight="1" spans="1:54">
      <c r="A62" s="459">
        <v>57</v>
      </c>
      <c r="B62" s="460" t="s">
        <v>880</v>
      </c>
      <c r="C62" s="460" t="s">
        <v>203</v>
      </c>
      <c r="D62" s="461" t="s">
        <v>262</v>
      </c>
      <c r="E62" s="461" t="s">
        <v>881</v>
      </c>
      <c r="F62" s="463">
        <f t="shared" si="6"/>
        <v>152.356</v>
      </c>
      <c r="G62" s="463">
        <f t="shared" si="7"/>
        <v>28.356</v>
      </c>
      <c r="H62" s="460">
        <v>14.4</v>
      </c>
      <c r="I62" s="460"/>
      <c r="J62" s="460">
        <v>13.956</v>
      </c>
      <c r="K62" s="460"/>
      <c r="L62" s="460"/>
      <c r="M62" s="460"/>
      <c r="N62" s="460"/>
      <c r="O62" s="459">
        <f t="shared" ref="O56:O71" si="74">SUM(P62:S62)</f>
        <v>8</v>
      </c>
      <c r="P62" s="460">
        <v>8</v>
      </c>
      <c r="Q62" s="460"/>
      <c r="R62" s="460"/>
      <c r="S62" s="460"/>
      <c r="T62" s="460"/>
      <c r="U62" s="463">
        <v>116</v>
      </c>
      <c r="V62" s="460" t="s">
        <v>838</v>
      </c>
      <c r="W62" s="461" t="s">
        <v>882</v>
      </c>
      <c r="X62" s="463">
        <f t="shared" si="9"/>
        <v>76.77</v>
      </c>
      <c r="Y62" s="463">
        <f t="shared" si="10"/>
        <v>-0.28</v>
      </c>
      <c r="Z62" s="460"/>
      <c r="AA62" s="460"/>
      <c r="AB62" s="460">
        <v>-0.28</v>
      </c>
      <c r="AC62" s="460"/>
      <c r="AD62" s="460"/>
      <c r="AE62" s="460"/>
      <c r="AF62" s="459">
        <f t="shared" si="11"/>
        <v>191.55</v>
      </c>
      <c r="AG62" s="460">
        <f>155.55+36</f>
        <v>191.55</v>
      </c>
      <c r="AH62" s="460"/>
      <c r="AI62" s="460"/>
      <c r="AJ62" s="460"/>
      <c r="AK62" s="460">
        <f>30+1.5-146</f>
        <v>-114.5</v>
      </c>
      <c r="AL62" s="460" t="s">
        <v>883</v>
      </c>
      <c r="AM62" s="463">
        <f t="shared" si="12"/>
        <v>229.126</v>
      </c>
      <c r="AN62" s="463">
        <f t="shared" si="13"/>
        <v>28.076</v>
      </c>
      <c r="AO62" s="460">
        <f t="shared" ref="AO62:AT62" si="75">H62+Z62</f>
        <v>14.4</v>
      </c>
      <c r="AP62" s="460">
        <f t="shared" si="75"/>
        <v>0</v>
      </c>
      <c r="AQ62" s="460">
        <f t="shared" si="75"/>
        <v>13.676</v>
      </c>
      <c r="AR62" s="460">
        <f t="shared" si="75"/>
        <v>0</v>
      </c>
      <c r="AS62" s="460">
        <f t="shared" si="75"/>
        <v>0</v>
      </c>
      <c r="AT62" s="460">
        <f t="shared" si="75"/>
        <v>0</v>
      </c>
      <c r="AU62" s="463">
        <f t="shared" si="15"/>
        <v>199.55</v>
      </c>
      <c r="AV62" s="460">
        <f t="shared" si="16"/>
        <v>199.55</v>
      </c>
      <c r="AW62" s="460">
        <f t="shared" si="17"/>
        <v>0</v>
      </c>
      <c r="AX62" s="460">
        <f t="shared" si="18"/>
        <v>0</v>
      </c>
      <c r="AY62" s="460">
        <f t="shared" si="19"/>
        <v>0</v>
      </c>
      <c r="AZ62" s="463">
        <f t="shared" si="20"/>
        <v>1.5</v>
      </c>
      <c r="BA62" s="482">
        <v>146</v>
      </c>
      <c r="BB62" s="482"/>
    </row>
    <row r="63" s="425" customFormat="1" ht="39" customHeight="1" spans="1:54">
      <c r="A63" s="459">
        <v>58</v>
      </c>
      <c r="B63" s="460" t="s">
        <v>880</v>
      </c>
      <c r="C63" s="460" t="s">
        <v>206</v>
      </c>
      <c r="D63" s="461" t="s">
        <v>266</v>
      </c>
      <c r="E63" s="461" t="s">
        <v>884</v>
      </c>
      <c r="F63" s="463">
        <f t="shared" si="6"/>
        <v>13.2</v>
      </c>
      <c r="G63" s="463">
        <f t="shared" si="7"/>
        <v>13.2</v>
      </c>
      <c r="H63" s="460">
        <v>13.2</v>
      </c>
      <c r="I63" s="460"/>
      <c r="J63" s="460"/>
      <c r="K63" s="460"/>
      <c r="L63" s="460"/>
      <c r="M63" s="460"/>
      <c r="N63" s="460"/>
      <c r="O63" s="459">
        <f t="shared" si="74"/>
        <v>0</v>
      </c>
      <c r="P63" s="460"/>
      <c r="Q63" s="460"/>
      <c r="R63" s="460"/>
      <c r="S63" s="460"/>
      <c r="T63" s="460"/>
      <c r="U63" s="463"/>
      <c r="V63" s="460"/>
      <c r="W63" s="461"/>
      <c r="X63" s="463">
        <f t="shared" si="9"/>
        <v>0</v>
      </c>
      <c r="Y63" s="463">
        <f t="shared" si="10"/>
        <v>0</v>
      </c>
      <c r="Z63" s="460"/>
      <c r="AA63" s="460"/>
      <c r="AB63" s="460"/>
      <c r="AC63" s="460"/>
      <c r="AD63" s="460"/>
      <c r="AE63" s="460"/>
      <c r="AF63" s="459">
        <f t="shared" si="11"/>
        <v>0</v>
      </c>
      <c r="AG63" s="460"/>
      <c r="AH63" s="460"/>
      <c r="AI63" s="460"/>
      <c r="AJ63" s="460"/>
      <c r="AK63" s="460"/>
      <c r="AL63" s="460"/>
      <c r="AM63" s="463">
        <f t="shared" si="12"/>
        <v>13.2</v>
      </c>
      <c r="AN63" s="463">
        <f t="shared" si="13"/>
        <v>13.2</v>
      </c>
      <c r="AO63" s="460">
        <f t="shared" ref="AO63:AT63" si="76">H63+Z63</f>
        <v>13.2</v>
      </c>
      <c r="AP63" s="460">
        <f t="shared" si="76"/>
        <v>0</v>
      </c>
      <c r="AQ63" s="460">
        <f t="shared" si="76"/>
        <v>0</v>
      </c>
      <c r="AR63" s="460">
        <f t="shared" si="76"/>
        <v>0</v>
      </c>
      <c r="AS63" s="460">
        <f t="shared" si="76"/>
        <v>0</v>
      </c>
      <c r="AT63" s="460">
        <f t="shared" si="76"/>
        <v>0</v>
      </c>
      <c r="AU63" s="463">
        <f t="shared" si="15"/>
        <v>0</v>
      </c>
      <c r="AV63" s="460">
        <f t="shared" si="16"/>
        <v>0</v>
      </c>
      <c r="AW63" s="460">
        <f t="shared" si="17"/>
        <v>0</v>
      </c>
      <c r="AX63" s="460">
        <f t="shared" si="18"/>
        <v>0</v>
      </c>
      <c r="AY63" s="460">
        <f t="shared" si="19"/>
        <v>0</v>
      </c>
      <c r="AZ63" s="463">
        <f t="shared" si="20"/>
        <v>0</v>
      </c>
      <c r="BA63" s="482"/>
      <c r="BB63" s="482"/>
    </row>
    <row r="64" s="425" customFormat="1" ht="39" customHeight="1" spans="1:54">
      <c r="A64" s="459">
        <v>59</v>
      </c>
      <c r="B64" s="460" t="s">
        <v>880</v>
      </c>
      <c r="C64" s="460" t="s">
        <v>206</v>
      </c>
      <c r="D64" s="461" t="s">
        <v>264</v>
      </c>
      <c r="E64" s="461" t="s">
        <v>884</v>
      </c>
      <c r="F64" s="463">
        <f t="shared" si="6"/>
        <v>23.6</v>
      </c>
      <c r="G64" s="463">
        <f t="shared" si="7"/>
        <v>5.6</v>
      </c>
      <c r="H64" s="460">
        <v>3.6</v>
      </c>
      <c r="I64" s="460">
        <v>2</v>
      </c>
      <c r="J64" s="460"/>
      <c r="K64" s="460"/>
      <c r="L64" s="460"/>
      <c r="M64" s="460"/>
      <c r="N64" s="460"/>
      <c r="O64" s="459">
        <f t="shared" si="74"/>
        <v>0</v>
      </c>
      <c r="P64" s="460"/>
      <c r="Q64" s="460"/>
      <c r="R64" s="460"/>
      <c r="S64" s="460"/>
      <c r="T64" s="460"/>
      <c r="U64" s="463">
        <v>18</v>
      </c>
      <c r="V64" s="460" t="s">
        <v>838</v>
      </c>
      <c r="W64" s="461" t="s">
        <v>885</v>
      </c>
      <c r="X64" s="463">
        <f t="shared" si="9"/>
        <v>1.52</v>
      </c>
      <c r="Y64" s="463">
        <f t="shared" si="10"/>
        <v>0</v>
      </c>
      <c r="Z64" s="460"/>
      <c r="AA64" s="460"/>
      <c r="AB64" s="460"/>
      <c r="AC64" s="460"/>
      <c r="AD64" s="460"/>
      <c r="AE64" s="460"/>
      <c r="AF64" s="459">
        <f t="shared" si="11"/>
        <v>1.52</v>
      </c>
      <c r="AG64" s="460">
        <v>1.52</v>
      </c>
      <c r="AH64" s="460"/>
      <c r="AI64" s="460"/>
      <c r="AJ64" s="460"/>
      <c r="AK64" s="460"/>
      <c r="AL64" s="460"/>
      <c r="AM64" s="463">
        <f t="shared" si="12"/>
        <v>25.12</v>
      </c>
      <c r="AN64" s="463">
        <f t="shared" si="13"/>
        <v>5.6</v>
      </c>
      <c r="AO64" s="460">
        <f t="shared" ref="AO64:AT64" si="77">H64+Z64</f>
        <v>3.6</v>
      </c>
      <c r="AP64" s="460">
        <f t="shared" si="77"/>
        <v>2</v>
      </c>
      <c r="AQ64" s="460">
        <f t="shared" si="77"/>
        <v>0</v>
      </c>
      <c r="AR64" s="460">
        <f t="shared" si="77"/>
        <v>0</v>
      </c>
      <c r="AS64" s="460">
        <f t="shared" si="77"/>
        <v>0</v>
      </c>
      <c r="AT64" s="460">
        <f t="shared" si="77"/>
        <v>0</v>
      </c>
      <c r="AU64" s="463">
        <f t="shared" si="15"/>
        <v>1.52</v>
      </c>
      <c r="AV64" s="460">
        <f t="shared" si="16"/>
        <v>1.52</v>
      </c>
      <c r="AW64" s="460">
        <f t="shared" si="17"/>
        <v>0</v>
      </c>
      <c r="AX64" s="460">
        <f t="shared" si="18"/>
        <v>0</v>
      </c>
      <c r="AY64" s="460">
        <f t="shared" si="19"/>
        <v>0</v>
      </c>
      <c r="AZ64" s="463">
        <f t="shared" si="20"/>
        <v>18</v>
      </c>
      <c r="BA64" s="482"/>
      <c r="BB64" s="482"/>
    </row>
    <row r="65" s="425" customFormat="1" ht="39" customHeight="1" spans="1:54">
      <c r="A65" s="459">
        <v>60</v>
      </c>
      <c r="B65" s="460" t="s">
        <v>880</v>
      </c>
      <c r="C65" s="460" t="s">
        <v>203</v>
      </c>
      <c r="D65" s="461" t="s">
        <v>307</v>
      </c>
      <c r="E65" s="461" t="s">
        <v>886</v>
      </c>
      <c r="F65" s="463">
        <f t="shared" si="6"/>
        <v>6.84</v>
      </c>
      <c r="G65" s="463">
        <f t="shared" si="7"/>
        <v>6.84</v>
      </c>
      <c r="H65" s="460">
        <v>3</v>
      </c>
      <c r="I65" s="460"/>
      <c r="J65" s="460">
        <v>3.84</v>
      </c>
      <c r="K65" s="460"/>
      <c r="L65" s="460"/>
      <c r="M65" s="460"/>
      <c r="N65" s="460"/>
      <c r="O65" s="459">
        <f t="shared" si="74"/>
        <v>0</v>
      </c>
      <c r="P65" s="460"/>
      <c r="Q65" s="460"/>
      <c r="R65" s="460"/>
      <c r="S65" s="460"/>
      <c r="T65" s="460"/>
      <c r="U65" s="463"/>
      <c r="V65" s="460" t="s">
        <v>838</v>
      </c>
      <c r="W65" s="461" t="s">
        <v>887</v>
      </c>
      <c r="X65" s="463">
        <f t="shared" si="9"/>
        <v>1.99</v>
      </c>
      <c r="Y65" s="463">
        <f t="shared" si="10"/>
        <v>0.53</v>
      </c>
      <c r="Z65" s="460"/>
      <c r="AA65" s="460"/>
      <c r="AB65" s="460">
        <v>0.53</v>
      </c>
      <c r="AC65" s="460"/>
      <c r="AD65" s="460"/>
      <c r="AE65" s="460"/>
      <c r="AF65" s="459">
        <f t="shared" si="11"/>
        <v>1.46</v>
      </c>
      <c r="AG65" s="460">
        <v>1.46</v>
      </c>
      <c r="AH65" s="460"/>
      <c r="AI65" s="460"/>
      <c r="AJ65" s="460"/>
      <c r="AK65" s="460"/>
      <c r="AL65" s="460"/>
      <c r="AM65" s="463">
        <f t="shared" si="12"/>
        <v>8.83</v>
      </c>
      <c r="AN65" s="463">
        <f t="shared" si="13"/>
        <v>7.37</v>
      </c>
      <c r="AO65" s="460">
        <f t="shared" ref="AO65:AT65" si="78">H65+Z65</f>
        <v>3</v>
      </c>
      <c r="AP65" s="460">
        <f t="shared" si="78"/>
        <v>0</v>
      </c>
      <c r="AQ65" s="460">
        <f t="shared" si="78"/>
        <v>4.37</v>
      </c>
      <c r="AR65" s="460">
        <f t="shared" si="78"/>
        <v>0</v>
      </c>
      <c r="AS65" s="460">
        <f t="shared" si="78"/>
        <v>0</v>
      </c>
      <c r="AT65" s="460">
        <f t="shared" si="78"/>
        <v>0</v>
      </c>
      <c r="AU65" s="463">
        <f t="shared" si="15"/>
        <v>1.46</v>
      </c>
      <c r="AV65" s="460">
        <f t="shared" si="16"/>
        <v>1.46</v>
      </c>
      <c r="AW65" s="460">
        <f t="shared" si="17"/>
        <v>0</v>
      </c>
      <c r="AX65" s="460">
        <f t="shared" si="18"/>
        <v>0</v>
      </c>
      <c r="AY65" s="460">
        <f t="shared" si="19"/>
        <v>0</v>
      </c>
      <c r="AZ65" s="463">
        <f t="shared" si="20"/>
        <v>0</v>
      </c>
      <c r="BA65" s="482"/>
      <c r="BB65" s="482"/>
    </row>
    <row r="66" s="425" customFormat="1" ht="39" customHeight="1" spans="1:54">
      <c r="A66" s="459">
        <v>61</v>
      </c>
      <c r="B66" s="460" t="s">
        <v>880</v>
      </c>
      <c r="C66" s="460" t="s">
        <v>206</v>
      </c>
      <c r="D66" s="461" t="s">
        <v>888</v>
      </c>
      <c r="E66" s="461" t="s">
        <v>886</v>
      </c>
      <c r="F66" s="463">
        <f t="shared" si="6"/>
        <v>3</v>
      </c>
      <c r="G66" s="463">
        <f t="shared" ref="G66:G74" si="79">SUM(H66:M66)</f>
        <v>3</v>
      </c>
      <c r="H66" s="460">
        <v>3</v>
      </c>
      <c r="I66" s="460"/>
      <c r="J66" s="460"/>
      <c r="K66" s="460"/>
      <c r="L66" s="460"/>
      <c r="M66" s="460"/>
      <c r="N66" s="460"/>
      <c r="O66" s="459">
        <f t="shared" si="74"/>
        <v>0</v>
      </c>
      <c r="P66" s="460"/>
      <c r="Q66" s="460"/>
      <c r="R66" s="460"/>
      <c r="S66" s="460"/>
      <c r="T66" s="460"/>
      <c r="U66" s="463"/>
      <c r="V66" s="460"/>
      <c r="W66" s="461"/>
      <c r="X66" s="463">
        <f t="shared" si="9"/>
        <v>0</v>
      </c>
      <c r="Y66" s="463">
        <f t="shared" si="10"/>
        <v>0</v>
      </c>
      <c r="Z66" s="460"/>
      <c r="AA66" s="460"/>
      <c r="AB66" s="460"/>
      <c r="AC66" s="460"/>
      <c r="AD66" s="460"/>
      <c r="AE66" s="460"/>
      <c r="AF66" s="459">
        <f t="shared" si="11"/>
        <v>0</v>
      </c>
      <c r="AG66" s="460"/>
      <c r="AH66" s="460"/>
      <c r="AI66" s="460"/>
      <c r="AJ66" s="460"/>
      <c r="AK66" s="460"/>
      <c r="AL66" s="460"/>
      <c r="AM66" s="463">
        <f t="shared" si="12"/>
        <v>3</v>
      </c>
      <c r="AN66" s="463">
        <f t="shared" si="13"/>
        <v>3</v>
      </c>
      <c r="AO66" s="460">
        <f t="shared" ref="AO66:AT66" si="80">H66+Z66</f>
        <v>3</v>
      </c>
      <c r="AP66" s="460">
        <f t="shared" si="80"/>
        <v>0</v>
      </c>
      <c r="AQ66" s="460">
        <f t="shared" si="80"/>
        <v>0</v>
      </c>
      <c r="AR66" s="460">
        <f t="shared" si="80"/>
        <v>0</v>
      </c>
      <c r="AS66" s="460">
        <f t="shared" si="80"/>
        <v>0</v>
      </c>
      <c r="AT66" s="460">
        <f t="shared" si="80"/>
        <v>0</v>
      </c>
      <c r="AU66" s="463">
        <f t="shared" si="15"/>
        <v>0</v>
      </c>
      <c r="AV66" s="460">
        <f t="shared" si="16"/>
        <v>0</v>
      </c>
      <c r="AW66" s="460">
        <f t="shared" si="17"/>
        <v>0</v>
      </c>
      <c r="AX66" s="460">
        <f t="shared" si="18"/>
        <v>0</v>
      </c>
      <c r="AY66" s="460">
        <f t="shared" si="19"/>
        <v>0</v>
      </c>
      <c r="AZ66" s="463">
        <f t="shared" si="20"/>
        <v>0</v>
      </c>
      <c r="BA66" s="482"/>
      <c r="BB66" s="482"/>
    </row>
    <row r="67" s="425" customFormat="1" ht="39" customHeight="1" spans="1:54">
      <c r="A67" s="459">
        <v>62</v>
      </c>
      <c r="B67" s="460" t="s">
        <v>880</v>
      </c>
      <c r="C67" s="460" t="s">
        <v>206</v>
      </c>
      <c r="D67" s="461" t="s">
        <v>310</v>
      </c>
      <c r="E67" s="461" t="s">
        <v>886</v>
      </c>
      <c r="F67" s="463">
        <f t="shared" si="6"/>
        <v>2.4</v>
      </c>
      <c r="G67" s="463">
        <f t="shared" si="79"/>
        <v>2.4</v>
      </c>
      <c r="H67" s="460">
        <v>2.4</v>
      </c>
      <c r="I67" s="460"/>
      <c r="J67" s="460"/>
      <c r="K67" s="460"/>
      <c r="L67" s="460"/>
      <c r="M67" s="460"/>
      <c r="N67" s="460"/>
      <c r="O67" s="459">
        <f t="shared" si="74"/>
        <v>0</v>
      </c>
      <c r="P67" s="460"/>
      <c r="Q67" s="460"/>
      <c r="R67" s="460"/>
      <c r="S67" s="460"/>
      <c r="T67" s="460"/>
      <c r="U67" s="463"/>
      <c r="V67" s="460"/>
      <c r="W67" s="461"/>
      <c r="X67" s="463">
        <f t="shared" si="9"/>
        <v>0</v>
      </c>
      <c r="Y67" s="463">
        <f t="shared" si="10"/>
        <v>0</v>
      </c>
      <c r="Z67" s="460"/>
      <c r="AA67" s="460"/>
      <c r="AB67" s="460"/>
      <c r="AC67" s="460"/>
      <c r="AD67" s="460"/>
      <c r="AE67" s="460"/>
      <c r="AF67" s="459">
        <f t="shared" si="11"/>
        <v>0</v>
      </c>
      <c r="AG67" s="460"/>
      <c r="AH67" s="460"/>
      <c r="AI67" s="460"/>
      <c r="AJ67" s="460"/>
      <c r="AK67" s="460"/>
      <c r="AL67" s="460"/>
      <c r="AM67" s="463">
        <f t="shared" si="12"/>
        <v>2.4</v>
      </c>
      <c r="AN67" s="463">
        <f t="shared" si="13"/>
        <v>2.4</v>
      </c>
      <c r="AO67" s="460">
        <f t="shared" ref="AO67:AT67" si="81">H67+Z67</f>
        <v>2.4</v>
      </c>
      <c r="AP67" s="460">
        <f t="shared" si="81"/>
        <v>0</v>
      </c>
      <c r="AQ67" s="460">
        <f t="shared" si="81"/>
        <v>0</v>
      </c>
      <c r="AR67" s="460">
        <f t="shared" si="81"/>
        <v>0</v>
      </c>
      <c r="AS67" s="460">
        <f t="shared" si="81"/>
        <v>0</v>
      </c>
      <c r="AT67" s="460">
        <f t="shared" si="81"/>
        <v>0</v>
      </c>
      <c r="AU67" s="463">
        <f t="shared" si="15"/>
        <v>0</v>
      </c>
      <c r="AV67" s="460">
        <f t="shared" si="16"/>
        <v>0</v>
      </c>
      <c r="AW67" s="460">
        <f t="shared" si="17"/>
        <v>0</v>
      </c>
      <c r="AX67" s="460">
        <f t="shared" si="18"/>
        <v>0</v>
      </c>
      <c r="AY67" s="460">
        <f t="shared" si="19"/>
        <v>0</v>
      </c>
      <c r="AZ67" s="463">
        <f t="shared" si="20"/>
        <v>0</v>
      </c>
      <c r="BA67" s="482"/>
      <c r="BB67" s="482"/>
    </row>
    <row r="68" s="425" customFormat="1" ht="39" customHeight="1" spans="1:54">
      <c r="A68" s="459">
        <v>63</v>
      </c>
      <c r="B68" s="460" t="s">
        <v>880</v>
      </c>
      <c r="C68" s="460" t="s">
        <v>203</v>
      </c>
      <c r="D68" s="461" t="s">
        <v>298</v>
      </c>
      <c r="E68" s="461" t="s">
        <v>886</v>
      </c>
      <c r="F68" s="463">
        <f t="shared" si="6"/>
        <v>21.18</v>
      </c>
      <c r="G68" s="463">
        <f t="shared" si="79"/>
        <v>21.18</v>
      </c>
      <c r="H68" s="460">
        <v>10.2</v>
      </c>
      <c r="I68" s="460"/>
      <c r="J68" s="460">
        <v>10.98</v>
      </c>
      <c r="K68" s="460"/>
      <c r="L68" s="460"/>
      <c r="M68" s="460"/>
      <c r="N68" s="460"/>
      <c r="O68" s="459">
        <f t="shared" si="74"/>
        <v>0</v>
      </c>
      <c r="P68" s="460"/>
      <c r="Q68" s="460"/>
      <c r="R68" s="460"/>
      <c r="S68" s="460"/>
      <c r="T68" s="460"/>
      <c r="U68" s="463"/>
      <c r="V68" s="460"/>
      <c r="W68" s="461"/>
      <c r="X68" s="463">
        <f t="shared" si="9"/>
        <v>41.08</v>
      </c>
      <c r="Y68" s="463">
        <f t="shared" si="10"/>
        <v>-3.05</v>
      </c>
      <c r="Z68" s="460"/>
      <c r="AA68" s="460"/>
      <c r="AB68" s="460">
        <v>-3.05</v>
      </c>
      <c r="AC68" s="460"/>
      <c r="AD68" s="460"/>
      <c r="AE68" s="460"/>
      <c r="AF68" s="459">
        <f t="shared" si="11"/>
        <v>44.13</v>
      </c>
      <c r="AG68" s="460">
        <f>20.13+24</f>
        <v>44.13</v>
      </c>
      <c r="AH68" s="460"/>
      <c r="AI68" s="460"/>
      <c r="AJ68" s="460"/>
      <c r="AK68" s="460"/>
      <c r="AL68" s="460"/>
      <c r="AM68" s="463">
        <f t="shared" si="12"/>
        <v>62.26</v>
      </c>
      <c r="AN68" s="463">
        <f t="shared" si="13"/>
        <v>18.13</v>
      </c>
      <c r="AO68" s="460">
        <f t="shared" ref="AO68:AT68" si="82">H68+Z68</f>
        <v>10.2</v>
      </c>
      <c r="AP68" s="460">
        <f t="shared" si="82"/>
        <v>0</v>
      </c>
      <c r="AQ68" s="460">
        <f t="shared" si="82"/>
        <v>7.93</v>
      </c>
      <c r="AR68" s="460">
        <f t="shared" si="82"/>
        <v>0</v>
      </c>
      <c r="AS68" s="460">
        <f t="shared" si="82"/>
        <v>0</v>
      </c>
      <c r="AT68" s="460">
        <f t="shared" si="82"/>
        <v>0</v>
      </c>
      <c r="AU68" s="463">
        <f t="shared" si="15"/>
        <v>44.13</v>
      </c>
      <c r="AV68" s="460">
        <f t="shared" si="16"/>
        <v>44.13</v>
      </c>
      <c r="AW68" s="460">
        <f t="shared" si="17"/>
        <v>0</v>
      </c>
      <c r="AX68" s="460">
        <f t="shared" si="18"/>
        <v>0</v>
      </c>
      <c r="AY68" s="460">
        <f t="shared" si="19"/>
        <v>0</v>
      </c>
      <c r="AZ68" s="463">
        <f t="shared" si="20"/>
        <v>0</v>
      </c>
      <c r="BA68" s="482"/>
      <c r="BB68" s="482"/>
    </row>
    <row r="69" s="425" customFormat="1" ht="39" customHeight="1" spans="1:54">
      <c r="A69" s="459">
        <v>64</v>
      </c>
      <c r="B69" s="460" t="s">
        <v>880</v>
      </c>
      <c r="C69" s="460" t="s">
        <v>206</v>
      </c>
      <c r="D69" s="461" t="s">
        <v>302</v>
      </c>
      <c r="E69" s="461" t="s">
        <v>886</v>
      </c>
      <c r="F69" s="463">
        <f t="shared" si="6"/>
        <v>3.6</v>
      </c>
      <c r="G69" s="463">
        <f t="shared" si="79"/>
        <v>3.6</v>
      </c>
      <c r="H69" s="460">
        <v>3.6</v>
      </c>
      <c r="I69" s="460"/>
      <c r="J69" s="460"/>
      <c r="K69" s="460"/>
      <c r="L69" s="460"/>
      <c r="M69" s="460"/>
      <c r="N69" s="460"/>
      <c r="O69" s="459">
        <f t="shared" si="74"/>
        <v>0</v>
      </c>
      <c r="P69" s="460"/>
      <c r="Q69" s="460"/>
      <c r="R69" s="460"/>
      <c r="S69" s="460"/>
      <c r="T69" s="460"/>
      <c r="U69" s="463"/>
      <c r="V69" s="460"/>
      <c r="W69" s="460"/>
      <c r="X69" s="463">
        <f t="shared" si="9"/>
        <v>0</v>
      </c>
      <c r="Y69" s="463">
        <f t="shared" si="10"/>
        <v>0</v>
      </c>
      <c r="Z69" s="460"/>
      <c r="AA69" s="460"/>
      <c r="AB69" s="460"/>
      <c r="AC69" s="460"/>
      <c r="AD69" s="460"/>
      <c r="AE69" s="460"/>
      <c r="AF69" s="459">
        <f t="shared" si="11"/>
        <v>0</v>
      </c>
      <c r="AG69" s="460"/>
      <c r="AH69" s="460"/>
      <c r="AI69" s="460"/>
      <c r="AJ69" s="460"/>
      <c r="AK69" s="460"/>
      <c r="AL69" s="460"/>
      <c r="AM69" s="463">
        <f t="shared" si="12"/>
        <v>3.6</v>
      </c>
      <c r="AN69" s="463">
        <f t="shared" si="13"/>
        <v>3.6</v>
      </c>
      <c r="AO69" s="460">
        <f t="shared" ref="AO69:AT69" si="83">H69+Z69</f>
        <v>3.6</v>
      </c>
      <c r="AP69" s="460">
        <f t="shared" si="83"/>
        <v>0</v>
      </c>
      <c r="AQ69" s="460">
        <f t="shared" si="83"/>
        <v>0</v>
      </c>
      <c r="AR69" s="460">
        <f t="shared" si="83"/>
        <v>0</v>
      </c>
      <c r="AS69" s="460">
        <f t="shared" si="83"/>
        <v>0</v>
      </c>
      <c r="AT69" s="460">
        <f t="shared" si="83"/>
        <v>0</v>
      </c>
      <c r="AU69" s="463">
        <f t="shared" si="15"/>
        <v>0</v>
      </c>
      <c r="AV69" s="460">
        <f t="shared" si="16"/>
        <v>0</v>
      </c>
      <c r="AW69" s="460">
        <f t="shared" si="17"/>
        <v>0</v>
      </c>
      <c r="AX69" s="460">
        <f t="shared" si="18"/>
        <v>0</v>
      </c>
      <c r="AY69" s="460">
        <f t="shared" si="19"/>
        <v>0</v>
      </c>
      <c r="AZ69" s="463">
        <f t="shared" si="20"/>
        <v>0</v>
      </c>
      <c r="BA69" s="482"/>
      <c r="BB69" s="482"/>
    </row>
    <row r="70" s="425" customFormat="1" ht="39" customHeight="1" spans="1:54">
      <c r="A70" s="459">
        <v>65</v>
      </c>
      <c r="B70" s="460" t="s">
        <v>880</v>
      </c>
      <c r="C70" s="460" t="s">
        <v>206</v>
      </c>
      <c r="D70" s="461" t="s">
        <v>303</v>
      </c>
      <c r="E70" s="461" t="s">
        <v>886</v>
      </c>
      <c r="F70" s="463">
        <f t="shared" si="6"/>
        <v>1.8</v>
      </c>
      <c r="G70" s="463">
        <f t="shared" si="79"/>
        <v>1.8</v>
      </c>
      <c r="H70" s="460">
        <v>1.8</v>
      </c>
      <c r="I70" s="460"/>
      <c r="J70" s="460"/>
      <c r="K70" s="460"/>
      <c r="L70" s="460"/>
      <c r="M70" s="460"/>
      <c r="N70" s="460"/>
      <c r="O70" s="459">
        <f t="shared" si="74"/>
        <v>0</v>
      </c>
      <c r="P70" s="460"/>
      <c r="Q70" s="460"/>
      <c r="R70" s="460"/>
      <c r="S70" s="460"/>
      <c r="T70" s="460"/>
      <c r="U70" s="463"/>
      <c r="V70" s="460"/>
      <c r="W70" s="460"/>
      <c r="X70" s="463">
        <f t="shared" si="9"/>
        <v>0</v>
      </c>
      <c r="Y70" s="463">
        <f t="shared" si="10"/>
        <v>0</v>
      </c>
      <c r="Z70" s="460"/>
      <c r="AA70" s="460"/>
      <c r="AB70" s="460"/>
      <c r="AC70" s="460"/>
      <c r="AD70" s="460"/>
      <c r="AE70" s="460"/>
      <c r="AF70" s="459">
        <f t="shared" si="11"/>
        <v>0</v>
      </c>
      <c r="AG70" s="460"/>
      <c r="AH70" s="460"/>
      <c r="AI70" s="460"/>
      <c r="AJ70" s="460"/>
      <c r="AK70" s="460"/>
      <c r="AL70" s="460"/>
      <c r="AM70" s="463">
        <f t="shared" si="12"/>
        <v>1.8</v>
      </c>
      <c r="AN70" s="463">
        <f t="shared" si="13"/>
        <v>1.8</v>
      </c>
      <c r="AO70" s="460">
        <f t="shared" ref="AO70:AT70" si="84">H70+Z70</f>
        <v>1.8</v>
      </c>
      <c r="AP70" s="460">
        <f t="shared" si="84"/>
        <v>0</v>
      </c>
      <c r="AQ70" s="460">
        <f t="shared" si="84"/>
        <v>0</v>
      </c>
      <c r="AR70" s="460">
        <f t="shared" si="84"/>
        <v>0</v>
      </c>
      <c r="AS70" s="460">
        <f t="shared" si="84"/>
        <v>0</v>
      </c>
      <c r="AT70" s="460">
        <f t="shared" si="84"/>
        <v>0</v>
      </c>
      <c r="AU70" s="463">
        <f t="shared" si="15"/>
        <v>0</v>
      </c>
      <c r="AV70" s="460">
        <f t="shared" si="16"/>
        <v>0</v>
      </c>
      <c r="AW70" s="460">
        <f t="shared" si="17"/>
        <v>0</v>
      </c>
      <c r="AX70" s="460">
        <f t="shared" si="18"/>
        <v>0</v>
      </c>
      <c r="AY70" s="460">
        <f t="shared" si="19"/>
        <v>0</v>
      </c>
      <c r="AZ70" s="463">
        <f t="shared" si="20"/>
        <v>0</v>
      </c>
      <c r="BA70" s="482"/>
      <c r="BB70" s="482"/>
    </row>
    <row r="71" s="425" customFormat="1" ht="39" customHeight="1" spans="1:54">
      <c r="A71" s="459">
        <v>66</v>
      </c>
      <c r="B71" s="460" t="s">
        <v>889</v>
      </c>
      <c r="C71" s="460" t="s">
        <v>203</v>
      </c>
      <c r="D71" s="461" t="s">
        <v>890</v>
      </c>
      <c r="E71" s="461" t="s">
        <v>891</v>
      </c>
      <c r="F71" s="463">
        <f t="shared" si="6"/>
        <v>10</v>
      </c>
      <c r="G71" s="463">
        <f t="shared" si="79"/>
        <v>10</v>
      </c>
      <c r="H71" s="460"/>
      <c r="I71" s="460"/>
      <c r="J71" s="460"/>
      <c r="K71" s="460"/>
      <c r="L71" s="460"/>
      <c r="M71" s="460">
        <v>10</v>
      </c>
      <c r="N71" s="460" t="s">
        <v>825</v>
      </c>
      <c r="O71" s="459">
        <f t="shared" si="74"/>
        <v>0</v>
      </c>
      <c r="P71" s="460"/>
      <c r="Q71" s="460"/>
      <c r="R71" s="460"/>
      <c r="S71" s="460"/>
      <c r="T71" s="460"/>
      <c r="U71" s="463"/>
      <c r="V71" s="460"/>
      <c r="W71" s="460"/>
      <c r="X71" s="463">
        <f t="shared" si="9"/>
        <v>0</v>
      </c>
      <c r="Y71" s="463">
        <f t="shared" si="10"/>
        <v>0</v>
      </c>
      <c r="Z71" s="460"/>
      <c r="AA71" s="460"/>
      <c r="AB71" s="460"/>
      <c r="AC71" s="460"/>
      <c r="AD71" s="460"/>
      <c r="AE71" s="460"/>
      <c r="AF71" s="459">
        <f t="shared" si="11"/>
        <v>0</v>
      </c>
      <c r="AG71" s="460"/>
      <c r="AH71" s="460"/>
      <c r="AI71" s="460"/>
      <c r="AJ71" s="460"/>
      <c r="AK71" s="460"/>
      <c r="AL71" s="460"/>
      <c r="AM71" s="463">
        <f t="shared" si="12"/>
        <v>10</v>
      </c>
      <c r="AN71" s="463">
        <f t="shared" si="13"/>
        <v>10</v>
      </c>
      <c r="AO71" s="460">
        <f t="shared" ref="AO71:AT71" si="85">H71+Z71</f>
        <v>0</v>
      </c>
      <c r="AP71" s="460">
        <f t="shared" si="85"/>
        <v>0</v>
      </c>
      <c r="AQ71" s="460">
        <f t="shared" si="85"/>
        <v>0</v>
      </c>
      <c r="AR71" s="460">
        <f t="shared" si="85"/>
        <v>0</v>
      </c>
      <c r="AS71" s="460">
        <f t="shared" si="85"/>
        <v>0</v>
      </c>
      <c r="AT71" s="460">
        <f t="shared" si="85"/>
        <v>10</v>
      </c>
      <c r="AU71" s="463">
        <f t="shared" si="15"/>
        <v>0</v>
      </c>
      <c r="AV71" s="460">
        <f t="shared" si="16"/>
        <v>0</v>
      </c>
      <c r="AW71" s="460">
        <f t="shared" si="17"/>
        <v>0</v>
      </c>
      <c r="AX71" s="460">
        <f t="shared" si="18"/>
        <v>0</v>
      </c>
      <c r="AY71" s="460">
        <f t="shared" si="19"/>
        <v>0</v>
      </c>
      <c r="AZ71" s="463">
        <f t="shared" si="20"/>
        <v>0</v>
      </c>
      <c r="BA71" s="482"/>
      <c r="BB71" s="482"/>
    </row>
    <row r="72" s="425" customFormat="1" ht="39" customHeight="1" spans="1:54">
      <c r="A72" s="459">
        <v>67</v>
      </c>
      <c r="B72" s="460" t="s">
        <v>889</v>
      </c>
      <c r="C72" s="460" t="s">
        <v>203</v>
      </c>
      <c r="D72" s="461" t="s">
        <v>338</v>
      </c>
      <c r="E72" s="461" t="s">
        <v>892</v>
      </c>
      <c r="F72" s="463">
        <f>G72+O72+U72</f>
        <v>244.4</v>
      </c>
      <c r="G72" s="463">
        <f t="shared" si="79"/>
        <v>5.4</v>
      </c>
      <c r="H72" s="460">
        <v>2.4</v>
      </c>
      <c r="I72" s="460"/>
      <c r="J72" s="460">
        <v>3</v>
      </c>
      <c r="K72" s="460"/>
      <c r="L72" s="460"/>
      <c r="M72" s="460"/>
      <c r="N72" s="460"/>
      <c r="O72" s="459">
        <f t="shared" ref="O72:O78" si="86">SUM(P72:S72)</f>
        <v>0</v>
      </c>
      <c r="P72" s="460"/>
      <c r="Q72" s="460"/>
      <c r="R72" s="460"/>
      <c r="S72" s="460"/>
      <c r="T72" s="460"/>
      <c r="U72" s="463">
        <v>239</v>
      </c>
      <c r="V72" s="460" t="s">
        <v>838</v>
      </c>
      <c r="W72" s="460" t="s">
        <v>893</v>
      </c>
      <c r="X72" s="463">
        <f>Y72+AF72+AK72</f>
        <v>0.27</v>
      </c>
      <c r="Y72" s="463">
        <f>SUM(Z72:AE72)</f>
        <v>0</v>
      </c>
      <c r="Z72" s="460"/>
      <c r="AA72" s="460"/>
      <c r="AB72" s="460"/>
      <c r="AC72" s="460"/>
      <c r="AD72" s="460"/>
      <c r="AE72" s="460"/>
      <c r="AF72" s="459">
        <f>SUM(AG72:AJ72)</f>
        <v>0.27</v>
      </c>
      <c r="AG72" s="460">
        <v>0.27</v>
      </c>
      <c r="AH72" s="460"/>
      <c r="AI72" s="460"/>
      <c r="AJ72" s="460"/>
      <c r="AK72" s="460"/>
      <c r="AL72" s="460"/>
      <c r="AM72" s="463">
        <f>AN72+AU72+AZ72</f>
        <v>244.67</v>
      </c>
      <c r="AN72" s="463">
        <f>SUM(AO72:AT72)</f>
        <v>5.4</v>
      </c>
      <c r="AO72" s="460">
        <f t="shared" ref="AO72:AT72" si="87">H72+Z72</f>
        <v>2.4</v>
      </c>
      <c r="AP72" s="460">
        <f t="shared" si="87"/>
        <v>0</v>
      </c>
      <c r="AQ72" s="460">
        <f t="shared" si="87"/>
        <v>3</v>
      </c>
      <c r="AR72" s="460">
        <f t="shared" si="87"/>
        <v>0</v>
      </c>
      <c r="AS72" s="460">
        <f t="shared" si="87"/>
        <v>0</v>
      </c>
      <c r="AT72" s="460">
        <f t="shared" si="87"/>
        <v>0</v>
      </c>
      <c r="AU72" s="463">
        <f>SUM(AV72:AY72)</f>
        <v>0.27</v>
      </c>
      <c r="AV72" s="460">
        <f t="shared" ref="AV72:AV135" si="88">P72+AG72</f>
        <v>0.27</v>
      </c>
      <c r="AW72" s="460">
        <f t="shared" ref="AW72:AW135" si="89">Q72+AH72</f>
        <v>0</v>
      </c>
      <c r="AX72" s="460">
        <f>R72+AI72</f>
        <v>0</v>
      </c>
      <c r="AY72" s="460">
        <f>S72+AJ72</f>
        <v>0</v>
      </c>
      <c r="AZ72" s="463">
        <f>U72+AK72</f>
        <v>239</v>
      </c>
      <c r="BA72" s="482"/>
      <c r="BB72" s="482"/>
    </row>
    <row r="73" s="425" customFormat="1" ht="39" customHeight="1" spans="1:54">
      <c r="A73" s="459">
        <v>68</v>
      </c>
      <c r="B73" s="460" t="s">
        <v>889</v>
      </c>
      <c r="C73" s="460" t="s">
        <v>206</v>
      </c>
      <c r="D73" s="461" t="s">
        <v>345</v>
      </c>
      <c r="E73" s="461" t="s">
        <v>894</v>
      </c>
      <c r="F73" s="463">
        <f t="shared" ref="F73:F104" si="90">G73+O73+U73</f>
        <v>2.4</v>
      </c>
      <c r="G73" s="463">
        <f t="shared" si="79"/>
        <v>2.4</v>
      </c>
      <c r="H73" s="460">
        <v>2.4</v>
      </c>
      <c r="I73" s="460"/>
      <c r="J73" s="460"/>
      <c r="K73" s="460"/>
      <c r="L73" s="460"/>
      <c r="M73" s="460"/>
      <c r="N73" s="460"/>
      <c r="O73" s="459">
        <f t="shared" si="86"/>
        <v>0</v>
      </c>
      <c r="P73" s="460"/>
      <c r="Q73" s="460"/>
      <c r="R73" s="460"/>
      <c r="S73" s="460"/>
      <c r="T73" s="460"/>
      <c r="U73" s="463"/>
      <c r="V73" s="460"/>
      <c r="W73" s="460"/>
      <c r="X73" s="463">
        <f t="shared" ref="X73:X104" si="91">Y73+AF73+AK73</f>
        <v>0</v>
      </c>
      <c r="Y73" s="463">
        <f t="shared" ref="Y73:Y104" si="92">SUM(Z73:AE73)</f>
        <v>0</v>
      </c>
      <c r="Z73" s="460"/>
      <c r="AA73" s="460"/>
      <c r="AB73" s="460"/>
      <c r="AC73" s="460"/>
      <c r="AD73" s="460"/>
      <c r="AE73" s="460"/>
      <c r="AF73" s="459">
        <f t="shared" ref="AF73:AF104" si="93">SUM(AG73:AJ73)</f>
        <v>0</v>
      </c>
      <c r="AG73" s="460"/>
      <c r="AH73" s="460"/>
      <c r="AI73" s="460"/>
      <c r="AJ73" s="460"/>
      <c r="AK73" s="460"/>
      <c r="AL73" s="460"/>
      <c r="AM73" s="463">
        <f t="shared" ref="AM73:AM136" si="94">AN73+AU73+AZ73</f>
        <v>2.4</v>
      </c>
      <c r="AN73" s="463">
        <f t="shared" ref="AN73:AN136" si="95">SUM(AO73:AT73)</f>
        <v>2.4</v>
      </c>
      <c r="AO73" s="460">
        <f t="shared" ref="AO73:AO136" si="96">H73+Z73</f>
        <v>2.4</v>
      </c>
      <c r="AP73" s="460">
        <f t="shared" ref="AP73:AP136" si="97">I73+AA73</f>
        <v>0</v>
      </c>
      <c r="AQ73" s="460">
        <f t="shared" ref="AQ73:AQ136" si="98">J73+AB73</f>
        <v>0</v>
      </c>
      <c r="AR73" s="460">
        <f t="shared" ref="AR73:AR136" si="99">K73+AC73</f>
        <v>0</v>
      </c>
      <c r="AS73" s="460">
        <f t="shared" ref="AS73:AS136" si="100">L73+AD73</f>
        <v>0</v>
      </c>
      <c r="AT73" s="460">
        <f t="shared" ref="AT73:AT136" si="101">M73+AE73</f>
        <v>0</v>
      </c>
      <c r="AU73" s="463">
        <f t="shared" ref="AU73:AU136" si="102">SUM(AV73:AY73)</f>
        <v>0</v>
      </c>
      <c r="AV73" s="460">
        <f t="shared" si="88"/>
        <v>0</v>
      </c>
      <c r="AW73" s="460">
        <f t="shared" si="89"/>
        <v>0</v>
      </c>
      <c r="AX73" s="460">
        <f t="shared" ref="AX73:AX136" si="103">R73+AI73</f>
        <v>0</v>
      </c>
      <c r="AY73" s="460">
        <f t="shared" ref="AY73:AY136" si="104">S73+AJ73</f>
        <v>0</v>
      </c>
      <c r="AZ73" s="463">
        <f t="shared" ref="AZ73:AZ136" si="105">U73+AK73</f>
        <v>0</v>
      </c>
      <c r="BA73" s="482"/>
      <c r="BB73" s="482"/>
    </row>
    <row r="74" s="425" customFormat="1" ht="39" customHeight="1" spans="1:54">
      <c r="A74" s="459">
        <v>69</v>
      </c>
      <c r="B74" s="460" t="s">
        <v>889</v>
      </c>
      <c r="C74" s="460" t="s">
        <v>206</v>
      </c>
      <c r="D74" s="461" t="s">
        <v>346</v>
      </c>
      <c r="E74" s="461" t="s">
        <v>894</v>
      </c>
      <c r="F74" s="463">
        <f t="shared" si="90"/>
        <v>1.8</v>
      </c>
      <c r="G74" s="463">
        <f t="shared" si="79"/>
        <v>1.8</v>
      </c>
      <c r="H74" s="460">
        <v>1.8</v>
      </c>
      <c r="I74" s="460"/>
      <c r="J74" s="460"/>
      <c r="K74" s="460"/>
      <c r="L74" s="460"/>
      <c r="M74" s="460"/>
      <c r="N74" s="460"/>
      <c r="O74" s="459">
        <f t="shared" si="86"/>
        <v>0</v>
      </c>
      <c r="P74" s="460"/>
      <c r="Q74" s="460"/>
      <c r="R74" s="460"/>
      <c r="S74" s="460"/>
      <c r="T74" s="460"/>
      <c r="U74" s="463"/>
      <c r="V74" s="460"/>
      <c r="W74" s="460"/>
      <c r="X74" s="463">
        <f t="shared" si="91"/>
        <v>0</v>
      </c>
      <c r="Y74" s="463">
        <f t="shared" si="92"/>
        <v>0</v>
      </c>
      <c r="Z74" s="460"/>
      <c r="AA74" s="460"/>
      <c r="AB74" s="460"/>
      <c r="AC74" s="460"/>
      <c r="AD74" s="460"/>
      <c r="AE74" s="460"/>
      <c r="AF74" s="459">
        <f t="shared" si="93"/>
        <v>0</v>
      </c>
      <c r="AG74" s="460"/>
      <c r="AH74" s="460"/>
      <c r="AI74" s="460"/>
      <c r="AJ74" s="460"/>
      <c r="AK74" s="460"/>
      <c r="AL74" s="460"/>
      <c r="AM74" s="463">
        <f t="shared" si="94"/>
        <v>1.8</v>
      </c>
      <c r="AN74" s="463">
        <f t="shared" si="95"/>
        <v>1.8</v>
      </c>
      <c r="AO74" s="460">
        <f t="shared" si="96"/>
        <v>1.8</v>
      </c>
      <c r="AP74" s="460">
        <f t="shared" si="97"/>
        <v>0</v>
      </c>
      <c r="AQ74" s="460">
        <f t="shared" si="98"/>
        <v>0</v>
      </c>
      <c r="AR74" s="460">
        <f t="shared" si="99"/>
        <v>0</v>
      </c>
      <c r="AS74" s="460">
        <f t="shared" si="100"/>
        <v>0</v>
      </c>
      <c r="AT74" s="460">
        <f t="shared" si="101"/>
        <v>0</v>
      </c>
      <c r="AU74" s="463">
        <f t="shared" si="102"/>
        <v>0</v>
      </c>
      <c r="AV74" s="460">
        <f t="shared" si="88"/>
        <v>0</v>
      </c>
      <c r="AW74" s="460">
        <f t="shared" si="89"/>
        <v>0</v>
      </c>
      <c r="AX74" s="460">
        <f t="shared" si="103"/>
        <v>0</v>
      </c>
      <c r="AY74" s="460">
        <f t="shared" si="104"/>
        <v>0</v>
      </c>
      <c r="AZ74" s="463">
        <f t="shared" si="105"/>
        <v>0</v>
      </c>
      <c r="BA74" s="482"/>
      <c r="BB74" s="482"/>
    </row>
    <row r="75" s="425" customFormat="1" ht="39" customHeight="1" spans="1:54">
      <c r="A75" s="459">
        <v>70</v>
      </c>
      <c r="B75" s="460" t="s">
        <v>889</v>
      </c>
      <c r="C75" s="460" t="s">
        <v>203</v>
      </c>
      <c r="D75" s="461" t="s">
        <v>364</v>
      </c>
      <c r="E75" s="461" t="s">
        <v>895</v>
      </c>
      <c r="F75" s="463">
        <f t="shared" si="90"/>
        <v>106.78</v>
      </c>
      <c r="G75" s="463">
        <f t="shared" ref="G75:G106" si="106">SUM(H75:M75)</f>
        <v>106.78</v>
      </c>
      <c r="H75" s="460">
        <v>3</v>
      </c>
      <c r="I75" s="460"/>
      <c r="J75" s="460">
        <v>3.78</v>
      </c>
      <c r="K75" s="460"/>
      <c r="L75" s="460"/>
      <c r="M75" s="460">
        <v>100</v>
      </c>
      <c r="N75" s="460" t="s">
        <v>896</v>
      </c>
      <c r="O75" s="459">
        <f t="shared" si="86"/>
        <v>0</v>
      </c>
      <c r="P75" s="460"/>
      <c r="Q75" s="460"/>
      <c r="R75" s="460"/>
      <c r="S75" s="460"/>
      <c r="T75" s="460"/>
      <c r="U75" s="463"/>
      <c r="V75" s="460"/>
      <c r="W75" s="460"/>
      <c r="X75" s="463">
        <f t="shared" si="91"/>
        <v>-83.72</v>
      </c>
      <c r="Y75" s="463">
        <f t="shared" si="92"/>
        <v>-98.72</v>
      </c>
      <c r="Z75" s="460"/>
      <c r="AA75" s="460"/>
      <c r="AB75" s="460">
        <v>-0.72</v>
      </c>
      <c r="AC75" s="460"/>
      <c r="AD75" s="460"/>
      <c r="AE75" s="471">
        <v>-98</v>
      </c>
      <c r="AF75" s="459">
        <f t="shared" si="93"/>
        <v>0</v>
      </c>
      <c r="AG75" s="460"/>
      <c r="AH75" s="460"/>
      <c r="AI75" s="460"/>
      <c r="AJ75" s="460"/>
      <c r="AK75" s="460">
        <v>15</v>
      </c>
      <c r="AL75" s="460" t="s">
        <v>897</v>
      </c>
      <c r="AM75" s="463">
        <f t="shared" si="94"/>
        <v>23.06</v>
      </c>
      <c r="AN75" s="463">
        <f t="shared" si="95"/>
        <v>8.06</v>
      </c>
      <c r="AO75" s="460">
        <f t="shared" si="96"/>
        <v>3</v>
      </c>
      <c r="AP75" s="460">
        <f t="shared" si="97"/>
        <v>0</v>
      </c>
      <c r="AQ75" s="460">
        <f t="shared" si="98"/>
        <v>3.06</v>
      </c>
      <c r="AR75" s="460">
        <f t="shared" si="99"/>
        <v>0</v>
      </c>
      <c r="AS75" s="460">
        <f t="shared" si="100"/>
        <v>0</v>
      </c>
      <c r="AT75" s="460">
        <f t="shared" si="101"/>
        <v>2</v>
      </c>
      <c r="AU75" s="463">
        <f t="shared" si="102"/>
        <v>0</v>
      </c>
      <c r="AV75" s="460">
        <f t="shared" si="88"/>
        <v>0</v>
      </c>
      <c r="AW75" s="460">
        <f t="shared" si="89"/>
        <v>0</v>
      </c>
      <c r="AX75" s="460">
        <f t="shared" si="103"/>
        <v>0</v>
      </c>
      <c r="AY75" s="460">
        <f t="shared" si="104"/>
        <v>0</v>
      </c>
      <c r="AZ75" s="463">
        <f t="shared" si="105"/>
        <v>15</v>
      </c>
      <c r="BA75" s="482"/>
      <c r="BB75" s="482"/>
    </row>
    <row r="76" s="425" customFormat="1" ht="39" customHeight="1" spans="1:54">
      <c r="A76" s="459">
        <v>71</v>
      </c>
      <c r="B76" s="460" t="s">
        <v>889</v>
      </c>
      <c r="C76" s="460" t="s">
        <v>203</v>
      </c>
      <c r="D76" s="461" t="s">
        <v>366</v>
      </c>
      <c r="E76" s="461" t="s">
        <v>895</v>
      </c>
      <c r="F76" s="463">
        <f t="shared" si="90"/>
        <v>2.4</v>
      </c>
      <c r="G76" s="463">
        <f t="shared" si="106"/>
        <v>2.4</v>
      </c>
      <c r="H76" s="460">
        <v>1.2</v>
      </c>
      <c r="I76" s="460"/>
      <c r="J76" s="460">
        <v>1.2</v>
      </c>
      <c r="K76" s="460"/>
      <c r="L76" s="460"/>
      <c r="M76" s="460"/>
      <c r="N76" s="460"/>
      <c r="O76" s="459">
        <f t="shared" si="86"/>
        <v>0</v>
      </c>
      <c r="P76" s="460"/>
      <c r="Q76" s="460"/>
      <c r="R76" s="460"/>
      <c r="S76" s="460"/>
      <c r="T76" s="460"/>
      <c r="U76" s="463"/>
      <c r="V76" s="460"/>
      <c r="W76" s="460"/>
      <c r="X76" s="463">
        <f t="shared" si="91"/>
        <v>0.6</v>
      </c>
      <c r="Y76" s="463">
        <f t="shared" si="92"/>
        <v>0.6</v>
      </c>
      <c r="Z76" s="460"/>
      <c r="AA76" s="460"/>
      <c r="AB76" s="460">
        <v>0.6</v>
      </c>
      <c r="AC76" s="460"/>
      <c r="AD76" s="460"/>
      <c r="AE76" s="460"/>
      <c r="AF76" s="459">
        <f t="shared" si="93"/>
        <v>0</v>
      </c>
      <c r="AG76" s="460"/>
      <c r="AH76" s="460"/>
      <c r="AI76" s="460"/>
      <c r="AJ76" s="460"/>
      <c r="AK76" s="460"/>
      <c r="AL76" s="460"/>
      <c r="AM76" s="463">
        <f t="shared" si="94"/>
        <v>3</v>
      </c>
      <c r="AN76" s="463">
        <f t="shared" si="95"/>
        <v>3</v>
      </c>
      <c r="AO76" s="460">
        <f t="shared" si="96"/>
        <v>1.2</v>
      </c>
      <c r="AP76" s="460">
        <f t="shared" si="97"/>
        <v>0</v>
      </c>
      <c r="AQ76" s="460">
        <f t="shared" si="98"/>
        <v>1.8</v>
      </c>
      <c r="AR76" s="460">
        <f t="shared" si="99"/>
        <v>0</v>
      </c>
      <c r="AS76" s="460">
        <f t="shared" si="100"/>
        <v>0</v>
      </c>
      <c r="AT76" s="460">
        <f t="shared" si="101"/>
        <v>0</v>
      </c>
      <c r="AU76" s="463">
        <f t="shared" si="102"/>
        <v>0</v>
      </c>
      <c r="AV76" s="460">
        <f t="shared" si="88"/>
        <v>0</v>
      </c>
      <c r="AW76" s="460">
        <f t="shared" si="89"/>
        <v>0</v>
      </c>
      <c r="AX76" s="460">
        <f t="shared" si="103"/>
        <v>0</v>
      </c>
      <c r="AY76" s="460">
        <f t="shared" si="104"/>
        <v>0</v>
      </c>
      <c r="AZ76" s="463">
        <f t="shared" si="105"/>
        <v>0</v>
      </c>
      <c r="BA76" s="482"/>
      <c r="BB76" s="482"/>
    </row>
    <row r="77" s="425" customFormat="1" ht="58" customHeight="1" spans="1:54">
      <c r="A77" s="459">
        <v>72</v>
      </c>
      <c r="B77" s="460" t="s">
        <v>889</v>
      </c>
      <c r="C77" s="460" t="s">
        <v>203</v>
      </c>
      <c r="D77" s="461" t="s">
        <v>332</v>
      </c>
      <c r="E77" s="461" t="s">
        <v>892</v>
      </c>
      <c r="F77" s="463">
        <f t="shared" si="90"/>
        <v>286.09</v>
      </c>
      <c r="G77" s="463">
        <f t="shared" si="106"/>
        <v>256.09</v>
      </c>
      <c r="H77" s="460">
        <v>75</v>
      </c>
      <c r="I77" s="460">
        <v>9.6</v>
      </c>
      <c r="J77" s="460">
        <v>21.49</v>
      </c>
      <c r="K77" s="460"/>
      <c r="L77" s="460"/>
      <c r="M77" s="460">
        <v>150</v>
      </c>
      <c r="N77" s="460" t="s">
        <v>898</v>
      </c>
      <c r="O77" s="459">
        <f t="shared" si="86"/>
        <v>0</v>
      </c>
      <c r="P77" s="460"/>
      <c r="Q77" s="460"/>
      <c r="R77" s="460"/>
      <c r="S77" s="460"/>
      <c r="T77" s="460"/>
      <c r="U77" s="463">
        <v>30</v>
      </c>
      <c r="V77" s="460" t="s">
        <v>838</v>
      </c>
      <c r="W77" s="460" t="s">
        <v>899</v>
      </c>
      <c r="X77" s="463">
        <f t="shared" si="91"/>
        <v>-28.51</v>
      </c>
      <c r="Y77" s="463">
        <f t="shared" si="92"/>
        <v>-0.38</v>
      </c>
      <c r="Z77" s="460"/>
      <c r="AA77" s="460"/>
      <c r="AB77" s="460">
        <v>-0.38</v>
      </c>
      <c r="AC77" s="460"/>
      <c r="AD77" s="460"/>
      <c r="AE77" s="471">
        <f>55-55</f>
        <v>0</v>
      </c>
      <c r="AF77" s="459">
        <f t="shared" si="93"/>
        <v>0.37</v>
      </c>
      <c r="AG77" s="460">
        <v>0.37</v>
      </c>
      <c r="AH77" s="460"/>
      <c r="AI77" s="460"/>
      <c r="AJ77" s="460"/>
      <c r="AK77" s="460">
        <f>820+1.5-850</f>
        <v>-28.5</v>
      </c>
      <c r="AL77" s="460" t="s">
        <v>900</v>
      </c>
      <c r="AM77" s="463">
        <f t="shared" si="94"/>
        <v>257.58</v>
      </c>
      <c r="AN77" s="463">
        <f t="shared" si="95"/>
        <v>255.71</v>
      </c>
      <c r="AO77" s="460">
        <f t="shared" si="96"/>
        <v>75</v>
      </c>
      <c r="AP77" s="460">
        <f t="shared" si="97"/>
        <v>9.6</v>
      </c>
      <c r="AQ77" s="460">
        <f t="shared" si="98"/>
        <v>21.11</v>
      </c>
      <c r="AR77" s="460">
        <f t="shared" si="99"/>
        <v>0</v>
      </c>
      <c r="AS77" s="460">
        <f t="shared" si="100"/>
        <v>0</v>
      </c>
      <c r="AT77" s="460">
        <f t="shared" si="101"/>
        <v>150</v>
      </c>
      <c r="AU77" s="463">
        <f t="shared" si="102"/>
        <v>0.37</v>
      </c>
      <c r="AV77" s="460">
        <f t="shared" si="88"/>
        <v>0.37</v>
      </c>
      <c r="AW77" s="460">
        <f t="shared" si="89"/>
        <v>0</v>
      </c>
      <c r="AX77" s="460">
        <f t="shared" si="103"/>
        <v>0</v>
      </c>
      <c r="AY77" s="460">
        <f t="shared" si="104"/>
        <v>0</v>
      </c>
      <c r="AZ77" s="463">
        <f t="shared" si="105"/>
        <v>1.5</v>
      </c>
      <c r="BA77" s="482">
        <v>850</v>
      </c>
      <c r="BB77" s="482"/>
    </row>
    <row r="78" s="425" customFormat="1" ht="39" customHeight="1" spans="1:54">
      <c r="A78" s="459">
        <v>73</v>
      </c>
      <c r="B78" s="460" t="s">
        <v>889</v>
      </c>
      <c r="C78" s="460" t="s">
        <v>206</v>
      </c>
      <c r="D78" s="461" t="s">
        <v>472</v>
      </c>
      <c r="E78" s="461" t="s">
        <v>901</v>
      </c>
      <c r="F78" s="463">
        <f t="shared" si="90"/>
        <v>77.4</v>
      </c>
      <c r="G78" s="463">
        <f t="shared" si="106"/>
        <v>5.4</v>
      </c>
      <c r="H78" s="460">
        <v>5.4</v>
      </c>
      <c r="I78" s="460"/>
      <c r="J78" s="460"/>
      <c r="K78" s="460"/>
      <c r="L78" s="460"/>
      <c r="M78" s="460"/>
      <c r="N78" s="460"/>
      <c r="O78" s="459">
        <f t="shared" si="86"/>
        <v>0</v>
      </c>
      <c r="P78" s="460"/>
      <c r="Q78" s="460"/>
      <c r="R78" s="460"/>
      <c r="S78" s="460"/>
      <c r="T78" s="460"/>
      <c r="U78" s="463">
        <v>72</v>
      </c>
      <c r="V78" s="460" t="s">
        <v>838</v>
      </c>
      <c r="W78" s="460" t="s">
        <v>902</v>
      </c>
      <c r="X78" s="463">
        <f t="shared" si="91"/>
        <v>0</v>
      </c>
      <c r="Y78" s="463">
        <f t="shared" si="92"/>
        <v>0</v>
      </c>
      <c r="Z78" s="460"/>
      <c r="AA78" s="460"/>
      <c r="AB78" s="460"/>
      <c r="AC78" s="460"/>
      <c r="AD78" s="460"/>
      <c r="AE78" s="460"/>
      <c r="AF78" s="459">
        <f t="shared" si="93"/>
        <v>0</v>
      </c>
      <c r="AG78" s="460"/>
      <c r="AH78" s="460"/>
      <c r="AI78" s="460"/>
      <c r="AJ78" s="460"/>
      <c r="AK78" s="460"/>
      <c r="AL78" s="460"/>
      <c r="AM78" s="463">
        <f t="shared" si="94"/>
        <v>77.4</v>
      </c>
      <c r="AN78" s="463">
        <f t="shared" si="95"/>
        <v>5.4</v>
      </c>
      <c r="AO78" s="460">
        <f t="shared" si="96"/>
        <v>5.4</v>
      </c>
      <c r="AP78" s="460">
        <f t="shared" si="97"/>
        <v>0</v>
      </c>
      <c r="AQ78" s="460">
        <f t="shared" si="98"/>
        <v>0</v>
      </c>
      <c r="AR78" s="460">
        <f t="shared" si="99"/>
        <v>0</v>
      </c>
      <c r="AS78" s="460">
        <f t="shared" si="100"/>
        <v>0</v>
      </c>
      <c r="AT78" s="460">
        <f t="shared" si="101"/>
        <v>0</v>
      </c>
      <c r="AU78" s="463">
        <f t="shared" si="102"/>
        <v>0</v>
      </c>
      <c r="AV78" s="460">
        <f t="shared" si="88"/>
        <v>0</v>
      </c>
      <c r="AW78" s="460">
        <f t="shared" si="89"/>
        <v>0</v>
      </c>
      <c r="AX78" s="460">
        <f t="shared" si="103"/>
        <v>0</v>
      </c>
      <c r="AY78" s="460">
        <f t="shared" si="104"/>
        <v>0</v>
      </c>
      <c r="AZ78" s="463">
        <f t="shared" si="105"/>
        <v>72</v>
      </c>
      <c r="BA78" s="482"/>
      <c r="BB78" s="482"/>
    </row>
    <row r="79" s="425" customFormat="1" ht="39" customHeight="1" spans="1:54">
      <c r="A79" s="459">
        <v>74</v>
      </c>
      <c r="B79" s="460" t="s">
        <v>889</v>
      </c>
      <c r="C79" s="460" t="s">
        <v>203</v>
      </c>
      <c r="D79" s="461" t="s">
        <v>334</v>
      </c>
      <c r="E79" s="461" t="s">
        <v>892</v>
      </c>
      <c r="F79" s="463">
        <f t="shared" si="90"/>
        <v>10.01</v>
      </c>
      <c r="G79" s="463">
        <f t="shared" si="106"/>
        <v>10.01</v>
      </c>
      <c r="H79" s="460">
        <v>7.5</v>
      </c>
      <c r="I79" s="460"/>
      <c r="J79" s="460">
        <v>2.51</v>
      </c>
      <c r="K79" s="460"/>
      <c r="L79" s="460"/>
      <c r="M79" s="460"/>
      <c r="N79" s="460"/>
      <c r="O79" s="459">
        <f t="shared" ref="O79:O143" si="107">SUM(P79:S79)</f>
        <v>0</v>
      </c>
      <c r="P79" s="460"/>
      <c r="Q79" s="460"/>
      <c r="R79" s="460"/>
      <c r="S79" s="460"/>
      <c r="T79" s="460"/>
      <c r="U79" s="463"/>
      <c r="V79" s="460"/>
      <c r="W79" s="460"/>
      <c r="X79" s="463">
        <f t="shared" si="91"/>
        <v>0.45</v>
      </c>
      <c r="Y79" s="463">
        <f t="shared" si="92"/>
        <v>0.45</v>
      </c>
      <c r="Z79" s="460"/>
      <c r="AA79" s="460"/>
      <c r="AB79" s="460">
        <v>0.45</v>
      </c>
      <c r="AC79" s="460"/>
      <c r="AD79" s="460"/>
      <c r="AE79" s="460"/>
      <c r="AF79" s="459">
        <f t="shared" si="93"/>
        <v>0</v>
      </c>
      <c r="AG79" s="460"/>
      <c r="AH79" s="460"/>
      <c r="AI79" s="460"/>
      <c r="AJ79" s="460"/>
      <c r="AK79" s="460"/>
      <c r="AL79" s="460"/>
      <c r="AM79" s="463">
        <f t="shared" si="94"/>
        <v>10.46</v>
      </c>
      <c r="AN79" s="463">
        <f t="shared" si="95"/>
        <v>10.46</v>
      </c>
      <c r="AO79" s="460">
        <f t="shared" si="96"/>
        <v>7.5</v>
      </c>
      <c r="AP79" s="460">
        <f t="shared" si="97"/>
        <v>0</v>
      </c>
      <c r="AQ79" s="460">
        <f t="shared" si="98"/>
        <v>2.96</v>
      </c>
      <c r="AR79" s="460">
        <f t="shared" si="99"/>
        <v>0</v>
      </c>
      <c r="AS79" s="460">
        <f t="shared" si="100"/>
        <v>0</v>
      </c>
      <c r="AT79" s="460">
        <f t="shared" si="101"/>
        <v>0</v>
      </c>
      <c r="AU79" s="463">
        <f t="shared" si="102"/>
        <v>0</v>
      </c>
      <c r="AV79" s="460">
        <f t="shared" si="88"/>
        <v>0</v>
      </c>
      <c r="AW79" s="460">
        <f t="shared" si="89"/>
        <v>0</v>
      </c>
      <c r="AX79" s="460">
        <f t="shared" si="103"/>
        <v>0</v>
      </c>
      <c r="AY79" s="460">
        <f t="shared" si="104"/>
        <v>0</v>
      </c>
      <c r="AZ79" s="463">
        <f t="shared" si="105"/>
        <v>0</v>
      </c>
      <c r="BA79" s="482"/>
      <c r="BB79" s="482"/>
    </row>
    <row r="80" s="425" customFormat="1" ht="39" customHeight="1" spans="1:54">
      <c r="A80" s="459">
        <v>75</v>
      </c>
      <c r="B80" s="460" t="s">
        <v>889</v>
      </c>
      <c r="C80" s="460" t="s">
        <v>206</v>
      </c>
      <c r="D80" s="461" t="s">
        <v>340</v>
      </c>
      <c r="E80" s="461" t="s">
        <v>894</v>
      </c>
      <c r="F80" s="463">
        <f t="shared" si="90"/>
        <v>15</v>
      </c>
      <c r="G80" s="463">
        <f t="shared" si="106"/>
        <v>15</v>
      </c>
      <c r="H80" s="460">
        <v>15</v>
      </c>
      <c r="I80" s="460"/>
      <c r="J80" s="460"/>
      <c r="K80" s="460"/>
      <c r="L80" s="460"/>
      <c r="M80" s="460"/>
      <c r="N80" s="460"/>
      <c r="O80" s="459">
        <f t="shared" si="107"/>
        <v>0</v>
      </c>
      <c r="P80" s="460"/>
      <c r="Q80" s="460"/>
      <c r="R80" s="460"/>
      <c r="S80" s="460"/>
      <c r="T80" s="460"/>
      <c r="U80" s="463"/>
      <c r="V80" s="460"/>
      <c r="W80" s="460"/>
      <c r="X80" s="463">
        <f t="shared" si="91"/>
        <v>0</v>
      </c>
      <c r="Y80" s="463">
        <f t="shared" si="92"/>
        <v>0</v>
      </c>
      <c r="Z80" s="460"/>
      <c r="AA80" s="460"/>
      <c r="AB80" s="460"/>
      <c r="AC80" s="460"/>
      <c r="AD80" s="460"/>
      <c r="AE80" s="460"/>
      <c r="AF80" s="459">
        <f t="shared" si="93"/>
        <v>0</v>
      </c>
      <c r="AG80" s="460"/>
      <c r="AH80" s="460"/>
      <c r="AI80" s="460"/>
      <c r="AJ80" s="460"/>
      <c r="AK80" s="460"/>
      <c r="AL80" s="460"/>
      <c r="AM80" s="463">
        <f t="shared" si="94"/>
        <v>15</v>
      </c>
      <c r="AN80" s="463">
        <f t="shared" si="95"/>
        <v>15</v>
      </c>
      <c r="AO80" s="460">
        <f t="shared" si="96"/>
        <v>15</v>
      </c>
      <c r="AP80" s="460">
        <f t="shared" si="97"/>
        <v>0</v>
      </c>
      <c r="AQ80" s="460">
        <f t="shared" si="98"/>
        <v>0</v>
      </c>
      <c r="AR80" s="460">
        <f t="shared" si="99"/>
        <v>0</v>
      </c>
      <c r="AS80" s="460">
        <f t="shared" si="100"/>
        <v>0</v>
      </c>
      <c r="AT80" s="460">
        <f t="shared" si="101"/>
        <v>0</v>
      </c>
      <c r="AU80" s="463">
        <f t="shared" si="102"/>
        <v>0</v>
      </c>
      <c r="AV80" s="460">
        <f t="shared" si="88"/>
        <v>0</v>
      </c>
      <c r="AW80" s="460">
        <f t="shared" si="89"/>
        <v>0</v>
      </c>
      <c r="AX80" s="460">
        <f t="shared" si="103"/>
        <v>0</v>
      </c>
      <c r="AY80" s="460">
        <f t="shared" si="104"/>
        <v>0</v>
      </c>
      <c r="AZ80" s="463">
        <f t="shared" si="105"/>
        <v>0</v>
      </c>
      <c r="BA80" s="482"/>
      <c r="BB80" s="482"/>
    </row>
    <row r="81" s="425" customFormat="1" ht="39" customHeight="1" spans="1:54">
      <c r="A81" s="459">
        <v>76</v>
      </c>
      <c r="B81" s="460" t="s">
        <v>889</v>
      </c>
      <c r="C81" s="460" t="s">
        <v>206</v>
      </c>
      <c r="D81" s="461" t="s">
        <v>341</v>
      </c>
      <c r="E81" s="461" t="s">
        <v>894</v>
      </c>
      <c r="F81" s="463">
        <f t="shared" si="90"/>
        <v>5</v>
      </c>
      <c r="G81" s="463">
        <f t="shared" si="106"/>
        <v>5</v>
      </c>
      <c r="H81" s="460">
        <v>5</v>
      </c>
      <c r="I81" s="460"/>
      <c r="J81" s="460"/>
      <c r="K81" s="460"/>
      <c r="L81" s="460"/>
      <c r="M81" s="460"/>
      <c r="N81" s="460"/>
      <c r="O81" s="459">
        <f t="shared" si="107"/>
        <v>0</v>
      </c>
      <c r="P81" s="460"/>
      <c r="Q81" s="460"/>
      <c r="R81" s="460"/>
      <c r="S81" s="460"/>
      <c r="T81" s="460"/>
      <c r="U81" s="463"/>
      <c r="V81" s="460"/>
      <c r="W81" s="460"/>
      <c r="X81" s="463">
        <f t="shared" si="91"/>
        <v>0</v>
      </c>
      <c r="Y81" s="463">
        <f t="shared" si="92"/>
        <v>0</v>
      </c>
      <c r="Z81" s="460"/>
      <c r="AA81" s="460"/>
      <c r="AB81" s="460"/>
      <c r="AC81" s="460"/>
      <c r="AD81" s="460"/>
      <c r="AE81" s="460"/>
      <c r="AF81" s="459">
        <f t="shared" si="93"/>
        <v>0</v>
      </c>
      <c r="AG81" s="460"/>
      <c r="AH81" s="460"/>
      <c r="AI81" s="460"/>
      <c r="AJ81" s="460"/>
      <c r="AK81" s="460"/>
      <c r="AL81" s="460"/>
      <c r="AM81" s="463">
        <f t="shared" si="94"/>
        <v>5</v>
      </c>
      <c r="AN81" s="463">
        <f t="shared" si="95"/>
        <v>5</v>
      </c>
      <c r="AO81" s="460">
        <f t="shared" si="96"/>
        <v>5</v>
      </c>
      <c r="AP81" s="460">
        <f t="shared" si="97"/>
        <v>0</v>
      </c>
      <c r="AQ81" s="460">
        <f t="shared" si="98"/>
        <v>0</v>
      </c>
      <c r="AR81" s="460">
        <f t="shared" si="99"/>
        <v>0</v>
      </c>
      <c r="AS81" s="460">
        <f t="shared" si="100"/>
        <v>0</v>
      </c>
      <c r="AT81" s="460">
        <f t="shared" si="101"/>
        <v>0</v>
      </c>
      <c r="AU81" s="463">
        <f t="shared" si="102"/>
        <v>0</v>
      </c>
      <c r="AV81" s="460">
        <f t="shared" si="88"/>
        <v>0</v>
      </c>
      <c r="AW81" s="460">
        <f t="shared" si="89"/>
        <v>0</v>
      </c>
      <c r="AX81" s="460">
        <f t="shared" si="103"/>
        <v>0</v>
      </c>
      <c r="AY81" s="460">
        <f t="shared" si="104"/>
        <v>0</v>
      </c>
      <c r="AZ81" s="463">
        <f t="shared" si="105"/>
        <v>0</v>
      </c>
      <c r="BA81" s="482"/>
      <c r="BB81" s="482"/>
    </row>
    <row r="82" s="425" customFormat="1" ht="39" customHeight="1" spans="1:54">
      <c r="A82" s="459">
        <v>77</v>
      </c>
      <c r="B82" s="460" t="s">
        <v>889</v>
      </c>
      <c r="C82" s="460" t="s">
        <v>206</v>
      </c>
      <c r="D82" s="461" t="s">
        <v>342</v>
      </c>
      <c r="E82" s="461" t="s">
        <v>894</v>
      </c>
      <c r="F82" s="463">
        <f t="shared" si="90"/>
        <v>7.5</v>
      </c>
      <c r="G82" s="463">
        <f t="shared" si="106"/>
        <v>7.5</v>
      </c>
      <c r="H82" s="460">
        <v>7.5</v>
      </c>
      <c r="I82" s="460"/>
      <c r="J82" s="460"/>
      <c r="K82" s="460"/>
      <c r="L82" s="460"/>
      <c r="M82" s="460"/>
      <c r="N82" s="460"/>
      <c r="O82" s="459">
        <f t="shared" si="107"/>
        <v>0</v>
      </c>
      <c r="P82" s="460"/>
      <c r="Q82" s="460"/>
      <c r="R82" s="460"/>
      <c r="S82" s="460"/>
      <c r="T82" s="460"/>
      <c r="U82" s="463"/>
      <c r="V82" s="460"/>
      <c r="W82" s="460"/>
      <c r="X82" s="463">
        <f t="shared" si="91"/>
        <v>0</v>
      </c>
      <c r="Y82" s="463">
        <f t="shared" si="92"/>
        <v>0</v>
      </c>
      <c r="Z82" s="460"/>
      <c r="AA82" s="460"/>
      <c r="AB82" s="460"/>
      <c r="AC82" s="460"/>
      <c r="AD82" s="460"/>
      <c r="AE82" s="460"/>
      <c r="AF82" s="459">
        <f t="shared" si="93"/>
        <v>0</v>
      </c>
      <c r="AG82" s="460"/>
      <c r="AH82" s="460"/>
      <c r="AI82" s="460"/>
      <c r="AJ82" s="460"/>
      <c r="AK82" s="460"/>
      <c r="AL82" s="460"/>
      <c r="AM82" s="463">
        <f t="shared" si="94"/>
        <v>7.5</v>
      </c>
      <c r="AN82" s="463">
        <f t="shared" si="95"/>
        <v>7.5</v>
      </c>
      <c r="AO82" s="460">
        <f t="shared" si="96"/>
        <v>7.5</v>
      </c>
      <c r="AP82" s="460">
        <f t="shared" si="97"/>
        <v>0</v>
      </c>
      <c r="AQ82" s="460">
        <f t="shared" si="98"/>
        <v>0</v>
      </c>
      <c r="AR82" s="460">
        <f t="shared" si="99"/>
        <v>0</v>
      </c>
      <c r="AS82" s="460">
        <f t="shared" si="100"/>
        <v>0</v>
      </c>
      <c r="AT82" s="460">
        <f t="shared" si="101"/>
        <v>0</v>
      </c>
      <c r="AU82" s="463">
        <f t="shared" si="102"/>
        <v>0</v>
      </c>
      <c r="AV82" s="460">
        <f t="shared" si="88"/>
        <v>0</v>
      </c>
      <c r="AW82" s="460">
        <f t="shared" si="89"/>
        <v>0</v>
      </c>
      <c r="AX82" s="460">
        <f t="shared" si="103"/>
        <v>0</v>
      </c>
      <c r="AY82" s="460">
        <f t="shared" si="104"/>
        <v>0</v>
      </c>
      <c r="AZ82" s="463">
        <f t="shared" si="105"/>
        <v>0</v>
      </c>
      <c r="BA82" s="482"/>
      <c r="BB82" s="482"/>
    </row>
    <row r="83" s="425" customFormat="1" ht="39" customHeight="1" spans="1:54">
      <c r="A83" s="459">
        <v>78</v>
      </c>
      <c r="B83" s="460" t="s">
        <v>889</v>
      </c>
      <c r="C83" s="460" t="s">
        <v>206</v>
      </c>
      <c r="D83" s="461" t="s">
        <v>343</v>
      </c>
      <c r="E83" s="461" t="s">
        <v>894</v>
      </c>
      <c r="F83" s="463">
        <f t="shared" si="90"/>
        <v>5</v>
      </c>
      <c r="G83" s="463">
        <f t="shared" si="106"/>
        <v>5</v>
      </c>
      <c r="H83" s="460">
        <v>5</v>
      </c>
      <c r="I83" s="460"/>
      <c r="J83" s="460"/>
      <c r="K83" s="460"/>
      <c r="L83" s="460"/>
      <c r="M83" s="460"/>
      <c r="N83" s="460"/>
      <c r="O83" s="459">
        <f t="shared" si="107"/>
        <v>0</v>
      </c>
      <c r="P83" s="460"/>
      <c r="Q83" s="460"/>
      <c r="R83" s="460"/>
      <c r="S83" s="460"/>
      <c r="T83" s="460"/>
      <c r="U83" s="463"/>
      <c r="V83" s="460"/>
      <c r="W83" s="460"/>
      <c r="X83" s="463">
        <f t="shared" si="91"/>
        <v>0</v>
      </c>
      <c r="Y83" s="463">
        <f t="shared" si="92"/>
        <v>0</v>
      </c>
      <c r="Z83" s="460"/>
      <c r="AA83" s="460"/>
      <c r="AB83" s="460"/>
      <c r="AC83" s="460"/>
      <c r="AD83" s="460"/>
      <c r="AE83" s="460"/>
      <c r="AF83" s="459">
        <f t="shared" si="93"/>
        <v>0</v>
      </c>
      <c r="AG83" s="460"/>
      <c r="AH83" s="460"/>
      <c r="AI83" s="460"/>
      <c r="AJ83" s="460"/>
      <c r="AK83" s="460"/>
      <c r="AL83" s="460"/>
      <c r="AM83" s="463">
        <f t="shared" si="94"/>
        <v>5</v>
      </c>
      <c r="AN83" s="463">
        <f t="shared" si="95"/>
        <v>5</v>
      </c>
      <c r="AO83" s="460">
        <f t="shared" si="96"/>
        <v>5</v>
      </c>
      <c r="AP83" s="460">
        <f t="shared" si="97"/>
        <v>0</v>
      </c>
      <c r="AQ83" s="460">
        <f t="shared" si="98"/>
        <v>0</v>
      </c>
      <c r="AR83" s="460">
        <f t="shared" si="99"/>
        <v>0</v>
      </c>
      <c r="AS83" s="460">
        <f t="shared" si="100"/>
        <v>0</v>
      </c>
      <c r="AT83" s="460">
        <f t="shared" si="101"/>
        <v>0</v>
      </c>
      <c r="AU83" s="463">
        <f t="shared" si="102"/>
        <v>0</v>
      </c>
      <c r="AV83" s="460">
        <f t="shared" si="88"/>
        <v>0</v>
      </c>
      <c r="AW83" s="460">
        <f t="shared" si="89"/>
        <v>0</v>
      </c>
      <c r="AX83" s="460">
        <f t="shared" si="103"/>
        <v>0</v>
      </c>
      <c r="AY83" s="460">
        <f t="shared" si="104"/>
        <v>0</v>
      </c>
      <c r="AZ83" s="463">
        <f t="shared" si="105"/>
        <v>0</v>
      </c>
      <c r="BA83" s="482"/>
      <c r="BB83" s="482"/>
    </row>
    <row r="84" s="425" customFormat="1" ht="39" customHeight="1" spans="1:54">
      <c r="A84" s="459">
        <v>79</v>
      </c>
      <c r="B84" s="460" t="s">
        <v>889</v>
      </c>
      <c r="C84" s="460" t="s">
        <v>206</v>
      </c>
      <c r="D84" s="461" t="s">
        <v>344</v>
      </c>
      <c r="E84" s="461" t="s">
        <v>894</v>
      </c>
      <c r="F84" s="463">
        <f t="shared" si="90"/>
        <v>10</v>
      </c>
      <c r="G84" s="463">
        <f t="shared" si="106"/>
        <v>10</v>
      </c>
      <c r="H84" s="460">
        <v>10</v>
      </c>
      <c r="I84" s="460"/>
      <c r="J84" s="460"/>
      <c r="K84" s="460"/>
      <c r="L84" s="460"/>
      <c r="M84" s="460"/>
      <c r="N84" s="460"/>
      <c r="O84" s="459">
        <f t="shared" si="107"/>
        <v>0</v>
      </c>
      <c r="P84" s="460"/>
      <c r="Q84" s="460"/>
      <c r="R84" s="460"/>
      <c r="S84" s="460"/>
      <c r="T84" s="460"/>
      <c r="U84" s="463"/>
      <c r="V84" s="460"/>
      <c r="W84" s="460"/>
      <c r="X84" s="463">
        <f t="shared" si="91"/>
        <v>0</v>
      </c>
      <c r="Y84" s="463">
        <f t="shared" si="92"/>
        <v>0</v>
      </c>
      <c r="Z84" s="460"/>
      <c r="AA84" s="460"/>
      <c r="AB84" s="460"/>
      <c r="AC84" s="460"/>
      <c r="AD84" s="460"/>
      <c r="AE84" s="460"/>
      <c r="AF84" s="459">
        <f t="shared" si="93"/>
        <v>0</v>
      </c>
      <c r="AG84" s="460"/>
      <c r="AH84" s="460"/>
      <c r="AI84" s="460"/>
      <c r="AJ84" s="460"/>
      <c r="AK84" s="460"/>
      <c r="AL84" s="460"/>
      <c r="AM84" s="463">
        <f t="shared" si="94"/>
        <v>10</v>
      </c>
      <c r="AN84" s="463">
        <f t="shared" si="95"/>
        <v>10</v>
      </c>
      <c r="AO84" s="460">
        <f t="shared" si="96"/>
        <v>10</v>
      </c>
      <c r="AP84" s="460">
        <f t="shared" si="97"/>
        <v>0</v>
      </c>
      <c r="AQ84" s="460">
        <f t="shared" si="98"/>
        <v>0</v>
      </c>
      <c r="AR84" s="460">
        <f t="shared" si="99"/>
        <v>0</v>
      </c>
      <c r="AS84" s="460">
        <f t="shared" si="100"/>
        <v>0</v>
      </c>
      <c r="AT84" s="460">
        <f t="shared" si="101"/>
        <v>0</v>
      </c>
      <c r="AU84" s="463">
        <f t="shared" si="102"/>
        <v>0</v>
      </c>
      <c r="AV84" s="460">
        <f t="shared" si="88"/>
        <v>0</v>
      </c>
      <c r="AW84" s="460">
        <f t="shared" si="89"/>
        <v>0</v>
      </c>
      <c r="AX84" s="460">
        <f t="shared" si="103"/>
        <v>0</v>
      </c>
      <c r="AY84" s="460">
        <f t="shared" si="104"/>
        <v>0</v>
      </c>
      <c r="AZ84" s="463">
        <f t="shared" si="105"/>
        <v>0</v>
      </c>
      <c r="BA84" s="482"/>
      <c r="BB84" s="482"/>
    </row>
    <row r="85" s="425" customFormat="1" ht="39" customHeight="1" spans="1:54">
      <c r="A85" s="459">
        <v>80</v>
      </c>
      <c r="B85" s="460" t="s">
        <v>889</v>
      </c>
      <c r="C85" s="460" t="s">
        <v>203</v>
      </c>
      <c r="D85" s="461" t="s">
        <v>335</v>
      </c>
      <c r="E85" s="461" t="s">
        <v>892</v>
      </c>
      <c r="F85" s="463">
        <f t="shared" si="90"/>
        <v>38.51</v>
      </c>
      <c r="G85" s="463">
        <f t="shared" si="106"/>
        <v>38.51</v>
      </c>
      <c r="H85" s="460">
        <v>3.6</v>
      </c>
      <c r="I85" s="460"/>
      <c r="J85" s="460">
        <v>4.91</v>
      </c>
      <c r="K85" s="460"/>
      <c r="L85" s="460"/>
      <c r="M85" s="460">
        <v>30</v>
      </c>
      <c r="N85" s="460" t="s">
        <v>903</v>
      </c>
      <c r="O85" s="459">
        <f t="shared" si="107"/>
        <v>0</v>
      </c>
      <c r="P85" s="460"/>
      <c r="Q85" s="460"/>
      <c r="R85" s="460"/>
      <c r="S85" s="460"/>
      <c r="T85" s="460"/>
      <c r="U85" s="463"/>
      <c r="V85" s="460"/>
      <c r="W85" s="460"/>
      <c r="X85" s="463">
        <f t="shared" si="91"/>
        <v>-0.95</v>
      </c>
      <c r="Y85" s="463">
        <f t="shared" si="92"/>
        <v>-0.95</v>
      </c>
      <c r="Z85" s="460"/>
      <c r="AA85" s="460"/>
      <c r="AB85" s="460">
        <v>-0.95</v>
      </c>
      <c r="AC85" s="460"/>
      <c r="AD85" s="460"/>
      <c r="AE85" s="460"/>
      <c r="AF85" s="459">
        <f t="shared" si="93"/>
        <v>0</v>
      </c>
      <c r="AG85" s="460"/>
      <c r="AH85" s="460"/>
      <c r="AI85" s="460"/>
      <c r="AJ85" s="460"/>
      <c r="AK85" s="460"/>
      <c r="AL85" s="460"/>
      <c r="AM85" s="463">
        <f t="shared" si="94"/>
        <v>37.56</v>
      </c>
      <c r="AN85" s="463">
        <f t="shared" si="95"/>
        <v>37.56</v>
      </c>
      <c r="AO85" s="460">
        <f t="shared" si="96"/>
        <v>3.6</v>
      </c>
      <c r="AP85" s="460">
        <f t="shared" si="97"/>
        <v>0</v>
      </c>
      <c r="AQ85" s="460">
        <f t="shared" si="98"/>
        <v>3.96</v>
      </c>
      <c r="AR85" s="460">
        <f t="shared" si="99"/>
        <v>0</v>
      </c>
      <c r="AS85" s="460">
        <f t="shared" si="100"/>
        <v>0</v>
      </c>
      <c r="AT85" s="460">
        <f t="shared" si="101"/>
        <v>30</v>
      </c>
      <c r="AU85" s="463">
        <f t="shared" si="102"/>
        <v>0</v>
      </c>
      <c r="AV85" s="460">
        <f t="shared" si="88"/>
        <v>0</v>
      </c>
      <c r="AW85" s="460">
        <f t="shared" si="89"/>
        <v>0</v>
      </c>
      <c r="AX85" s="460">
        <f t="shared" si="103"/>
        <v>0</v>
      </c>
      <c r="AY85" s="460">
        <f t="shared" si="104"/>
        <v>0</v>
      </c>
      <c r="AZ85" s="463">
        <f t="shared" si="105"/>
        <v>0</v>
      </c>
      <c r="BA85" s="482"/>
      <c r="BB85" s="482"/>
    </row>
    <row r="86" s="425" customFormat="1" ht="39" customHeight="1" spans="1:54">
      <c r="A86" s="459">
        <v>81</v>
      </c>
      <c r="B86" s="460" t="s">
        <v>889</v>
      </c>
      <c r="C86" s="460" t="s">
        <v>206</v>
      </c>
      <c r="D86" s="1" t="s">
        <v>336</v>
      </c>
      <c r="E86" s="461" t="s">
        <v>894</v>
      </c>
      <c r="F86" s="463">
        <f t="shared" si="90"/>
        <v>1.2</v>
      </c>
      <c r="G86" s="463">
        <f t="shared" si="106"/>
        <v>1.2</v>
      </c>
      <c r="H86" s="460">
        <v>1.2</v>
      </c>
      <c r="I86" s="460"/>
      <c r="J86" s="460"/>
      <c r="K86" s="460"/>
      <c r="L86" s="460"/>
      <c r="M86" s="460"/>
      <c r="N86" s="460"/>
      <c r="O86" s="459">
        <f t="shared" si="107"/>
        <v>0</v>
      </c>
      <c r="P86" s="460"/>
      <c r="Q86" s="460"/>
      <c r="R86" s="460"/>
      <c r="S86" s="460"/>
      <c r="T86" s="460"/>
      <c r="U86" s="463"/>
      <c r="V86" s="460"/>
      <c r="W86" s="460"/>
      <c r="X86" s="463">
        <f t="shared" si="91"/>
        <v>0</v>
      </c>
      <c r="Y86" s="463">
        <f t="shared" si="92"/>
        <v>0</v>
      </c>
      <c r="Z86" s="460"/>
      <c r="AA86" s="460"/>
      <c r="AB86" s="460"/>
      <c r="AC86" s="460"/>
      <c r="AD86" s="460"/>
      <c r="AE86" s="460"/>
      <c r="AF86" s="459">
        <f t="shared" si="93"/>
        <v>0</v>
      </c>
      <c r="AG86" s="460"/>
      <c r="AH86" s="460"/>
      <c r="AI86" s="460"/>
      <c r="AJ86" s="460"/>
      <c r="AK86" s="460"/>
      <c r="AL86" s="460"/>
      <c r="AM86" s="463">
        <f t="shared" si="94"/>
        <v>1.2</v>
      </c>
      <c r="AN86" s="463">
        <f t="shared" si="95"/>
        <v>1.2</v>
      </c>
      <c r="AO86" s="460">
        <f t="shared" si="96"/>
        <v>1.2</v>
      </c>
      <c r="AP86" s="460">
        <f t="shared" si="97"/>
        <v>0</v>
      </c>
      <c r="AQ86" s="460">
        <f t="shared" si="98"/>
        <v>0</v>
      </c>
      <c r="AR86" s="460">
        <f t="shared" si="99"/>
        <v>0</v>
      </c>
      <c r="AS86" s="460">
        <f t="shared" si="100"/>
        <v>0</v>
      </c>
      <c r="AT86" s="460">
        <f t="shared" si="101"/>
        <v>0</v>
      </c>
      <c r="AU86" s="463">
        <f t="shared" si="102"/>
        <v>0</v>
      </c>
      <c r="AV86" s="460">
        <f t="shared" si="88"/>
        <v>0</v>
      </c>
      <c r="AW86" s="460">
        <f t="shared" si="89"/>
        <v>0</v>
      </c>
      <c r="AX86" s="460">
        <f t="shared" si="103"/>
        <v>0</v>
      </c>
      <c r="AY86" s="460">
        <f t="shared" si="104"/>
        <v>0</v>
      </c>
      <c r="AZ86" s="463">
        <f t="shared" si="105"/>
        <v>0</v>
      </c>
      <c r="BA86" s="482"/>
      <c r="BB86" s="482"/>
    </row>
    <row r="87" s="425" customFormat="1" ht="83" customHeight="1" spans="1:54">
      <c r="A87" s="459">
        <v>82</v>
      </c>
      <c r="B87" s="460" t="s">
        <v>889</v>
      </c>
      <c r="C87" s="460" t="s">
        <v>203</v>
      </c>
      <c r="D87" s="461" t="s">
        <v>349</v>
      </c>
      <c r="E87" s="461" t="s">
        <v>904</v>
      </c>
      <c r="F87" s="463">
        <f t="shared" si="90"/>
        <v>59.15</v>
      </c>
      <c r="G87" s="463">
        <f t="shared" si="106"/>
        <v>18.65</v>
      </c>
      <c r="H87" s="460">
        <v>9</v>
      </c>
      <c r="I87" s="460"/>
      <c r="J87" s="460">
        <v>9.65</v>
      </c>
      <c r="K87" s="460"/>
      <c r="L87" s="460"/>
      <c r="M87" s="460"/>
      <c r="N87" s="460"/>
      <c r="O87" s="459">
        <f t="shared" si="107"/>
        <v>6.5</v>
      </c>
      <c r="P87" s="460">
        <v>6.5</v>
      </c>
      <c r="Q87" s="460"/>
      <c r="R87" s="460"/>
      <c r="S87" s="460"/>
      <c r="T87" s="460"/>
      <c r="U87" s="463">
        <v>34</v>
      </c>
      <c r="V87" s="483" t="s">
        <v>838</v>
      </c>
      <c r="W87" s="460" t="s">
        <v>905</v>
      </c>
      <c r="X87" s="463">
        <f t="shared" si="91"/>
        <v>97.12</v>
      </c>
      <c r="Y87" s="463">
        <f t="shared" si="92"/>
        <v>1.08</v>
      </c>
      <c r="Z87" s="460"/>
      <c r="AA87" s="460"/>
      <c r="AB87" s="460">
        <v>1.08</v>
      </c>
      <c r="AC87" s="460"/>
      <c r="AD87" s="460"/>
      <c r="AE87" s="460"/>
      <c r="AF87" s="459">
        <f t="shared" si="93"/>
        <v>56.04</v>
      </c>
      <c r="AG87" s="460">
        <v>5.04</v>
      </c>
      <c r="AH87" s="460"/>
      <c r="AI87" s="460"/>
      <c r="AJ87" s="460">
        <v>51</v>
      </c>
      <c r="AK87" s="460">
        <v>40</v>
      </c>
      <c r="AL87" s="460" t="s">
        <v>906</v>
      </c>
      <c r="AM87" s="463">
        <f t="shared" si="94"/>
        <v>156.27</v>
      </c>
      <c r="AN87" s="463">
        <f t="shared" si="95"/>
        <v>19.73</v>
      </c>
      <c r="AO87" s="460">
        <f t="shared" si="96"/>
        <v>9</v>
      </c>
      <c r="AP87" s="460">
        <f t="shared" si="97"/>
        <v>0</v>
      </c>
      <c r="AQ87" s="460">
        <f t="shared" si="98"/>
        <v>10.73</v>
      </c>
      <c r="AR87" s="460">
        <f t="shared" si="99"/>
        <v>0</v>
      </c>
      <c r="AS87" s="460">
        <f t="shared" si="100"/>
        <v>0</v>
      </c>
      <c r="AT87" s="460">
        <f t="shared" si="101"/>
        <v>0</v>
      </c>
      <c r="AU87" s="463">
        <f t="shared" si="102"/>
        <v>62.54</v>
      </c>
      <c r="AV87" s="460">
        <f t="shared" si="88"/>
        <v>11.54</v>
      </c>
      <c r="AW87" s="460">
        <f t="shared" si="89"/>
        <v>0</v>
      </c>
      <c r="AX87" s="460">
        <f t="shared" si="103"/>
        <v>0</v>
      </c>
      <c r="AY87" s="460">
        <f t="shared" si="104"/>
        <v>51</v>
      </c>
      <c r="AZ87" s="463">
        <f t="shared" si="105"/>
        <v>74</v>
      </c>
      <c r="BA87" s="482"/>
      <c r="BB87" s="484"/>
    </row>
    <row r="88" s="425" customFormat="1" ht="39" customHeight="1" spans="1:54">
      <c r="A88" s="459">
        <v>83</v>
      </c>
      <c r="B88" s="460" t="s">
        <v>889</v>
      </c>
      <c r="C88" s="460" t="s">
        <v>203</v>
      </c>
      <c r="D88" s="461" t="s">
        <v>351</v>
      </c>
      <c r="E88" s="461" t="s">
        <v>904</v>
      </c>
      <c r="F88" s="463">
        <f t="shared" si="90"/>
        <v>6.76</v>
      </c>
      <c r="G88" s="463">
        <f t="shared" si="106"/>
        <v>6.76</v>
      </c>
      <c r="H88" s="460">
        <v>4</v>
      </c>
      <c r="I88" s="460"/>
      <c r="J88" s="460">
        <v>2.76</v>
      </c>
      <c r="K88" s="460"/>
      <c r="L88" s="460"/>
      <c r="M88" s="460"/>
      <c r="N88" s="460"/>
      <c r="O88" s="459">
        <f t="shared" si="107"/>
        <v>0</v>
      </c>
      <c r="P88" s="460"/>
      <c r="Q88" s="460"/>
      <c r="R88" s="460"/>
      <c r="S88" s="460"/>
      <c r="T88" s="460"/>
      <c r="U88" s="463"/>
      <c r="V88" s="460"/>
      <c r="W88" s="460"/>
      <c r="X88" s="463">
        <f t="shared" si="91"/>
        <v>0</v>
      </c>
      <c r="Y88" s="463">
        <f t="shared" si="92"/>
        <v>0</v>
      </c>
      <c r="Z88" s="460"/>
      <c r="AA88" s="460"/>
      <c r="AB88" s="460"/>
      <c r="AC88" s="460"/>
      <c r="AD88" s="460"/>
      <c r="AE88" s="460"/>
      <c r="AF88" s="459">
        <f t="shared" si="93"/>
        <v>0</v>
      </c>
      <c r="AG88" s="460"/>
      <c r="AH88" s="460"/>
      <c r="AI88" s="460"/>
      <c r="AJ88" s="460"/>
      <c r="AK88" s="460"/>
      <c r="AL88" s="460"/>
      <c r="AM88" s="463">
        <f t="shared" si="94"/>
        <v>6.76</v>
      </c>
      <c r="AN88" s="463">
        <f t="shared" si="95"/>
        <v>6.76</v>
      </c>
      <c r="AO88" s="460">
        <f t="shared" si="96"/>
        <v>4</v>
      </c>
      <c r="AP88" s="460">
        <f t="shared" si="97"/>
        <v>0</v>
      </c>
      <c r="AQ88" s="460">
        <f t="shared" si="98"/>
        <v>2.76</v>
      </c>
      <c r="AR88" s="460">
        <f t="shared" si="99"/>
        <v>0</v>
      </c>
      <c r="AS88" s="460">
        <f t="shared" si="100"/>
        <v>0</v>
      </c>
      <c r="AT88" s="460">
        <f t="shared" si="101"/>
        <v>0</v>
      </c>
      <c r="AU88" s="463">
        <f t="shared" si="102"/>
        <v>0</v>
      </c>
      <c r="AV88" s="460">
        <f t="shared" si="88"/>
        <v>0</v>
      </c>
      <c r="AW88" s="460">
        <f t="shared" si="89"/>
        <v>0</v>
      </c>
      <c r="AX88" s="460">
        <f t="shared" si="103"/>
        <v>0</v>
      </c>
      <c r="AY88" s="460">
        <f t="shared" si="104"/>
        <v>0</v>
      </c>
      <c r="AZ88" s="463">
        <f t="shared" si="105"/>
        <v>0</v>
      </c>
      <c r="BA88" s="482"/>
      <c r="BB88" s="482"/>
    </row>
    <row r="89" s="425" customFormat="1" ht="39" customHeight="1" spans="1:54">
      <c r="A89" s="459">
        <v>84</v>
      </c>
      <c r="B89" s="460" t="s">
        <v>889</v>
      </c>
      <c r="C89" s="460" t="s">
        <v>206</v>
      </c>
      <c r="D89" s="461" t="s">
        <v>352</v>
      </c>
      <c r="E89" s="461" t="s">
        <v>907</v>
      </c>
      <c r="F89" s="463">
        <f t="shared" si="90"/>
        <v>3</v>
      </c>
      <c r="G89" s="463">
        <f t="shared" si="106"/>
        <v>3</v>
      </c>
      <c r="H89" s="460">
        <v>3</v>
      </c>
      <c r="I89" s="460"/>
      <c r="J89" s="460"/>
      <c r="K89" s="460"/>
      <c r="L89" s="460"/>
      <c r="M89" s="460"/>
      <c r="N89" s="460"/>
      <c r="O89" s="459">
        <f t="shared" si="107"/>
        <v>0</v>
      </c>
      <c r="P89" s="460"/>
      <c r="Q89" s="460"/>
      <c r="R89" s="460"/>
      <c r="S89" s="460"/>
      <c r="T89" s="460"/>
      <c r="U89" s="463"/>
      <c r="V89" s="460"/>
      <c r="W89" s="460"/>
      <c r="X89" s="463">
        <f t="shared" si="91"/>
        <v>0</v>
      </c>
      <c r="Y89" s="463">
        <f t="shared" si="92"/>
        <v>0</v>
      </c>
      <c r="Z89" s="460"/>
      <c r="AA89" s="460"/>
      <c r="AB89" s="460"/>
      <c r="AC89" s="460"/>
      <c r="AD89" s="460"/>
      <c r="AE89" s="460"/>
      <c r="AF89" s="459">
        <f t="shared" si="93"/>
        <v>0</v>
      </c>
      <c r="AG89" s="460"/>
      <c r="AH89" s="460"/>
      <c r="AI89" s="460"/>
      <c r="AJ89" s="460"/>
      <c r="AK89" s="460"/>
      <c r="AL89" s="460"/>
      <c r="AM89" s="463">
        <f t="shared" si="94"/>
        <v>3</v>
      </c>
      <c r="AN89" s="463">
        <f t="shared" si="95"/>
        <v>3</v>
      </c>
      <c r="AO89" s="460">
        <f t="shared" si="96"/>
        <v>3</v>
      </c>
      <c r="AP89" s="460">
        <f t="shared" si="97"/>
        <v>0</v>
      </c>
      <c r="AQ89" s="460">
        <f t="shared" si="98"/>
        <v>0</v>
      </c>
      <c r="AR89" s="460">
        <f t="shared" si="99"/>
        <v>0</v>
      </c>
      <c r="AS89" s="460">
        <f t="shared" si="100"/>
        <v>0</v>
      </c>
      <c r="AT89" s="460">
        <f t="shared" si="101"/>
        <v>0</v>
      </c>
      <c r="AU89" s="463">
        <f t="shared" si="102"/>
        <v>0</v>
      </c>
      <c r="AV89" s="460">
        <f t="shared" si="88"/>
        <v>0</v>
      </c>
      <c r="AW89" s="460">
        <f t="shared" si="89"/>
        <v>0</v>
      </c>
      <c r="AX89" s="460">
        <f t="shared" si="103"/>
        <v>0</v>
      </c>
      <c r="AY89" s="460">
        <f t="shared" si="104"/>
        <v>0</v>
      </c>
      <c r="AZ89" s="463">
        <f t="shared" si="105"/>
        <v>0</v>
      </c>
      <c r="BA89" s="482"/>
      <c r="BB89" s="482"/>
    </row>
    <row r="90" s="425" customFormat="1" ht="39" customHeight="1" spans="1:54">
      <c r="A90" s="459">
        <v>85</v>
      </c>
      <c r="B90" s="460" t="s">
        <v>889</v>
      </c>
      <c r="C90" s="460" t="s">
        <v>206</v>
      </c>
      <c r="D90" s="461" t="s">
        <v>354</v>
      </c>
      <c r="E90" s="461" t="s">
        <v>907</v>
      </c>
      <c r="F90" s="463">
        <f t="shared" si="90"/>
        <v>5</v>
      </c>
      <c r="G90" s="463">
        <f t="shared" si="106"/>
        <v>5</v>
      </c>
      <c r="H90" s="460">
        <v>5</v>
      </c>
      <c r="I90" s="460"/>
      <c r="J90" s="460"/>
      <c r="K90" s="460"/>
      <c r="L90" s="460"/>
      <c r="M90" s="460"/>
      <c r="N90" s="460"/>
      <c r="O90" s="459">
        <f t="shared" si="107"/>
        <v>0</v>
      </c>
      <c r="P90" s="460"/>
      <c r="Q90" s="460"/>
      <c r="R90" s="460"/>
      <c r="S90" s="460"/>
      <c r="T90" s="460"/>
      <c r="U90" s="463"/>
      <c r="V90" s="460"/>
      <c r="W90" s="460"/>
      <c r="X90" s="463">
        <f t="shared" si="91"/>
        <v>0</v>
      </c>
      <c r="Y90" s="463">
        <f t="shared" si="92"/>
        <v>0</v>
      </c>
      <c r="Z90" s="460"/>
      <c r="AA90" s="460"/>
      <c r="AB90" s="460"/>
      <c r="AC90" s="460"/>
      <c r="AD90" s="460"/>
      <c r="AE90" s="460"/>
      <c r="AF90" s="459">
        <f t="shared" si="93"/>
        <v>0</v>
      </c>
      <c r="AG90" s="460"/>
      <c r="AH90" s="460"/>
      <c r="AI90" s="460"/>
      <c r="AJ90" s="460"/>
      <c r="AK90" s="460"/>
      <c r="AL90" s="460"/>
      <c r="AM90" s="463">
        <f t="shared" si="94"/>
        <v>5</v>
      </c>
      <c r="AN90" s="463">
        <f t="shared" si="95"/>
        <v>5</v>
      </c>
      <c r="AO90" s="460">
        <f t="shared" si="96"/>
        <v>5</v>
      </c>
      <c r="AP90" s="460">
        <f t="shared" si="97"/>
        <v>0</v>
      </c>
      <c r="AQ90" s="460">
        <f t="shared" si="98"/>
        <v>0</v>
      </c>
      <c r="AR90" s="460">
        <f t="shared" si="99"/>
        <v>0</v>
      </c>
      <c r="AS90" s="460">
        <f t="shared" si="100"/>
        <v>0</v>
      </c>
      <c r="AT90" s="460">
        <f t="shared" si="101"/>
        <v>0</v>
      </c>
      <c r="AU90" s="463">
        <f t="shared" si="102"/>
        <v>0</v>
      </c>
      <c r="AV90" s="460">
        <f t="shared" si="88"/>
        <v>0</v>
      </c>
      <c r="AW90" s="460">
        <f t="shared" si="89"/>
        <v>0</v>
      </c>
      <c r="AX90" s="460">
        <f t="shared" si="103"/>
        <v>0</v>
      </c>
      <c r="AY90" s="460">
        <f t="shared" si="104"/>
        <v>0</v>
      </c>
      <c r="AZ90" s="463">
        <f t="shared" si="105"/>
        <v>0</v>
      </c>
      <c r="BA90" s="482"/>
      <c r="BB90" s="482"/>
    </row>
    <row r="91" s="425" customFormat="1" ht="39" customHeight="1" spans="1:54">
      <c r="A91" s="459">
        <v>86</v>
      </c>
      <c r="B91" s="460" t="s">
        <v>889</v>
      </c>
      <c r="C91" s="460" t="s">
        <v>203</v>
      </c>
      <c r="D91" s="461" t="s">
        <v>323</v>
      </c>
      <c r="E91" s="461" t="s">
        <v>842</v>
      </c>
      <c r="F91" s="463">
        <f t="shared" si="90"/>
        <v>56.72</v>
      </c>
      <c r="G91" s="463">
        <f t="shared" si="106"/>
        <v>33.72</v>
      </c>
      <c r="H91" s="460">
        <v>30</v>
      </c>
      <c r="I91" s="460"/>
      <c r="J91" s="460">
        <v>3.72</v>
      </c>
      <c r="K91" s="460"/>
      <c r="L91" s="460"/>
      <c r="M91" s="460"/>
      <c r="N91" s="460"/>
      <c r="O91" s="459">
        <f t="shared" si="107"/>
        <v>0</v>
      </c>
      <c r="P91" s="460"/>
      <c r="Q91" s="460"/>
      <c r="R91" s="460"/>
      <c r="S91" s="460"/>
      <c r="T91" s="460"/>
      <c r="U91" s="463">
        <v>23</v>
      </c>
      <c r="V91" s="460" t="s">
        <v>838</v>
      </c>
      <c r="W91" s="460" t="s">
        <v>908</v>
      </c>
      <c r="X91" s="463">
        <f t="shared" si="91"/>
        <v>3.38</v>
      </c>
      <c r="Y91" s="463">
        <f t="shared" si="92"/>
        <v>0</v>
      </c>
      <c r="Z91" s="460"/>
      <c r="AA91" s="460"/>
      <c r="AB91" s="460"/>
      <c r="AC91" s="460"/>
      <c r="AD91" s="460"/>
      <c r="AE91" s="460"/>
      <c r="AF91" s="459">
        <f t="shared" si="93"/>
        <v>3.38</v>
      </c>
      <c r="AG91" s="460">
        <v>3.38</v>
      </c>
      <c r="AH91" s="460"/>
      <c r="AI91" s="460"/>
      <c r="AJ91" s="460"/>
      <c r="AK91" s="460"/>
      <c r="AL91" s="460"/>
      <c r="AM91" s="463">
        <f t="shared" si="94"/>
        <v>60.1</v>
      </c>
      <c r="AN91" s="463">
        <f t="shared" si="95"/>
        <v>33.72</v>
      </c>
      <c r="AO91" s="460">
        <f t="shared" si="96"/>
        <v>30</v>
      </c>
      <c r="AP91" s="460">
        <f t="shared" si="97"/>
        <v>0</v>
      </c>
      <c r="AQ91" s="460">
        <f t="shared" si="98"/>
        <v>3.72</v>
      </c>
      <c r="AR91" s="460">
        <f t="shared" si="99"/>
        <v>0</v>
      </c>
      <c r="AS91" s="460">
        <f t="shared" si="100"/>
        <v>0</v>
      </c>
      <c r="AT91" s="460">
        <f t="shared" si="101"/>
        <v>0</v>
      </c>
      <c r="AU91" s="463">
        <f t="shared" si="102"/>
        <v>3.38</v>
      </c>
      <c r="AV91" s="460">
        <f t="shared" si="88"/>
        <v>3.38</v>
      </c>
      <c r="AW91" s="460">
        <f t="shared" si="89"/>
        <v>0</v>
      </c>
      <c r="AX91" s="460">
        <f t="shared" si="103"/>
        <v>0</v>
      </c>
      <c r="AY91" s="460">
        <f t="shared" si="104"/>
        <v>0</v>
      </c>
      <c r="AZ91" s="463">
        <f t="shared" si="105"/>
        <v>23</v>
      </c>
      <c r="BA91" s="482"/>
      <c r="BB91" s="482"/>
    </row>
    <row r="92" s="425" customFormat="1" ht="39" customHeight="1" spans="1:54">
      <c r="A92" s="459">
        <v>87</v>
      </c>
      <c r="B92" s="460" t="s">
        <v>889</v>
      </c>
      <c r="C92" s="460" t="s">
        <v>203</v>
      </c>
      <c r="D92" s="461" t="s">
        <v>209</v>
      </c>
      <c r="E92" s="461" t="s">
        <v>909</v>
      </c>
      <c r="F92" s="463">
        <f t="shared" si="90"/>
        <v>246.66</v>
      </c>
      <c r="G92" s="463">
        <f t="shared" si="106"/>
        <v>166.66</v>
      </c>
      <c r="H92" s="460">
        <v>62.5</v>
      </c>
      <c r="I92" s="460"/>
      <c r="J92" s="460">
        <v>24.16</v>
      </c>
      <c r="K92" s="460"/>
      <c r="L92" s="460"/>
      <c r="M92" s="460">
        <v>80</v>
      </c>
      <c r="N92" s="460" t="s">
        <v>910</v>
      </c>
      <c r="O92" s="459">
        <f t="shared" si="107"/>
        <v>0</v>
      </c>
      <c r="P92" s="460"/>
      <c r="Q92" s="460"/>
      <c r="R92" s="460"/>
      <c r="S92" s="460"/>
      <c r="T92" s="460"/>
      <c r="U92" s="463">
        <v>80</v>
      </c>
      <c r="V92" s="460" t="s">
        <v>838</v>
      </c>
      <c r="W92" s="460" t="s">
        <v>911</v>
      </c>
      <c r="X92" s="463">
        <f t="shared" si="91"/>
        <v>-0.92</v>
      </c>
      <c r="Y92" s="463">
        <f t="shared" si="92"/>
        <v>-0.92</v>
      </c>
      <c r="Z92" s="460"/>
      <c r="AA92" s="460"/>
      <c r="AB92" s="460">
        <v>-0.92</v>
      </c>
      <c r="AC92" s="460"/>
      <c r="AD92" s="460"/>
      <c r="AE92" s="460"/>
      <c r="AF92" s="459">
        <f t="shared" si="93"/>
        <v>0</v>
      </c>
      <c r="AG92" s="460"/>
      <c r="AH92" s="460"/>
      <c r="AI92" s="460"/>
      <c r="AJ92" s="460"/>
      <c r="AK92" s="460"/>
      <c r="AL92" s="460"/>
      <c r="AM92" s="463">
        <f t="shared" si="94"/>
        <v>245.74</v>
      </c>
      <c r="AN92" s="463">
        <f t="shared" si="95"/>
        <v>165.74</v>
      </c>
      <c r="AO92" s="460">
        <f t="shared" si="96"/>
        <v>62.5</v>
      </c>
      <c r="AP92" s="460">
        <f t="shared" si="97"/>
        <v>0</v>
      </c>
      <c r="AQ92" s="460">
        <f t="shared" si="98"/>
        <v>23.24</v>
      </c>
      <c r="AR92" s="460">
        <f t="shared" si="99"/>
        <v>0</v>
      </c>
      <c r="AS92" s="460">
        <f t="shared" si="100"/>
        <v>0</v>
      </c>
      <c r="AT92" s="460">
        <f t="shared" si="101"/>
        <v>80</v>
      </c>
      <c r="AU92" s="463">
        <f t="shared" si="102"/>
        <v>0</v>
      </c>
      <c r="AV92" s="460">
        <f t="shared" si="88"/>
        <v>0</v>
      </c>
      <c r="AW92" s="460">
        <f t="shared" si="89"/>
        <v>0</v>
      </c>
      <c r="AX92" s="460">
        <f t="shared" si="103"/>
        <v>0</v>
      </c>
      <c r="AY92" s="460">
        <f t="shared" si="104"/>
        <v>0</v>
      </c>
      <c r="AZ92" s="463">
        <f t="shared" si="105"/>
        <v>80</v>
      </c>
      <c r="BA92" s="482"/>
      <c r="BB92" s="482"/>
    </row>
    <row r="93" s="425" customFormat="1" ht="39" customHeight="1" spans="1:54">
      <c r="A93" s="459">
        <v>88</v>
      </c>
      <c r="B93" s="460" t="s">
        <v>889</v>
      </c>
      <c r="C93" s="460" t="s">
        <v>206</v>
      </c>
      <c r="D93" s="461" t="s">
        <v>211</v>
      </c>
      <c r="E93" s="461" t="s">
        <v>912</v>
      </c>
      <c r="F93" s="463">
        <f t="shared" si="90"/>
        <v>7.5</v>
      </c>
      <c r="G93" s="463">
        <f t="shared" si="106"/>
        <v>7.5</v>
      </c>
      <c r="H93" s="460">
        <v>7.5</v>
      </c>
      <c r="I93" s="460"/>
      <c r="J93" s="460"/>
      <c r="K93" s="460"/>
      <c r="L93" s="460"/>
      <c r="M93" s="460"/>
      <c r="N93" s="460"/>
      <c r="O93" s="459">
        <f t="shared" si="107"/>
        <v>0</v>
      </c>
      <c r="P93" s="460"/>
      <c r="Q93" s="460"/>
      <c r="R93" s="460"/>
      <c r="S93" s="460"/>
      <c r="T93" s="460"/>
      <c r="U93" s="463"/>
      <c r="V93" s="460"/>
      <c r="W93" s="460"/>
      <c r="X93" s="463">
        <f t="shared" si="91"/>
        <v>0</v>
      </c>
      <c r="Y93" s="463">
        <f t="shared" si="92"/>
        <v>0</v>
      </c>
      <c r="Z93" s="460"/>
      <c r="AA93" s="460"/>
      <c r="AB93" s="460"/>
      <c r="AC93" s="460"/>
      <c r="AD93" s="460"/>
      <c r="AE93" s="460"/>
      <c r="AF93" s="459">
        <f t="shared" si="93"/>
        <v>0</v>
      </c>
      <c r="AG93" s="460"/>
      <c r="AH93" s="460"/>
      <c r="AI93" s="460"/>
      <c r="AJ93" s="460"/>
      <c r="AK93" s="460"/>
      <c r="AL93" s="460"/>
      <c r="AM93" s="463">
        <f t="shared" si="94"/>
        <v>7.5</v>
      </c>
      <c r="AN93" s="463">
        <f t="shared" si="95"/>
        <v>7.5</v>
      </c>
      <c r="AO93" s="460">
        <f t="shared" si="96"/>
        <v>7.5</v>
      </c>
      <c r="AP93" s="460">
        <f t="shared" si="97"/>
        <v>0</v>
      </c>
      <c r="AQ93" s="460">
        <f t="shared" si="98"/>
        <v>0</v>
      </c>
      <c r="AR93" s="460">
        <f t="shared" si="99"/>
        <v>0</v>
      </c>
      <c r="AS93" s="460">
        <f t="shared" si="100"/>
        <v>0</v>
      </c>
      <c r="AT93" s="460">
        <f t="shared" si="101"/>
        <v>0</v>
      </c>
      <c r="AU93" s="463">
        <f t="shared" si="102"/>
        <v>0</v>
      </c>
      <c r="AV93" s="460">
        <f t="shared" si="88"/>
        <v>0</v>
      </c>
      <c r="AW93" s="460">
        <f t="shared" si="89"/>
        <v>0</v>
      </c>
      <c r="AX93" s="460">
        <f t="shared" si="103"/>
        <v>0</v>
      </c>
      <c r="AY93" s="460">
        <f t="shared" si="104"/>
        <v>0</v>
      </c>
      <c r="AZ93" s="463">
        <f t="shared" si="105"/>
        <v>0</v>
      </c>
      <c r="BA93" s="482"/>
      <c r="BB93" s="482"/>
    </row>
    <row r="94" s="425" customFormat="1" ht="39" customHeight="1" spans="1:54">
      <c r="A94" s="459">
        <v>89</v>
      </c>
      <c r="B94" s="460" t="s">
        <v>889</v>
      </c>
      <c r="C94" s="460" t="s">
        <v>203</v>
      </c>
      <c r="D94" s="461" t="s">
        <v>322</v>
      </c>
      <c r="E94" s="461" t="s">
        <v>842</v>
      </c>
      <c r="F94" s="463">
        <f t="shared" si="90"/>
        <v>44.44</v>
      </c>
      <c r="G94" s="463">
        <f t="shared" si="106"/>
        <v>14.44</v>
      </c>
      <c r="H94" s="460">
        <v>13</v>
      </c>
      <c r="I94" s="460"/>
      <c r="J94" s="460">
        <v>1.44</v>
      </c>
      <c r="K94" s="460"/>
      <c r="L94" s="460"/>
      <c r="M94" s="460"/>
      <c r="N94" s="460"/>
      <c r="O94" s="459">
        <f t="shared" si="107"/>
        <v>0</v>
      </c>
      <c r="P94" s="460"/>
      <c r="Q94" s="460"/>
      <c r="R94" s="460"/>
      <c r="S94" s="460"/>
      <c r="T94" s="460"/>
      <c r="U94" s="463">
        <v>30</v>
      </c>
      <c r="V94" s="460" t="s">
        <v>838</v>
      </c>
      <c r="W94" s="460" t="s">
        <v>913</v>
      </c>
      <c r="X94" s="463">
        <f t="shared" si="91"/>
        <v>4.47</v>
      </c>
      <c r="Y94" s="463">
        <f t="shared" si="92"/>
        <v>0.9</v>
      </c>
      <c r="Z94" s="460"/>
      <c r="AA94" s="460"/>
      <c r="AB94" s="460">
        <v>0.9</v>
      </c>
      <c r="AC94" s="460"/>
      <c r="AD94" s="460"/>
      <c r="AE94" s="460"/>
      <c r="AF94" s="459">
        <f t="shared" si="93"/>
        <v>3.57</v>
      </c>
      <c r="AG94" s="460">
        <v>3.57</v>
      </c>
      <c r="AH94" s="460"/>
      <c r="AI94" s="460"/>
      <c r="AJ94" s="460"/>
      <c r="AK94" s="460"/>
      <c r="AL94" s="460"/>
      <c r="AM94" s="463">
        <f t="shared" si="94"/>
        <v>48.91</v>
      </c>
      <c r="AN94" s="463">
        <f t="shared" si="95"/>
        <v>15.34</v>
      </c>
      <c r="AO94" s="460">
        <f t="shared" si="96"/>
        <v>13</v>
      </c>
      <c r="AP94" s="460">
        <f t="shared" si="97"/>
        <v>0</v>
      </c>
      <c r="AQ94" s="460">
        <f t="shared" si="98"/>
        <v>2.34</v>
      </c>
      <c r="AR94" s="460">
        <f t="shared" si="99"/>
        <v>0</v>
      </c>
      <c r="AS94" s="460">
        <f t="shared" si="100"/>
        <v>0</v>
      </c>
      <c r="AT94" s="460">
        <f t="shared" si="101"/>
        <v>0</v>
      </c>
      <c r="AU94" s="463">
        <f t="shared" si="102"/>
        <v>3.57</v>
      </c>
      <c r="AV94" s="460">
        <f t="shared" si="88"/>
        <v>3.57</v>
      </c>
      <c r="AW94" s="460">
        <f t="shared" si="89"/>
        <v>0</v>
      </c>
      <c r="AX94" s="460">
        <f t="shared" si="103"/>
        <v>0</v>
      </c>
      <c r="AY94" s="460">
        <f t="shared" si="104"/>
        <v>0</v>
      </c>
      <c r="AZ94" s="463">
        <f t="shared" si="105"/>
        <v>30</v>
      </c>
      <c r="BA94" s="482"/>
      <c r="BB94" s="482"/>
    </row>
    <row r="95" s="425" customFormat="1" ht="39" customHeight="1" spans="1:54">
      <c r="A95" s="459">
        <v>90</v>
      </c>
      <c r="B95" s="460" t="s">
        <v>889</v>
      </c>
      <c r="C95" s="460" t="s">
        <v>206</v>
      </c>
      <c r="D95" s="461" t="s">
        <v>327</v>
      </c>
      <c r="E95" s="461" t="s">
        <v>844</v>
      </c>
      <c r="F95" s="463">
        <f t="shared" si="90"/>
        <v>10</v>
      </c>
      <c r="G95" s="463">
        <f t="shared" si="106"/>
        <v>0</v>
      </c>
      <c r="H95" s="460"/>
      <c r="I95" s="460"/>
      <c r="J95" s="460"/>
      <c r="K95" s="460"/>
      <c r="L95" s="460"/>
      <c r="M95" s="460"/>
      <c r="N95" s="460"/>
      <c r="O95" s="459">
        <f t="shared" si="107"/>
        <v>0</v>
      </c>
      <c r="P95" s="460"/>
      <c r="Q95" s="460"/>
      <c r="R95" s="460"/>
      <c r="S95" s="460"/>
      <c r="T95" s="460"/>
      <c r="U95" s="463">
        <v>10</v>
      </c>
      <c r="V95" s="460"/>
      <c r="W95" s="460" t="s">
        <v>914</v>
      </c>
      <c r="X95" s="463">
        <f t="shared" si="91"/>
        <v>0</v>
      </c>
      <c r="Y95" s="463">
        <f t="shared" si="92"/>
        <v>0</v>
      </c>
      <c r="Z95" s="460"/>
      <c r="AA95" s="460"/>
      <c r="AB95" s="460"/>
      <c r="AC95" s="460"/>
      <c r="AD95" s="460"/>
      <c r="AE95" s="460"/>
      <c r="AF95" s="459">
        <f t="shared" si="93"/>
        <v>0</v>
      </c>
      <c r="AG95" s="460"/>
      <c r="AH95" s="460"/>
      <c r="AI95" s="460"/>
      <c r="AJ95" s="460"/>
      <c r="AK95" s="460"/>
      <c r="AL95" s="460"/>
      <c r="AM95" s="463">
        <f t="shared" si="94"/>
        <v>10</v>
      </c>
      <c r="AN95" s="463">
        <f t="shared" si="95"/>
        <v>0</v>
      </c>
      <c r="AO95" s="460">
        <f t="shared" si="96"/>
        <v>0</v>
      </c>
      <c r="AP95" s="460">
        <f t="shared" si="97"/>
        <v>0</v>
      </c>
      <c r="AQ95" s="460">
        <f t="shared" si="98"/>
        <v>0</v>
      </c>
      <c r="AR95" s="460">
        <f t="shared" si="99"/>
        <v>0</v>
      </c>
      <c r="AS95" s="460">
        <f t="shared" si="100"/>
        <v>0</v>
      </c>
      <c r="AT95" s="460">
        <f t="shared" si="101"/>
        <v>0</v>
      </c>
      <c r="AU95" s="463">
        <f t="shared" si="102"/>
        <v>0</v>
      </c>
      <c r="AV95" s="460">
        <f t="shared" si="88"/>
        <v>0</v>
      </c>
      <c r="AW95" s="460">
        <f t="shared" si="89"/>
        <v>0</v>
      </c>
      <c r="AX95" s="460">
        <f t="shared" si="103"/>
        <v>0</v>
      </c>
      <c r="AY95" s="460">
        <f t="shared" si="104"/>
        <v>0</v>
      </c>
      <c r="AZ95" s="463">
        <f t="shared" si="105"/>
        <v>10</v>
      </c>
      <c r="BA95" s="482"/>
      <c r="BB95" s="482"/>
    </row>
    <row r="96" s="425" customFormat="1" ht="39" customHeight="1" spans="1:54">
      <c r="A96" s="459">
        <v>91</v>
      </c>
      <c r="B96" s="460" t="s">
        <v>889</v>
      </c>
      <c r="C96" s="460" t="s">
        <v>203</v>
      </c>
      <c r="D96" s="461" t="s">
        <v>369</v>
      </c>
      <c r="E96" s="461" t="s">
        <v>915</v>
      </c>
      <c r="F96" s="463">
        <f t="shared" si="90"/>
        <v>15</v>
      </c>
      <c r="G96" s="463">
        <f t="shared" si="106"/>
        <v>15</v>
      </c>
      <c r="H96" s="460">
        <v>0.8</v>
      </c>
      <c r="I96" s="460"/>
      <c r="J96" s="460">
        <v>0.6</v>
      </c>
      <c r="K96" s="460"/>
      <c r="L96" s="460"/>
      <c r="M96" s="460">
        <v>13.6</v>
      </c>
      <c r="N96" s="460" t="s">
        <v>916</v>
      </c>
      <c r="O96" s="459">
        <f t="shared" si="107"/>
        <v>0</v>
      </c>
      <c r="P96" s="460"/>
      <c r="Q96" s="460"/>
      <c r="R96" s="460"/>
      <c r="S96" s="460"/>
      <c r="T96" s="460"/>
      <c r="U96" s="463"/>
      <c r="V96" s="460"/>
      <c r="W96" s="460"/>
      <c r="X96" s="463">
        <f t="shared" si="91"/>
        <v>0</v>
      </c>
      <c r="Y96" s="463">
        <f t="shared" si="92"/>
        <v>0</v>
      </c>
      <c r="Z96" s="460"/>
      <c r="AA96" s="460"/>
      <c r="AB96" s="460"/>
      <c r="AC96" s="460"/>
      <c r="AD96" s="460"/>
      <c r="AE96" s="460"/>
      <c r="AF96" s="459">
        <f t="shared" si="93"/>
        <v>0</v>
      </c>
      <c r="AG96" s="460"/>
      <c r="AH96" s="460"/>
      <c r="AI96" s="460"/>
      <c r="AJ96" s="460"/>
      <c r="AK96" s="460"/>
      <c r="AL96" s="460"/>
      <c r="AM96" s="463">
        <f t="shared" si="94"/>
        <v>15</v>
      </c>
      <c r="AN96" s="463">
        <f t="shared" si="95"/>
        <v>15</v>
      </c>
      <c r="AO96" s="460">
        <f t="shared" si="96"/>
        <v>0.8</v>
      </c>
      <c r="AP96" s="460">
        <f t="shared" si="97"/>
        <v>0</v>
      </c>
      <c r="AQ96" s="460">
        <f t="shared" si="98"/>
        <v>0.6</v>
      </c>
      <c r="AR96" s="460">
        <f t="shared" si="99"/>
        <v>0</v>
      </c>
      <c r="AS96" s="460">
        <f t="shared" si="100"/>
        <v>0</v>
      </c>
      <c r="AT96" s="460">
        <f t="shared" si="101"/>
        <v>13.6</v>
      </c>
      <c r="AU96" s="463">
        <f t="shared" si="102"/>
        <v>0</v>
      </c>
      <c r="AV96" s="460">
        <f t="shared" si="88"/>
        <v>0</v>
      </c>
      <c r="AW96" s="460">
        <f t="shared" si="89"/>
        <v>0</v>
      </c>
      <c r="AX96" s="460">
        <f t="shared" si="103"/>
        <v>0</v>
      </c>
      <c r="AY96" s="460">
        <f t="shared" si="104"/>
        <v>0</v>
      </c>
      <c r="AZ96" s="463">
        <f t="shared" si="105"/>
        <v>0</v>
      </c>
      <c r="BA96" s="482"/>
      <c r="BB96" s="482"/>
    </row>
    <row r="97" s="425" customFormat="1" ht="39" customHeight="1" spans="1:54">
      <c r="A97" s="459">
        <v>92</v>
      </c>
      <c r="B97" s="460" t="s">
        <v>889</v>
      </c>
      <c r="C97" s="460" t="s">
        <v>203</v>
      </c>
      <c r="D97" s="461" t="s">
        <v>325</v>
      </c>
      <c r="E97" s="461" t="s">
        <v>842</v>
      </c>
      <c r="F97" s="463">
        <f t="shared" si="90"/>
        <v>34.38</v>
      </c>
      <c r="G97" s="463">
        <f t="shared" si="106"/>
        <v>1.38</v>
      </c>
      <c r="H97" s="460">
        <v>0.6</v>
      </c>
      <c r="I97" s="460"/>
      <c r="J97" s="460">
        <v>0.78</v>
      </c>
      <c r="K97" s="460"/>
      <c r="L97" s="460"/>
      <c r="M97" s="460"/>
      <c r="N97" s="460"/>
      <c r="O97" s="459">
        <f t="shared" si="107"/>
        <v>0</v>
      </c>
      <c r="P97" s="460"/>
      <c r="Q97" s="460"/>
      <c r="R97" s="460"/>
      <c r="S97" s="460"/>
      <c r="T97" s="460"/>
      <c r="U97" s="463">
        <v>33</v>
      </c>
      <c r="V97" s="460" t="s">
        <v>838</v>
      </c>
      <c r="W97" s="460" t="s">
        <v>917</v>
      </c>
      <c r="X97" s="463">
        <f t="shared" si="91"/>
        <v>0.2</v>
      </c>
      <c r="Y97" s="463">
        <f t="shared" si="92"/>
        <v>0.2</v>
      </c>
      <c r="Z97" s="460"/>
      <c r="AA97" s="460"/>
      <c r="AB97" s="460">
        <v>0.2</v>
      </c>
      <c r="AC97" s="460"/>
      <c r="AD97" s="460"/>
      <c r="AE97" s="460"/>
      <c r="AF97" s="459">
        <f t="shared" si="93"/>
        <v>0</v>
      </c>
      <c r="AG97" s="460"/>
      <c r="AH97" s="460"/>
      <c r="AI97" s="460"/>
      <c r="AJ97" s="460"/>
      <c r="AK97" s="460"/>
      <c r="AL97" s="460"/>
      <c r="AM97" s="463">
        <f t="shared" si="94"/>
        <v>34.58</v>
      </c>
      <c r="AN97" s="463">
        <f t="shared" si="95"/>
        <v>1.58</v>
      </c>
      <c r="AO97" s="460">
        <f t="shared" si="96"/>
        <v>0.6</v>
      </c>
      <c r="AP97" s="460">
        <f t="shared" si="97"/>
        <v>0</v>
      </c>
      <c r="AQ97" s="460">
        <f t="shared" si="98"/>
        <v>0.98</v>
      </c>
      <c r="AR97" s="460">
        <f t="shared" si="99"/>
        <v>0</v>
      </c>
      <c r="AS97" s="460">
        <f t="shared" si="100"/>
        <v>0</v>
      </c>
      <c r="AT97" s="460">
        <f t="shared" si="101"/>
        <v>0</v>
      </c>
      <c r="AU97" s="463">
        <f t="shared" si="102"/>
        <v>0</v>
      </c>
      <c r="AV97" s="460">
        <f t="shared" si="88"/>
        <v>0</v>
      </c>
      <c r="AW97" s="460">
        <f t="shared" si="89"/>
        <v>0</v>
      </c>
      <c r="AX97" s="460">
        <f t="shared" si="103"/>
        <v>0</v>
      </c>
      <c r="AY97" s="460">
        <f t="shared" si="104"/>
        <v>0</v>
      </c>
      <c r="AZ97" s="463">
        <f t="shared" si="105"/>
        <v>33</v>
      </c>
      <c r="BA97" s="482"/>
      <c r="BB97" s="482"/>
    </row>
    <row r="98" s="425" customFormat="1" ht="39" customHeight="1" spans="1:54">
      <c r="A98" s="459">
        <v>93</v>
      </c>
      <c r="B98" s="460" t="s">
        <v>889</v>
      </c>
      <c r="C98" s="460" t="s">
        <v>206</v>
      </c>
      <c r="D98" s="461" t="s">
        <v>330</v>
      </c>
      <c r="E98" s="461" t="s">
        <v>844</v>
      </c>
      <c r="F98" s="463">
        <f t="shared" si="90"/>
        <v>1.8</v>
      </c>
      <c r="G98" s="463">
        <f t="shared" si="106"/>
        <v>1.8</v>
      </c>
      <c r="H98" s="460">
        <v>1.8</v>
      </c>
      <c r="I98" s="460"/>
      <c r="J98" s="460"/>
      <c r="K98" s="460"/>
      <c r="L98" s="460"/>
      <c r="M98" s="460"/>
      <c r="N98" s="460"/>
      <c r="O98" s="459">
        <f t="shared" si="107"/>
        <v>0</v>
      </c>
      <c r="P98" s="460"/>
      <c r="Q98" s="460"/>
      <c r="R98" s="460"/>
      <c r="S98" s="460"/>
      <c r="T98" s="460"/>
      <c r="U98" s="463"/>
      <c r="V98" s="460"/>
      <c r="W98" s="460"/>
      <c r="X98" s="463">
        <f t="shared" si="91"/>
        <v>0</v>
      </c>
      <c r="Y98" s="463">
        <f t="shared" si="92"/>
        <v>0</v>
      </c>
      <c r="Z98" s="460"/>
      <c r="AA98" s="460"/>
      <c r="AB98" s="460"/>
      <c r="AC98" s="460"/>
      <c r="AD98" s="460"/>
      <c r="AE98" s="460"/>
      <c r="AF98" s="459">
        <f t="shared" si="93"/>
        <v>0</v>
      </c>
      <c r="AG98" s="460"/>
      <c r="AH98" s="460"/>
      <c r="AI98" s="460"/>
      <c r="AJ98" s="460"/>
      <c r="AK98" s="460"/>
      <c r="AL98" s="460"/>
      <c r="AM98" s="463">
        <f t="shared" si="94"/>
        <v>1.8</v>
      </c>
      <c r="AN98" s="463">
        <f t="shared" si="95"/>
        <v>1.8</v>
      </c>
      <c r="AO98" s="460">
        <f t="shared" si="96"/>
        <v>1.8</v>
      </c>
      <c r="AP98" s="460">
        <f t="shared" si="97"/>
        <v>0</v>
      </c>
      <c r="AQ98" s="460">
        <f t="shared" si="98"/>
        <v>0</v>
      </c>
      <c r="AR98" s="460">
        <f t="shared" si="99"/>
        <v>0</v>
      </c>
      <c r="AS98" s="460">
        <f t="shared" si="100"/>
        <v>0</v>
      </c>
      <c r="AT98" s="460">
        <f t="shared" si="101"/>
        <v>0</v>
      </c>
      <c r="AU98" s="463">
        <f t="shared" si="102"/>
        <v>0</v>
      </c>
      <c r="AV98" s="460">
        <f t="shared" si="88"/>
        <v>0</v>
      </c>
      <c r="AW98" s="460">
        <f t="shared" si="89"/>
        <v>0</v>
      </c>
      <c r="AX98" s="460">
        <f t="shared" si="103"/>
        <v>0</v>
      </c>
      <c r="AY98" s="460">
        <f t="shared" si="104"/>
        <v>0</v>
      </c>
      <c r="AZ98" s="463">
        <f t="shared" si="105"/>
        <v>0</v>
      </c>
      <c r="BA98" s="482"/>
      <c r="BB98" s="482"/>
    </row>
    <row r="99" s="425" customFormat="1" ht="39" customHeight="1" spans="1:54">
      <c r="A99" s="459">
        <v>94</v>
      </c>
      <c r="B99" s="460" t="s">
        <v>889</v>
      </c>
      <c r="C99" s="460" t="s">
        <v>203</v>
      </c>
      <c r="D99" s="461" t="s">
        <v>367</v>
      </c>
      <c r="E99" s="461" t="s">
        <v>895</v>
      </c>
      <c r="F99" s="463">
        <f t="shared" si="90"/>
        <v>42.23</v>
      </c>
      <c r="G99" s="463">
        <f t="shared" si="106"/>
        <v>42.23</v>
      </c>
      <c r="H99" s="460">
        <v>5.4</v>
      </c>
      <c r="I99" s="460"/>
      <c r="J99" s="460">
        <v>6.83</v>
      </c>
      <c r="K99" s="460"/>
      <c r="L99" s="460"/>
      <c r="M99" s="460">
        <v>30</v>
      </c>
      <c r="N99" s="460" t="s">
        <v>918</v>
      </c>
      <c r="O99" s="459">
        <f t="shared" si="107"/>
        <v>0</v>
      </c>
      <c r="P99" s="460"/>
      <c r="Q99" s="460"/>
      <c r="R99" s="460"/>
      <c r="S99" s="460"/>
      <c r="T99" s="460"/>
      <c r="U99" s="463"/>
      <c r="V99" s="460"/>
      <c r="W99" s="460"/>
      <c r="X99" s="463">
        <f t="shared" si="91"/>
        <v>31.75</v>
      </c>
      <c r="Y99" s="463">
        <f t="shared" si="92"/>
        <v>0.25</v>
      </c>
      <c r="Z99" s="460"/>
      <c r="AA99" s="460"/>
      <c r="AB99" s="460">
        <v>0.25</v>
      </c>
      <c r="AC99" s="460"/>
      <c r="AD99" s="460"/>
      <c r="AE99" s="460"/>
      <c r="AF99" s="459">
        <f t="shared" si="93"/>
        <v>30</v>
      </c>
      <c r="AG99" s="460"/>
      <c r="AH99" s="460"/>
      <c r="AI99" s="460"/>
      <c r="AJ99" s="460">
        <v>30</v>
      </c>
      <c r="AK99" s="460">
        <v>1.5</v>
      </c>
      <c r="AL99" s="460" t="s">
        <v>919</v>
      </c>
      <c r="AM99" s="463">
        <f t="shared" si="94"/>
        <v>73.98</v>
      </c>
      <c r="AN99" s="463">
        <f t="shared" si="95"/>
        <v>42.48</v>
      </c>
      <c r="AO99" s="460">
        <f t="shared" si="96"/>
        <v>5.4</v>
      </c>
      <c r="AP99" s="460">
        <f t="shared" si="97"/>
        <v>0</v>
      </c>
      <c r="AQ99" s="460">
        <f t="shared" si="98"/>
        <v>7.08</v>
      </c>
      <c r="AR99" s="460">
        <f t="shared" si="99"/>
        <v>0</v>
      </c>
      <c r="AS99" s="460">
        <f t="shared" si="100"/>
        <v>0</v>
      </c>
      <c r="AT99" s="460">
        <f t="shared" si="101"/>
        <v>30</v>
      </c>
      <c r="AU99" s="463">
        <f t="shared" si="102"/>
        <v>30</v>
      </c>
      <c r="AV99" s="460">
        <f t="shared" si="88"/>
        <v>0</v>
      </c>
      <c r="AW99" s="460">
        <f t="shared" si="89"/>
        <v>0</v>
      </c>
      <c r="AX99" s="460">
        <f t="shared" si="103"/>
        <v>0</v>
      </c>
      <c r="AY99" s="460">
        <f t="shared" si="104"/>
        <v>30</v>
      </c>
      <c r="AZ99" s="463">
        <f t="shared" si="105"/>
        <v>1.5</v>
      </c>
      <c r="BA99" s="482"/>
      <c r="BB99" s="482"/>
    </row>
    <row r="100" s="425" customFormat="1" ht="39" customHeight="1" spans="1:54">
      <c r="A100" s="459">
        <v>95</v>
      </c>
      <c r="B100" s="460" t="s">
        <v>889</v>
      </c>
      <c r="C100" s="460" t="s">
        <v>206</v>
      </c>
      <c r="D100" s="461" t="s">
        <v>374</v>
      </c>
      <c r="E100" s="461" t="s">
        <v>920</v>
      </c>
      <c r="F100" s="463">
        <f t="shared" si="90"/>
        <v>2.4</v>
      </c>
      <c r="G100" s="463">
        <f t="shared" si="106"/>
        <v>2.4</v>
      </c>
      <c r="H100" s="460">
        <v>2.4</v>
      </c>
      <c r="I100" s="460"/>
      <c r="J100" s="460"/>
      <c r="K100" s="460"/>
      <c r="L100" s="460"/>
      <c r="M100" s="460"/>
      <c r="N100" s="460"/>
      <c r="O100" s="459">
        <f t="shared" si="107"/>
        <v>0</v>
      </c>
      <c r="P100" s="460"/>
      <c r="Q100" s="460"/>
      <c r="R100" s="460"/>
      <c r="S100" s="460"/>
      <c r="T100" s="460"/>
      <c r="U100" s="463"/>
      <c r="V100" s="460"/>
      <c r="W100" s="460"/>
      <c r="X100" s="463">
        <f t="shared" si="91"/>
        <v>0</v>
      </c>
      <c r="Y100" s="463">
        <f t="shared" si="92"/>
        <v>0</v>
      </c>
      <c r="Z100" s="460"/>
      <c r="AA100" s="460"/>
      <c r="AB100" s="460"/>
      <c r="AC100" s="460"/>
      <c r="AD100" s="460"/>
      <c r="AE100" s="460"/>
      <c r="AF100" s="459">
        <f t="shared" si="93"/>
        <v>0</v>
      </c>
      <c r="AG100" s="460"/>
      <c r="AH100" s="460"/>
      <c r="AI100" s="460"/>
      <c r="AJ100" s="460"/>
      <c r="AK100" s="460"/>
      <c r="AL100" s="460"/>
      <c r="AM100" s="463">
        <f t="shared" si="94"/>
        <v>2.4</v>
      </c>
      <c r="AN100" s="463">
        <f t="shared" si="95"/>
        <v>2.4</v>
      </c>
      <c r="AO100" s="460">
        <f t="shared" si="96"/>
        <v>2.4</v>
      </c>
      <c r="AP100" s="460">
        <f t="shared" si="97"/>
        <v>0</v>
      </c>
      <c r="AQ100" s="460">
        <f t="shared" si="98"/>
        <v>0</v>
      </c>
      <c r="AR100" s="460">
        <f t="shared" si="99"/>
        <v>0</v>
      </c>
      <c r="AS100" s="460">
        <f t="shared" si="100"/>
        <v>0</v>
      </c>
      <c r="AT100" s="460">
        <f t="shared" si="101"/>
        <v>0</v>
      </c>
      <c r="AU100" s="463">
        <f t="shared" si="102"/>
        <v>0</v>
      </c>
      <c r="AV100" s="460">
        <f t="shared" si="88"/>
        <v>0</v>
      </c>
      <c r="AW100" s="460">
        <f t="shared" si="89"/>
        <v>0</v>
      </c>
      <c r="AX100" s="460">
        <f t="shared" si="103"/>
        <v>0</v>
      </c>
      <c r="AY100" s="460">
        <f t="shared" si="104"/>
        <v>0</v>
      </c>
      <c r="AZ100" s="463">
        <f t="shared" si="105"/>
        <v>0</v>
      </c>
      <c r="BA100" s="482"/>
      <c r="BB100" s="482"/>
    </row>
    <row r="101" s="425" customFormat="1" ht="39" customHeight="1" spans="1:54">
      <c r="A101" s="459">
        <v>96</v>
      </c>
      <c r="B101" s="460" t="s">
        <v>889</v>
      </c>
      <c r="C101" s="460" t="s">
        <v>203</v>
      </c>
      <c r="D101" s="461" t="s">
        <v>217</v>
      </c>
      <c r="E101" s="461" t="s">
        <v>921</v>
      </c>
      <c r="F101" s="463">
        <f t="shared" si="90"/>
        <v>25.32</v>
      </c>
      <c r="G101" s="463">
        <f t="shared" si="106"/>
        <v>20.32</v>
      </c>
      <c r="H101" s="460">
        <v>6</v>
      </c>
      <c r="I101" s="460"/>
      <c r="J101" s="460">
        <v>4.32</v>
      </c>
      <c r="K101" s="460"/>
      <c r="L101" s="460"/>
      <c r="M101" s="460">
        <v>10</v>
      </c>
      <c r="N101" s="460" t="s">
        <v>922</v>
      </c>
      <c r="O101" s="459">
        <f t="shared" si="107"/>
        <v>0</v>
      </c>
      <c r="P101" s="460"/>
      <c r="Q101" s="460"/>
      <c r="R101" s="460"/>
      <c r="S101" s="460"/>
      <c r="T101" s="460"/>
      <c r="U101" s="463">
        <v>5</v>
      </c>
      <c r="V101" s="460" t="s">
        <v>838</v>
      </c>
      <c r="W101" s="460" t="s">
        <v>923</v>
      </c>
      <c r="X101" s="463">
        <f t="shared" si="91"/>
        <v>25.64</v>
      </c>
      <c r="Y101" s="463">
        <f t="shared" si="92"/>
        <v>-0.36</v>
      </c>
      <c r="Z101" s="460"/>
      <c r="AA101" s="460"/>
      <c r="AB101" s="460">
        <v>-0.36</v>
      </c>
      <c r="AC101" s="460"/>
      <c r="AD101" s="460"/>
      <c r="AE101" s="460"/>
      <c r="AF101" s="459">
        <f t="shared" si="93"/>
        <v>26</v>
      </c>
      <c r="AG101" s="460"/>
      <c r="AH101" s="460"/>
      <c r="AI101" s="460"/>
      <c r="AJ101" s="460">
        <v>26</v>
      </c>
      <c r="AK101" s="460"/>
      <c r="AL101" s="460" t="s">
        <v>924</v>
      </c>
      <c r="AM101" s="463">
        <f t="shared" si="94"/>
        <v>50.96</v>
      </c>
      <c r="AN101" s="463">
        <f t="shared" si="95"/>
        <v>19.96</v>
      </c>
      <c r="AO101" s="460">
        <f t="shared" si="96"/>
        <v>6</v>
      </c>
      <c r="AP101" s="460">
        <f t="shared" si="97"/>
        <v>0</v>
      </c>
      <c r="AQ101" s="460">
        <f t="shared" si="98"/>
        <v>3.96</v>
      </c>
      <c r="AR101" s="460">
        <f t="shared" si="99"/>
        <v>0</v>
      </c>
      <c r="AS101" s="460">
        <f t="shared" si="100"/>
        <v>0</v>
      </c>
      <c r="AT101" s="460">
        <f t="shared" si="101"/>
        <v>10</v>
      </c>
      <c r="AU101" s="463">
        <f t="shared" si="102"/>
        <v>26</v>
      </c>
      <c r="AV101" s="460">
        <f t="shared" si="88"/>
        <v>0</v>
      </c>
      <c r="AW101" s="460">
        <f t="shared" si="89"/>
        <v>0</v>
      </c>
      <c r="AX101" s="460">
        <f t="shared" si="103"/>
        <v>0</v>
      </c>
      <c r="AY101" s="460">
        <f t="shared" si="104"/>
        <v>26</v>
      </c>
      <c r="AZ101" s="463">
        <f t="shared" si="105"/>
        <v>5</v>
      </c>
      <c r="BA101" s="482"/>
      <c r="BB101" s="482"/>
    </row>
    <row r="102" s="425" customFormat="1" ht="39" customHeight="1" spans="1:54">
      <c r="A102" s="459">
        <v>97</v>
      </c>
      <c r="B102" s="460" t="s">
        <v>889</v>
      </c>
      <c r="C102" s="460" t="s">
        <v>203</v>
      </c>
      <c r="D102" s="461" t="s">
        <v>355</v>
      </c>
      <c r="E102" s="461" t="s">
        <v>925</v>
      </c>
      <c r="F102" s="463">
        <f t="shared" si="90"/>
        <v>304.4</v>
      </c>
      <c r="G102" s="463">
        <f t="shared" si="106"/>
        <v>21.58</v>
      </c>
      <c r="H102" s="460">
        <v>12</v>
      </c>
      <c r="I102" s="460"/>
      <c r="J102" s="460">
        <v>9.58</v>
      </c>
      <c r="K102" s="460"/>
      <c r="L102" s="460"/>
      <c r="M102" s="460"/>
      <c r="N102" s="460"/>
      <c r="O102" s="459">
        <f t="shared" si="107"/>
        <v>3.82</v>
      </c>
      <c r="P102" s="460">
        <v>3.82</v>
      </c>
      <c r="Q102" s="460"/>
      <c r="R102" s="460"/>
      <c r="S102" s="460"/>
      <c r="T102" s="460"/>
      <c r="U102" s="463">
        <v>279</v>
      </c>
      <c r="V102" s="460" t="s">
        <v>838</v>
      </c>
      <c r="W102" s="460" t="s">
        <v>926</v>
      </c>
      <c r="X102" s="463">
        <f t="shared" si="91"/>
        <v>-273.27</v>
      </c>
      <c r="Y102" s="463">
        <f t="shared" si="92"/>
        <v>-0.73</v>
      </c>
      <c r="Z102" s="460"/>
      <c r="AA102" s="460"/>
      <c r="AB102" s="460">
        <v>-0.73</v>
      </c>
      <c r="AC102" s="460"/>
      <c r="AD102" s="460"/>
      <c r="AE102" s="460"/>
      <c r="AF102" s="459">
        <f t="shared" si="93"/>
        <v>4.96</v>
      </c>
      <c r="AG102" s="460">
        <v>4.96</v>
      </c>
      <c r="AH102" s="460"/>
      <c r="AI102" s="460"/>
      <c r="AJ102" s="460"/>
      <c r="AK102" s="460">
        <f>1.5-279</f>
        <v>-277.5</v>
      </c>
      <c r="AL102" s="460" t="s">
        <v>846</v>
      </c>
      <c r="AM102" s="463">
        <f t="shared" si="94"/>
        <v>31.13</v>
      </c>
      <c r="AN102" s="463">
        <f t="shared" si="95"/>
        <v>20.85</v>
      </c>
      <c r="AO102" s="460">
        <f t="shared" si="96"/>
        <v>12</v>
      </c>
      <c r="AP102" s="460">
        <f t="shared" si="97"/>
        <v>0</v>
      </c>
      <c r="AQ102" s="460">
        <f t="shared" si="98"/>
        <v>8.85</v>
      </c>
      <c r="AR102" s="460">
        <f t="shared" si="99"/>
        <v>0</v>
      </c>
      <c r="AS102" s="460">
        <f t="shared" si="100"/>
        <v>0</v>
      </c>
      <c r="AT102" s="460">
        <f t="shared" si="101"/>
        <v>0</v>
      </c>
      <c r="AU102" s="463">
        <f t="shared" si="102"/>
        <v>8.78</v>
      </c>
      <c r="AV102" s="460">
        <f t="shared" si="88"/>
        <v>8.78</v>
      </c>
      <c r="AW102" s="460">
        <f t="shared" si="89"/>
        <v>0</v>
      </c>
      <c r="AX102" s="460">
        <f t="shared" si="103"/>
        <v>0</v>
      </c>
      <c r="AY102" s="460">
        <f t="shared" si="104"/>
        <v>0</v>
      </c>
      <c r="AZ102" s="463">
        <f t="shared" si="105"/>
        <v>1.5</v>
      </c>
      <c r="BA102" s="482">
        <v>279</v>
      </c>
      <c r="BB102" s="482"/>
    </row>
    <row r="103" s="425" customFormat="1" ht="39" customHeight="1" spans="1:54">
      <c r="A103" s="459">
        <v>98</v>
      </c>
      <c r="B103" s="460" t="s">
        <v>889</v>
      </c>
      <c r="C103" s="460" t="s">
        <v>206</v>
      </c>
      <c r="D103" s="461" t="s">
        <v>358</v>
      </c>
      <c r="E103" s="461" t="s">
        <v>927</v>
      </c>
      <c r="F103" s="463">
        <f t="shared" si="90"/>
        <v>9</v>
      </c>
      <c r="G103" s="463">
        <f t="shared" si="106"/>
        <v>9</v>
      </c>
      <c r="H103" s="460">
        <v>9</v>
      </c>
      <c r="I103" s="460"/>
      <c r="J103" s="460"/>
      <c r="K103" s="460"/>
      <c r="L103" s="460"/>
      <c r="M103" s="460"/>
      <c r="N103" s="460"/>
      <c r="O103" s="459">
        <f t="shared" si="107"/>
        <v>0</v>
      </c>
      <c r="P103" s="460"/>
      <c r="Q103" s="460"/>
      <c r="R103" s="460"/>
      <c r="S103" s="460"/>
      <c r="T103" s="460"/>
      <c r="U103" s="463"/>
      <c r="V103" s="460"/>
      <c r="W103" s="460"/>
      <c r="X103" s="463">
        <f t="shared" si="91"/>
        <v>0</v>
      </c>
      <c r="Y103" s="463">
        <f t="shared" si="92"/>
        <v>0</v>
      </c>
      <c r="Z103" s="460"/>
      <c r="AA103" s="460"/>
      <c r="AB103" s="460"/>
      <c r="AC103" s="460"/>
      <c r="AD103" s="460"/>
      <c r="AE103" s="460"/>
      <c r="AF103" s="459">
        <f t="shared" si="93"/>
        <v>0</v>
      </c>
      <c r="AG103" s="460"/>
      <c r="AH103" s="460"/>
      <c r="AI103" s="460"/>
      <c r="AJ103" s="460"/>
      <c r="AK103" s="460"/>
      <c r="AL103" s="460"/>
      <c r="AM103" s="463">
        <f t="shared" si="94"/>
        <v>9</v>
      </c>
      <c r="AN103" s="463">
        <f t="shared" si="95"/>
        <v>9</v>
      </c>
      <c r="AO103" s="460">
        <f t="shared" si="96"/>
        <v>9</v>
      </c>
      <c r="AP103" s="460">
        <f t="shared" si="97"/>
        <v>0</v>
      </c>
      <c r="AQ103" s="460">
        <f t="shared" si="98"/>
        <v>0</v>
      </c>
      <c r="AR103" s="460">
        <f t="shared" si="99"/>
        <v>0</v>
      </c>
      <c r="AS103" s="460">
        <f t="shared" si="100"/>
        <v>0</v>
      </c>
      <c r="AT103" s="460">
        <f t="shared" si="101"/>
        <v>0</v>
      </c>
      <c r="AU103" s="463">
        <f t="shared" si="102"/>
        <v>0</v>
      </c>
      <c r="AV103" s="460">
        <f t="shared" si="88"/>
        <v>0</v>
      </c>
      <c r="AW103" s="460">
        <f t="shared" si="89"/>
        <v>0</v>
      </c>
      <c r="AX103" s="460">
        <f t="shared" si="103"/>
        <v>0</v>
      </c>
      <c r="AY103" s="460">
        <f t="shared" si="104"/>
        <v>0</v>
      </c>
      <c r="AZ103" s="463">
        <f t="shared" si="105"/>
        <v>0</v>
      </c>
      <c r="BA103" s="482"/>
      <c r="BB103" s="482"/>
    </row>
    <row r="104" s="425" customFormat="1" ht="39" customHeight="1" spans="1:54">
      <c r="A104" s="459">
        <v>99</v>
      </c>
      <c r="B104" s="460" t="s">
        <v>889</v>
      </c>
      <c r="C104" s="460" t="s">
        <v>203</v>
      </c>
      <c r="D104" s="461" t="s">
        <v>288</v>
      </c>
      <c r="E104" s="461" t="s">
        <v>928</v>
      </c>
      <c r="F104" s="463">
        <f t="shared" si="90"/>
        <v>791.93</v>
      </c>
      <c r="G104" s="463">
        <f t="shared" si="106"/>
        <v>599.93</v>
      </c>
      <c r="H104" s="460">
        <v>237.5</v>
      </c>
      <c r="I104" s="460">
        <v>28.8</v>
      </c>
      <c r="J104" s="460">
        <v>64.63</v>
      </c>
      <c r="K104" s="460"/>
      <c r="L104" s="460"/>
      <c r="M104" s="460">
        <f>286-17</f>
        <v>269</v>
      </c>
      <c r="N104" s="460" t="s">
        <v>929</v>
      </c>
      <c r="O104" s="459">
        <f t="shared" si="107"/>
        <v>192</v>
      </c>
      <c r="P104" s="460"/>
      <c r="Q104" s="460">
        <v>192</v>
      </c>
      <c r="R104" s="460"/>
      <c r="S104" s="460"/>
      <c r="T104" s="460"/>
      <c r="U104" s="463"/>
      <c r="V104" s="460"/>
      <c r="W104" s="460"/>
      <c r="X104" s="463">
        <f t="shared" si="91"/>
        <v>-189.25</v>
      </c>
      <c r="Y104" s="463">
        <f t="shared" si="92"/>
        <v>-268.67</v>
      </c>
      <c r="Z104" s="471"/>
      <c r="AA104" s="460"/>
      <c r="AB104" s="460">
        <v>-0.98</v>
      </c>
      <c r="AC104" s="460"/>
      <c r="AD104" s="460"/>
      <c r="AE104" s="471">
        <v>-267.69</v>
      </c>
      <c r="AF104" s="459">
        <f t="shared" si="93"/>
        <v>79.42</v>
      </c>
      <c r="AG104" s="460"/>
      <c r="AH104" s="460">
        <v>34.42</v>
      </c>
      <c r="AI104" s="460"/>
      <c r="AJ104" s="460">
        <v>45</v>
      </c>
      <c r="AK104" s="460"/>
      <c r="AL104" s="460" t="s">
        <v>930</v>
      </c>
      <c r="AM104" s="463">
        <f t="shared" si="94"/>
        <v>602.68</v>
      </c>
      <c r="AN104" s="463">
        <f t="shared" si="95"/>
        <v>331.26</v>
      </c>
      <c r="AO104" s="460">
        <f t="shared" si="96"/>
        <v>237.5</v>
      </c>
      <c r="AP104" s="460">
        <f t="shared" si="97"/>
        <v>28.8</v>
      </c>
      <c r="AQ104" s="460">
        <f t="shared" si="98"/>
        <v>63.65</v>
      </c>
      <c r="AR104" s="460">
        <f t="shared" si="99"/>
        <v>0</v>
      </c>
      <c r="AS104" s="460">
        <f t="shared" si="100"/>
        <v>0</v>
      </c>
      <c r="AT104" s="460">
        <f t="shared" si="101"/>
        <v>1.31</v>
      </c>
      <c r="AU104" s="463">
        <f t="shared" si="102"/>
        <v>271.42</v>
      </c>
      <c r="AV104" s="460">
        <f t="shared" si="88"/>
        <v>0</v>
      </c>
      <c r="AW104" s="460">
        <f t="shared" si="89"/>
        <v>226.42</v>
      </c>
      <c r="AX104" s="460">
        <f t="shared" si="103"/>
        <v>0</v>
      </c>
      <c r="AY104" s="460">
        <f t="shared" si="104"/>
        <v>45</v>
      </c>
      <c r="AZ104" s="463">
        <f t="shared" si="105"/>
        <v>0</v>
      </c>
      <c r="BA104" s="482"/>
      <c r="BB104" s="482"/>
    </row>
    <row r="105" s="425" customFormat="1" ht="39" customHeight="1" spans="1:54">
      <c r="A105" s="459">
        <v>100</v>
      </c>
      <c r="B105" s="460" t="s">
        <v>889</v>
      </c>
      <c r="C105" s="460" t="s">
        <v>206</v>
      </c>
      <c r="D105" s="461" t="s">
        <v>291</v>
      </c>
      <c r="E105" s="461" t="s">
        <v>931</v>
      </c>
      <c r="F105" s="463">
        <f t="shared" ref="F105:F151" si="108">G105+O105+U105</f>
        <v>20</v>
      </c>
      <c r="G105" s="463">
        <f t="shared" si="106"/>
        <v>20</v>
      </c>
      <c r="H105" s="460">
        <v>20</v>
      </c>
      <c r="I105" s="460"/>
      <c r="J105" s="460"/>
      <c r="K105" s="460"/>
      <c r="L105" s="460"/>
      <c r="M105" s="460"/>
      <c r="N105" s="460"/>
      <c r="O105" s="459">
        <f t="shared" si="107"/>
        <v>0</v>
      </c>
      <c r="P105" s="460"/>
      <c r="Q105" s="460"/>
      <c r="R105" s="460"/>
      <c r="S105" s="460"/>
      <c r="T105" s="460"/>
      <c r="U105" s="463"/>
      <c r="V105" s="460"/>
      <c r="W105" s="460"/>
      <c r="X105" s="463">
        <f t="shared" ref="X105:X136" si="109">Y105+AF105+AK105</f>
        <v>0</v>
      </c>
      <c r="Y105" s="463">
        <f t="shared" ref="Y105:Y136" si="110">SUM(Z105:AE105)</f>
        <v>0</v>
      </c>
      <c r="Z105" s="460"/>
      <c r="AA105" s="460"/>
      <c r="AB105" s="460"/>
      <c r="AC105" s="460"/>
      <c r="AD105" s="460"/>
      <c r="AE105" s="460"/>
      <c r="AF105" s="459">
        <f t="shared" ref="AF105:AF139" si="111">SUM(AG105:AJ105)</f>
        <v>0</v>
      </c>
      <c r="AG105" s="460"/>
      <c r="AH105" s="460"/>
      <c r="AI105" s="460"/>
      <c r="AJ105" s="460"/>
      <c r="AK105" s="460"/>
      <c r="AL105" s="460"/>
      <c r="AM105" s="463">
        <f t="shared" si="94"/>
        <v>20</v>
      </c>
      <c r="AN105" s="463">
        <f t="shared" si="95"/>
        <v>20</v>
      </c>
      <c r="AO105" s="460">
        <f t="shared" si="96"/>
        <v>20</v>
      </c>
      <c r="AP105" s="460">
        <f t="shared" si="97"/>
        <v>0</v>
      </c>
      <c r="AQ105" s="460">
        <f t="shared" si="98"/>
        <v>0</v>
      </c>
      <c r="AR105" s="460">
        <f t="shared" si="99"/>
        <v>0</v>
      </c>
      <c r="AS105" s="460">
        <f t="shared" si="100"/>
        <v>0</v>
      </c>
      <c r="AT105" s="460">
        <f t="shared" si="101"/>
        <v>0</v>
      </c>
      <c r="AU105" s="463">
        <f t="shared" si="102"/>
        <v>0</v>
      </c>
      <c r="AV105" s="460">
        <f t="shared" si="88"/>
        <v>0</v>
      </c>
      <c r="AW105" s="460">
        <f t="shared" si="89"/>
        <v>0</v>
      </c>
      <c r="AX105" s="460">
        <f t="shared" si="103"/>
        <v>0</v>
      </c>
      <c r="AY105" s="460">
        <f t="shared" si="104"/>
        <v>0</v>
      </c>
      <c r="AZ105" s="463">
        <f t="shared" si="105"/>
        <v>0</v>
      </c>
      <c r="BA105" s="482"/>
      <c r="BB105" s="482"/>
    </row>
    <row r="106" s="425" customFormat="1" ht="39" customHeight="1" spans="1:54">
      <c r="A106" s="459">
        <v>101</v>
      </c>
      <c r="B106" s="460" t="s">
        <v>889</v>
      </c>
      <c r="C106" s="460" t="s">
        <v>203</v>
      </c>
      <c r="D106" s="461" t="s">
        <v>267</v>
      </c>
      <c r="E106" s="461" t="s">
        <v>932</v>
      </c>
      <c r="F106" s="463">
        <f t="shared" si="108"/>
        <v>282.53</v>
      </c>
      <c r="G106" s="463">
        <f t="shared" si="106"/>
        <v>12.53</v>
      </c>
      <c r="H106" s="460">
        <v>5.4</v>
      </c>
      <c r="I106" s="460"/>
      <c r="J106" s="460">
        <v>7.13</v>
      </c>
      <c r="K106" s="460"/>
      <c r="L106" s="460"/>
      <c r="M106" s="460"/>
      <c r="N106" s="460"/>
      <c r="O106" s="459">
        <f t="shared" si="107"/>
        <v>0</v>
      </c>
      <c r="P106" s="460"/>
      <c r="Q106" s="460"/>
      <c r="R106" s="460"/>
      <c r="S106" s="460"/>
      <c r="T106" s="460"/>
      <c r="U106" s="463">
        <v>270</v>
      </c>
      <c r="V106" s="460" t="s">
        <v>838</v>
      </c>
      <c r="W106" s="460" t="s">
        <v>933</v>
      </c>
      <c r="X106" s="463">
        <f t="shared" si="109"/>
        <v>-268.19</v>
      </c>
      <c r="Y106" s="463">
        <f t="shared" si="110"/>
        <v>-0.91</v>
      </c>
      <c r="Z106" s="460"/>
      <c r="AA106" s="460"/>
      <c r="AB106" s="460">
        <v>-0.91</v>
      </c>
      <c r="AC106" s="460"/>
      <c r="AD106" s="460"/>
      <c r="AE106" s="460"/>
      <c r="AF106" s="459">
        <f t="shared" si="111"/>
        <v>1.22</v>
      </c>
      <c r="AG106" s="460">
        <v>0.72</v>
      </c>
      <c r="AH106" s="460">
        <v>0.5</v>
      </c>
      <c r="AI106" s="460"/>
      <c r="AJ106" s="460"/>
      <c r="AK106" s="460">
        <f>1.5-270</f>
        <v>-268.5</v>
      </c>
      <c r="AL106" s="460" t="s">
        <v>846</v>
      </c>
      <c r="AM106" s="463">
        <f t="shared" si="94"/>
        <v>14.34</v>
      </c>
      <c r="AN106" s="463">
        <f t="shared" si="95"/>
        <v>11.62</v>
      </c>
      <c r="AO106" s="460">
        <f t="shared" si="96"/>
        <v>5.4</v>
      </c>
      <c r="AP106" s="460">
        <f t="shared" si="97"/>
        <v>0</v>
      </c>
      <c r="AQ106" s="460">
        <f t="shared" si="98"/>
        <v>6.22</v>
      </c>
      <c r="AR106" s="460">
        <f t="shared" si="99"/>
        <v>0</v>
      </c>
      <c r="AS106" s="460">
        <f t="shared" si="100"/>
        <v>0</v>
      </c>
      <c r="AT106" s="460">
        <f t="shared" si="101"/>
        <v>0</v>
      </c>
      <c r="AU106" s="463">
        <f t="shared" si="102"/>
        <v>1.22</v>
      </c>
      <c r="AV106" s="460">
        <f t="shared" si="88"/>
        <v>0.72</v>
      </c>
      <c r="AW106" s="460">
        <f t="shared" si="89"/>
        <v>0.5</v>
      </c>
      <c r="AX106" s="460">
        <f t="shared" si="103"/>
        <v>0</v>
      </c>
      <c r="AY106" s="460">
        <f t="shared" si="104"/>
        <v>0</v>
      </c>
      <c r="AZ106" s="463">
        <f t="shared" si="105"/>
        <v>1.5</v>
      </c>
      <c r="BA106" s="482">
        <v>270</v>
      </c>
      <c r="BB106" s="482"/>
    </row>
    <row r="107" s="425" customFormat="1" ht="39" customHeight="1" spans="1:54">
      <c r="A107" s="459">
        <v>102</v>
      </c>
      <c r="B107" s="460" t="s">
        <v>889</v>
      </c>
      <c r="C107" s="460" t="s">
        <v>203</v>
      </c>
      <c r="D107" s="461" t="s">
        <v>269</v>
      </c>
      <c r="E107" s="461" t="s">
        <v>932</v>
      </c>
      <c r="F107" s="463">
        <f t="shared" si="108"/>
        <v>6.48</v>
      </c>
      <c r="G107" s="463">
        <f t="shared" ref="G107:G139" si="112">SUM(H107:M107)</f>
        <v>6.48</v>
      </c>
      <c r="H107" s="460">
        <v>3</v>
      </c>
      <c r="I107" s="460"/>
      <c r="J107" s="460">
        <v>3.48</v>
      </c>
      <c r="K107" s="460"/>
      <c r="L107" s="460"/>
      <c r="M107" s="460"/>
      <c r="N107" s="460"/>
      <c r="O107" s="459">
        <f t="shared" si="107"/>
        <v>0</v>
      </c>
      <c r="P107" s="460"/>
      <c r="Q107" s="460"/>
      <c r="R107" s="460"/>
      <c r="S107" s="460"/>
      <c r="T107" s="460"/>
      <c r="U107" s="463"/>
      <c r="V107" s="460"/>
      <c r="W107" s="460"/>
      <c r="X107" s="463">
        <f t="shared" si="109"/>
        <v>0.12</v>
      </c>
      <c r="Y107" s="463">
        <f t="shared" si="110"/>
        <v>0.12</v>
      </c>
      <c r="Z107" s="460"/>
      <c r="AA107" s="460"/>
      <c r="AB107" s="460">
        <v>0.12</v>
      </c>
      <c r="AC107" s="460"/>
      <c r="AD107" s="460"/>
      <c r="AE107" s="460"/>
      <c r="AF107" s="459">
        <f t="shared" si="111"/>
        <v>0</v>
      </c>
      <c r="AG107" s="460"/>
      <c r="AH107" s="460"/>
      <c r="AI107" s="460"/>
      <c r="AJ107" s="460"/>
      <c r="AK107" s="460"/>
      <c r="AL107" s="460"/>
      <c r="AM107" s="463">
        <f t="shared" si="94"/>
        <v>6.6</v>
      </c>
      <c r="AN107" s="463">
        <f t="shared" si="95"/>
        <v>6.6</v>
      </c>
      <c r="AO107" s="460">
        <f t="shared" si="96"/>
        <v>3</v>
      </c>
      <c r="AP107" s="460">
        <f t="shared" si="97"/>
        <v>0</v>
      </c>
      <c r="AQ107" s="460">
        <f t="shared" si="98"/>
        <v>3.6</v>
      </c>
      <c r="AR107" s="460">
        <f t="shared" si="99"/>
        <v>0</v>
      </c>
      <c r="AS107" s="460">
        <f t="shared" si="100"/>
        <v>0</v>
      </c>
      <c r="AT107" s="460">
        <f t="shared" si="101"/>
        <v>0</v>
      </c>
      <c r="AU107" s="463">
        <f t="shared" si="102"/>
        <v>0</v>
      </c>
      <c r="AV107" s="460">
        <f t="shared" si="88"/>
        <v>0</v>
      </c>
      <c r="AW107" s="460">
        <f t="shared" si="89"/>
        <v>0</v>
      </c>
      <c r="AX107" s="460">
        <f t="shared" si="103"/>
        <v>0</v>
      </c>
      <c r="AY107" s="460">
        <f t="shared" si="104"/>
        <v>0</v>
      </c>
      <c r="AZ107" s="463">
        <f t="shared" si="105"/>
        <v>0</v>
      </c>
      <c r="BA107" s="482"/>
      <c r="BB107" s="482"/>
    </row>
    <row r="108" s="425" customFormat="1" ht="39" customHeight="1" spans="1:54">
      <c r="A108" s="459">
        <v>103</v>
      </c>
      <c r="B108" s="460" t="s">
        <v>889</v>
      </c>
      <c r="C108" s="460" t="s">
        <v>203</v>
      </c>
      <c r="D108" s="461" t="s">
        <v>270</v>
      </c>
      <c r="E108" s="461" t="s">
        <v>932</v>
      </c>
      <c r="F108" s="463">
        <f t="shared" si="108"/>
        <v>7.8</v>
      </c>
      <c r="G108" s="463">
        <f t="shared" si="112"/>
        <v>7.8</v>
      </c>
      <c r="H108" s="460">
        <v>3.6</v>
      </c>
      <c r="I108" s="460"/>
      <c r="J108" s="460">
        <v>4.2</v>
      </c>
      <c r="K108" s="460"/>
      <c r="L108" s="460"/>
      <c r="M108" s="460"/>
      <c r="N108" s="460"/>
      <c r="O108" s="459">
        <f t="shared" si="107"/>
        <v>0</v>
      </c>
      <c r="P108" s="460"/>
      <c r="Q108" s="460"/>
      <c r="R108" s="460"/>
      <c r="S108" s="460"/>
      <c r="T108" s="460"/>
      <c r="U108" s="463"/>
      <c r="V108" s="460"/>
      <c r="W108" s="460"/>
      <c r="X108" s="463">
        <f t="shared" si="109"/>
        <v>-0.28</v>
      </c>
      <c r="Y108" s="463">
        <f t="shared" si="110"/>
        <v>-0.28</v>
      </c>
      <c r="Z108" s="460"/>
      <c r="AA108" s="460"/>
      <c r="AB108" s="460">
        <v>-0.28</v>
      </c>
      <c r="AC108" s="460"/>
      <c r="AD108" s="460"/>
      <c r="AE108" s="460"/>
      <c r="AF108" s="459">
        <f t="shared" si="111"/>
        <v>0</v>
      </c>
      <c r="AG108" s="460"/>
      <c r="AH108" s="460"/>
      <c r="AI108" s="460"/>
      <c r="AJ108" s="460"/>
      <c r="AK108" s="460"/>
      <c r="AL108" s="460"/>
      <c r="AM108" s="463">
        <f t="shared" si="94"/>
        <v>7.52</v>
      </c>
      <c r="AN108" s="463">
        <f t="shared" si="95"/>
        <v>7.52</v>
      </c>
      <c r="AO108" s="460">
        <f t="shared" si="96"/>
        <v>3.6</v>
      </c>
      <c r="AP108" s="460">
        <f t="shared" si="97"/>
        <v>0</v>
      </c>
      <c r="AQ108" s="460">
        <f t="shared" si="98"/>
        <v>3.92</v>
      </c>
      <c r="AR108" s="460">
        <f t="shared" si="99"/>
        <v>0</v>
      </c>
      <c r="AS108" s="460">
        <f t="shared" si="100"/>
        <v>0</v>
      </c>
      <c r="AT108" s="460">
        <f t="shared" si="101"/>
        <v>0</v>
      </c>
      <c r="AU108" s="463">
        <f t="shared" si="102"/>
        <v>0</v>
      </c>
      <c r="AV108" s="460">
        <f t="shared" si="88"/>
        <v>0</v>
      </c>
      <c r="AW108" s="460">
        <f t="shared" si="89"/>
        <v>0</v>
      </c>
      <c r="AX108" s="460">
        <f t="shared" si="103"/>
        <v>0</v>
      </c>
      <c r="AY108" s="460">
        <f t="shared" si="104"/>
        <v>0</v>
      </c>
      <c r="AZ108" s="463">
        <f t="shared" si="105"/>
        <v>0</v>
      </c>
      <c r="BA108" s="482"/>
      <c r="BB108" s="482"/>
    </row>
    <row r="109" s="425" customFormat="1" ht="39" customHeight="1" spans="1:54">
      <c r="A109" s="459">
        <v>104</v>
      </c>
      <c r="B109" s="460" t="s">
        <v>889</v>
      </c>
      <c r="C109" s="460" t="s">
        <v>203</v>
      </c>
      <c r="D109" s="461" t="s">
        <v>271</v>
      </c>
      <c r="E109" s="461" t="s">
        <v>932</v>
      </c>
      <c r="F109" s="463">
        <f t="shared" si="108"/>
        <v>1.32</v>
      </c>
      <c r="G109" s="463">
        <f t="shared" si="112"/>
        <v>1.32</v>
      </c>
      <c r="H109" s="460">
        <v>0.6</v>
      </c>
      <c r="I109" s="460"/>
      <c r="J109" s="460">
        <v>0.72</v>
      </c>
      <c r="K109" s="460"/>
      <c r="L109" s="460"/>
      <c r="M109" s="460"/>
      <c r="N109" s="460"/>
      <c r="O109" s="459">
        <f t="shared" si="107"/>
        <v>0</v>
      </c>
      <c r="P109" s="460"/>
      <c r="Q109" s="460"/>
      <c r="R109" s="460"/>
      <c r="S109" s="460"/>
      <c r="T109" s="460"/>
      <c r="U109" s="463"/>
      <c r="V109" s="460"/>
      <c r="W109" s="460"/>
      <c r="X109" s="463">
        <f t="shared" si="109"/>
        <v>0.3</v>
      </c>
      <c r="Y109" s="463">
        <f t="shared" si="110"/>
        <v>0.3</v>
      </c>
      <c r="Z109" s="460"/>
      <c r="AA109" s="460"/>
      <c r="AB109" s="460">
        <v>0.3</v>
      </c>
      <c r="AC109" s="460"/>
      <c r="AD109" s="460"/>
      <c r="AE109" s="460"/>
      <c r="AF109" s="459">
        <f t="shared" si="111"/>
        <v>0</v>
      </c>
      <c r="AG109" s="460"/>
      <c r="AH109" s="460"/>
      <c r="AI109" s="460"/>
      <c r="AJ109" s="460"/>
      <c r="AK109" s="460"/>
      <c r="AL109" s="460"/>
      <c r="AM109" s="463">
        <f t="shared" si="94"/>
        <v>1.62</v>
      </c>
      <c r="AN109" s="463">
        <f t="shared" si="95"/>
        <v>1.62</v>
      </c>
      <c r="AO109" s="460">
        <f t="shared" si="96"/>
        <v>0.6</v>
      </c>
      <c r="AP109" s="460">
        <f t="shared" si="97"/>
        <v>0</v>
      </c>
      <c r="AQ109" s="460">
        <f t="shared" si="98"/>
        <v>1.02</v>
      </c>
      <c r="AR109" s="460">
        <f t="shared" si="99"/>
        <v>0</v>
      </c>
      <c r="AS109" s="460">
        <f t="shared" si="100"/>
        <v>0</v>
      </c>
      <c r="AT109" s="460">
        <f t="shared" si="101"/>
        <v>0</v>
      </c>
      <c r="AU109" s="463">
        <f t="shared" si="102"/>
        <v>0</v>
      </c>
      <c r="AV109" s="460">
        <f t="shared" si="88"/>
        <v>0</v>
      </c>
      <c r="AW109" s="460">
        <f t="shared" si="89"/>
        <v>0</v>
      </c>
      <c r="AX109" s="460">
        <f t="shared" si="103"/>
        <v>0</v>
      </c>
      <c r="AY109" s="460">
        <f t="shared" si="104"/>
        <v>0</v>
      </c>
      <c r="AZ109" s="463">
        <f t="shared" si="105"/>
        <v>0</v>
      </c>
      <c r="BA109" s="482"/>
      <c r="BB109" s="482"/>
    </row>
    <row r="110" s="425" customFormat="1" ht="39" customHeight="1" spans="1:54">
      <c r="A110" s="459">
        <v>105</v>
      </c>
      <c r="B110" s="460" t="s">
        <v>889</v>
      </c>
      <c r="C110" s="460" t="s">
        <v>206</v>
      </c>
      <c r="D110" s="461" t="s">
        <v>272</v>
      </c>
      <c r="E110" s="461" t="s">
        <v>934</v>
      </c>
      <c r="F110" s="463">
        <f t="shared" si="108"/>
        <v>8.4</v>
      </c>
      <c r="G110" s="463">
        <f t="shared" si="112"/>
        <v>8.4</v>
      </c>
      <c r="H110" s="460">
        <v>8.4</v>
      </c>
      <c r="I110" s="460"/>
      <c r="J110" s="460"/>
      <c r="K110" s="460"/>
      <c r="L110" s="460"/>
      <c r="M110" s="460"/>
      <c r="N110" s="460"/>
      <c r="O110" s="459">
        <f t="shared" si="107"/>
        <v>0</v>
      </c>
      <c r="P110" s="460"/>
      <c r="Q110" s="460"/>
      <c r="R110" s="460"/>
      <c r="S110" s="460"/>
      <c r="T110" s="460"/>
      <c r="U110" s="463"/>
      <c r="V110" s="460"/>
      <c r="W110" s="460"/>
      <c r="X110" s="463">
        <f t="shared" si="109"/>
        <v>0</v>
      </c>
      <c r="Y110" s="463">
        <f t="shared" si="110"/>
        <v>0</v>
      </c>
      <c r="Z110" s="460"/>
      <c r="AA110" s="460"/>
      <c r="AB110" s="460"/>
      <c r="AC110" s="460"/>
      <c r="AD110" s="460"/>
      <c r="AE110" s="460"/>
      <c r="AF110" s="459">
        <f t="shared" si="111"/>
        <v>0</v>
      </c>
      <c r="AG110" s="460"/>
      <c r="AH110" s="460"/>
      <c r="AI110" s="460"/>
      <c r="AJ110" s="460"/>
      <c r="AK110" s="460"/>
      <c r="AL110" s="460"/>
      <c r="AM110" s="463">
        <f t="shared" si="94"/>
        <v>8.4</v>
      </c>
      <c r="AN110" s="463">
        <f t="shared" si="95"/>
        <v>8.4</v>
      </c>
      <c r="AO110" s="460">
        <f t="shared" si="96"/>
        <v>8.4</v>
      </c>
      <c r="AP110" s="460">
        <f t="shared" si="97"/>
        <v>0</v>
      </c>
      <c r="AQ110" s="460">
        <f t="shared" si="98"/>
        <v>0</v>
      </c>
      <c r="AR110" s="460">
        <f t="shared" si="99"/>
        <v>0</v>
      </c>
      <c r="AS110" s="460">
        <f t="shared" si="100"/>
        <v>0</v>
      </c>
      <c r="AT110" s="460">
        <f t="shared" si="101"/>
        <v>0</v>
      </c>
      <c r="AU110" s="463">
        <f t="shared" si="102"/>
        <v>0</v>
      </c>
      <c r="AV110" s="460">
        <f t="shared" si="88"/>
        <v>0</v>
      </c>
      <c r="AW110" s="460">
        <f t="shared" si="89"/>
        <v>0</v>
      </c>
      <c r="AX110" s="460">
        <f t="shared" si="103"/>
        <v>0</v>
      </c>
      <c r="AY110" s="460">
        <f t="shared" si="104"/>
        <v>0</v>
      </c>
      <c r="AZ110" s="463">
        <f t="shared" si="105"/>
        <v>0</v>
      </c>
      <c r="BA110" s="482"/>
      <c r="BB110" s="482"/>
    </row>
    <row r="111" s="425" customFormat="1" ht="39" customHeight="1" spans="1:54">
      <c r="A111" s="459">
        <v>106</v>
      </c>
      <c r="B111" s="460" t="s">
        <v>889</v>
      </c>
      <c r="C111" s="460" t="s">
        <v>203</v>
      </c>
      <c r="D111" s="461" t="s">
        <v>204</v>
      </c>
      <c r="E111" s="461" t="s">
        <v>935</v>
      </c>
      <c r="F111" s="463">
        <f t="shared" si="108"/>
        <v>278.64</v>
      </c>
      <c r="G111" s="463">
        <f t="shared" si="112"/>
        <v>173.64</v>
      </c>
      <c r="H111" s="460">
        <v>67.5</v>
      </c>
      <c r="I111" s="460"/>
      <c r="J111" s="460">
        <v>26.14</v>
      </c>
      <c r="K111" s="460"/>
      <c r="L111" s="460"/>
      <c r="M111" s="460">
        <v>80</v>
      </c>
      <c r="N111" s="460" t="s">
        <v>936</v>
      </c>
      <c r="O111" s="459">
        <f t="shared" si="107"/>
        <v>0</v>
      </c>
      <c r="P111" s="460"/>
      <c r="Q111" s="460"/>
      <c r="R111" s="460"/>
      <c r="S111" s="460"/>
      <c r="T111" s="460"/>
      <c r="U111" s="463">
        <v>105</v>
      </c>
      <c r="V111" s="460" t="s">
        <v>838</v>
      </c>
      <c r="W111" s="460" t="s">
        <v>937</v>
      </c>
      <c r="X111" s="463">
        <f t="shared" si="109"/>
        <v>-81.56</v>
      </c>
      <c r="Y111" s="463">
        <f t="shared" si="110"/>
        <v>-81.56</v>
      </c>
      <c r="Z111" s="460"/>
      <c r="AA111" s="460"/>
      <c r="AB111" s="460">
        <v>-1.68</v>
      </c>
      <c r="AC111" s="460"/>
      <c r="AD111" s="460"/>
      <c r="AE111" s="471">
        <v>-79.88</v>
      </c>
      <c r="AF111" s="459">
        <f t="shared" si="111"/>
        <v>30</v>
      </c>
      <c r="AG111" s="460"/>
      <c r="AH111" s="460"/>
      <c r="AI111" s="460"/>
      <c r="AJ111" s="460">
        <v>30</v>
      </c>
      <c r="AK111" s="460">
        <v>-30</v>
      </c>
      <c r="AL111" s="460"/>
      <c r="AM111" s="463">
        <f t="shared" si="94"/>
        <v>197.08</v>
      </c>
      <c r="AN111" s="463">
        <f t="shared" si="95"/>
        <v>92.08</v>
      </c>
      <c r="AO111" s="460">
        <f t="shared" si="96"/>
        <v>67.5</v>
      </c>
      <c r="AP111" s="460">
        <f t="shared" si="97"/>
        <v>0</v>
      </c>
      <c r="AQ111" s="460">
        <f t="shared" si="98"/>
        <v>24.46</v>
      </c>
      <c r="AR111" s="460">
        <f t="shared" si="99"/>
        <v>0</v>
      </c>
      <c r="AS111" s="460">
        <f t="shared" si="100"/>
        <v>0</v>
      </c>
      <c r="AT111" s="460">
        <f t="shared" si="101"/>
        <v>0.120000000000005</v>
      </c>
      <c r="AU111" s="463">
        <f t="shared" si="102"/>
        <v>30</v>
      </c>
      <c r="AV111" s="460">
        <f t="shared" si="88"/>
        <v>0</v>
      </c>
      <c r="AW111" s="460">
        <f t="shared" si="89"/>
        <v>0</v>
      </c>
      <c r="AX111" s="460">
        <f t="shared" si="103"/>
        <v>0</v>
      </c>
      <c r="AY111" s="460">
        <f t="shared" si="104"/>
        <v>30</v>
      </c>
      <c r="AZ111" s="463">
        <f t="shared" si="105"/>
        <v>75</v>
      </c>
      <c r="BA111" s="482"/>
      <c r="BB111" s="482"/>
    </row>
    <row r="112" s="425" customFormat="1" ht="39" customHeight="1" spans="1:54">
      <c r="A112" s="459">
        <v>107</v>
      </c>
      <c r="B112" s="460" t="s">
        <v>889</v>
      </c>
      <c r="C112" s="460" t="s">
        <v>206</v>
      </c>
      <c r="D112" s="461" t="s">
        <v>207</v>
      </c>
      <c r="E112" s="461" t="s">
        <v>938</v>
      </c>
      <c r="F112" s="463">
        <f t="shared" si="108"/>
        <v>10</v>
      </c>
      <c r="G112" s="463">
        <f t="shared" si="112"/>
        <v>10</v>
      </c>
      <c r="H112" s="460">
        <v>10</v>
      </c>
      <c r="I112" s="460"/>
      <c r="J112" s="460"/>
      <c r="K112" s="460"/>
      <c r="L112" s="460"/>
      <c r="M112" s="460"/>
      <c r="N112" s="460"/>
      <c r="O112" s="459">
        <f t="shared" si="107"/>
        <v>0</v>
      </c>
      <c r="P112" s="460"/>
      <c r="Q112" s="460"/>
      <c r="R112" s="460"/>
      <c r="S112" s="460"/>
      <c r="T112" s="460"/>
      <c r="U112" s="463"/>
      <c r="V112" s="460"/>
      <c r="W112" s="460"/>
      <c r="X112" s="463">
        <f t="shared" si="109"/>
        <v>0.51</v>
      </c>
      <c r="Y112" s="463">
        <f t="shared" si="110"/>
        <v>0</v>
      </c>
      <c r="Z112" s="460"/>
      <c r="AA112" s="460"/>
      <c r="AB112" s="460"/>
      <c r="AC112" s="460"/>
      <c r="AD112" s="460"/>
      <c r="AE112" s="460"/>
      <c r="AF112" s="459">
        <f t="shared" si="111"/>
        <v>0.51</v>
      </c>
      <c r="AG112" s="460">
        <v>0.51</v>
      </c>
      <c r="AH112" s="460"/>
      <c r="AI112" s="460"/>
      <c r="AJ112" s="460"/>
      <c r="AK112" s="460"/>
      <c r="AL112" s="460"/>
      <c r="AM112" s="463">
        <f t="shared" si="94"/>
        <v>10.51</v>
      </c>
      <c r="AN112" s="463">
        <f t="shared" si="95"/>
        <v>10</v>
      </c>
      <c r="AO112" s="460">
        <f t="shared" si="96"/>
        <v>10</v>
      </c>
      <c r="AP112" s="460">
        <f t="shared" si="97"/>
        <v>0</v>
      </c>
      <c r="AQ112" s="460">
        <f t="shared" si="98"/>
        <v>0</v>
      </c>
      <c r="AR112" s="460">
        <f t="shared" si="99"/>
        <v>0</v>
      </c>
      <c r="AS112" s="460">
        <f t="shared" si="100"/>
        <v>0</v>
      </c>
      <c r="AT112" s="460">
        <f t="shared" si="101"/>
        <v>0</v>
      </c>
      <c r="AU112" s="463">
        <f t="shared" si="102"/>
        <v>0.51</v>
      </c>
      <c r="AV112" s="460">
        <f t="shared" si="88"/>
        <v>0.51</v>
      </c>
      <c r="AW112" s="460">
        <f t="shared" si="89"/>
        <v>0</v>
      </c>
      <c r="AX112" s="460">
        <f t="shared" si="103"/>
        <v>0</v>
      </c>
      <c r="AY112" s="460">
        <f t="shared" si="104"/>
        <v>0</v>
      </c>
      <c r="AZ112" s="463">
        <f t="shared" si="105"/>
        <v>0</v>
      </c>
      <c r="BA112" s="482"/>
      <c r="BB112" s="482"/>
    </row>
    <row r="113" s="425" customFormat="1" ht="39" customHeight="1" spans="1:54">
      <c r="A113" s="459">
        <v>108</v>
      </c>
      <c r="B113" s="460" t="s">
        <v>889</v>
      </c>
      <c r="C113" s="460" t="s">
        <v>203</v>
      </c>
      <c r="D113" s="461" t="s">
        <v>368</v>
      </c>
      <c r="E113" s="461" t="s">
        <v>895</v>
      </c>
      <c r="F113" s="463">
        <f t="shared" si="108"/>
        <v>103.08</v>
      </c>
      <c r="G113" s="463">
        <f t="shared" si="112"/>
        <v>13.08</v>
      </c>
      <c r="H113" s="460">
        <v>6</v>
      </c>
      <c r="I113" s="460"/>
      <c r="J113" s="460">
        <v>7.08</v>
      </c>
      <c r="K113" s="460"/>
      <c r="L113" s="460"/>
      <c r="M113" s="460"/>
      <c r="N113" s="460"/>
      <c r="O113" s="459">
        <f t="shared" si="107"/>
        <v>0</v>
      </c>
      <c r="P113" s="460"/>
      <c r="Q113" s="460"/>
      <c r="R113" s="460"/>
      <c r="S113" s="460"/>
      <c r="T113" s="460"/>
      <c r="U113" s="463">
        <v>90</v>
      </c>
      <c r="V113" s="460" t="s">
        <v>838</v>
      </c>
      <c r="W113" s="460" t="s">
        <v>939</v>
      </c>
      <c r="X113" s="463">
        <f t="shared" si="109"/>
        <v>0</v>
      </c>
      <c r="Y113" s="463">
        <f t="shared" si="110"/>
        <v>0</v>
      </c>
      <c r="Z113" s="460"/>
      <c r="AA113" s="460"/>
      <c r="AB113" s="460"/>
      <c r="AC113" s="460"/>
      <c r="AD113" s="460"/>
      <c r="AE113" s="460"/>
      <c r="AF113" s="459">
        <f t="shared" si="111"/>
        <v>0</v>
      </c>
      <c r="AG113" s="460"/>
      <c r="AH113" s="460"/>
      <c r="AI113" s="460"/>
      <c r="AJ113" s="460"/>
      <c r="AK113" s="460"/>
      <c r="AL113" s="460"/>
      <c r="AM113" s="463">
        <f t="shared" si="94"/>
        <v>103.08</v>
      </c>
      <c r="AN113" s="463">
        <f t="shared" si="95"/>
        <v>13.08</v>
      </c>
      <c r="AO113" s="460">
        <f t="shared" si="96"/>
        <v>6</v>
      </c>
      <c r="AP113" s="460">
        <f t="shared" si="97"/>
        <v>0</v>
      </c>
      <c r="AQ113" s="460">
        <f t="shared" si="98"/>
        <v>7.08</v>
      </c>
      <c r="AR113" s="460">
        <f t="shared" si="99"/>
        <v>0</v>
      </c>
      <c r="AS113" s="460">
        <f t="shared" si="100"/>
        <v>0</v>
      </c>
      <c r="AT113" s="460">
        <f t="shared" si="101"/>
        <v>0</v>
      </c>
      <c r="AU113" s="463">
        <f t="shared" si="102"/>
        <v>0</v>
      </c>
      <c r="AV113" s="460">
        <f t="shared" si="88"/>
        <v>0</v>
      </c>
      <c r="AW113" s="460">
        <f t="shared" si="89"/>
        <v>0</v>
      </c>
      <c r="AX113" s="460">
        <f t="shared" si="103"/>
        <v>0</v>
      </c>
      <c r="AY113" s="460">
        <f t="shared" si="104"/>
        <v>0</v>
      </c>
      <c r="AZ113" s="463">
        <f t="shared" si="105"/>
        <v>90</v>
      </c>
      <c r="BA113" s="482"/>
      <c r="BB113" s="482"/>
    </row>
    <row r="114" s="425" customFormat="1" ht="39" customHeight="1" spans="1:54">
      <c r="A114" s="459">
        <v>109</v>
      </c>
      <c r="B114" s="460" t="s">
        <v>889</v>
      </c>
      <c r="C114" s="460" t="s">
        <v>203</v>
      </c>
      <c r="D114" s="461" t="s">
        <v>311</v>
      </c>
      <c r="E114" s="461" t="s">
        <v>940</v>
      </c>
      <c r="F114" s="463">
        <f t="shared" si="108"/>
        <v>68.02</v>
      </c>
      <c r="G114" s="463">
        <f t="shared" si="112"/>
        <v>58.02</v>
      </c>
      <c r="H114" s="460">
        <v>54.6</v>
      </c>
      <c r="I114" s="460"/>
      <c r="J114" s="460">
        <v>3.42</v>
      </c>
      <c r="K114" s="460"/>
      <c r="L114" s="460"/>
      <c r="M114" s="460"/>
      <c r="N114" s="460"/>
      <c r="O114" s="459">
        <f t="shared" si="107"/>
        <v>0</v>
      </c>
      <c r="P114" s="460"/>
      <c r="Q114" s="460"/>
      <c r="R114" s="460"/>
      <c r="S114" s="460"/>
      <c r="T114" s="460"/>
      <c r="U114" s="463">
        <v>10</v>
      </c>
      <c r="V114" s="460" t="s">
        <v>838</v>
      </c>
      <c r="W114" s="460" t="s">
        <v>941</v>
      </c>
      <c r="X114" s="463">
        <f t="shared" si="109"/>
        <v>0.3</v>
      </c>
      <c r="Y114" s="463">
        <f t="shared" si="110"/>
        <v>0.3</v>
      </c>
      <c r="Z114" s="460"/>
      <c r="AA114" s="460"/>
      <c r="AB114" s="460">
        <v>0.3</v>
      </c>
      <c r="AC114" s="460"/>
      <c r="AD114" s="460"/>
      <c r="AE114" s="460"/>
      <c r="AF114" s="459">
        <f t="shared" si="111"/>
        <v>0</v>
      </c>
      <c r="AG114" s="460"/>
      <c r="AH114" s="460"/>
      <c r="AI114" s="460"/>
      <c r="AJ114" s="460"/>
      <c r="AK114" s="460"/>
      <c r="AL114" s="460"/>
      <c r="AM114" s="463">
        <f t="shared" si="94"/>
        <v>68.32</v>
      </c>
      <c r="AN114" s="463">
        <f t="shared" si="95"/>
        <v>58.32</v>
      </c>
      <c r="AO114" s="460">
        <f t="shared" si="96"/>
        <v>54.6</v>
      </c>
      <c r="AP114" s="460">
        <f t="shared" si="97"/>
        <v>0</v>
      </c>
      <c r="AQ114" s="460">
        <f t="shared" si="98"/>
        <v>3.72</v>
      </c>
      <c r="AR114" s="460">
        <f t="shared" si="99"/>
        <v>0</v>
      </c>
      <c r="AS114" s="460">
        <f t="shared" si="100"/>
        <v>0</v>
      </c>
      <c r="AT114" s="460">
        <f t="shared" si="101"/>
        <v>0</v>
      </c>
      <c r="AU114" s="463">
        <f t="shared" si="102"/>
        <v>0</v>
      </c>
      <c r="AV114" s="460">
        <f t="shared" si="88"/>
        <v>0</v>
      </c>
      <c r="AW114" s="460">
        <f t="shared" si="89"/>
        <v>0</v>
      </c>
      <c r="AX114" s="460">
        <f t="shared" si="103"/>
        <v>0</v>
      </c>
      <c r="AY114" s="460">
        <f t="shared" si="104"/>
        <v>0</v>
      </c>
      <c r="AZ114" s="463">
        <f t="shared" si="105"/>
        <v>10</v>
      </c>
      <c r="BA114" s="482"/>
      <c r="BB114" s="482"/>
    </row>
    <row r="115" s="425" customFormat="1" ht="39" customHeight="1" spans="1:54">
      <c r="A115" s="459">
        <v>110</v>
      </c>
      <c r="B115" s="460" t="s">
        <v>889</v>
      </c>
      <c r="C115" s="460" t="s">
        <v>206</v>
      </c>
      <c r="D115" s="461" t="s">
        <v>313</v>
      </c>
      <c r="E115" s="461" t="s">
        <v>942</v>
      </c>
      <c r="F115" s="463">
        <f t="shared" si="108"/>
        <v>0</v>
      </c>
      <c r="G115" s="463">
        <f t="shared" si="112"/>
        <v>0</v>
      </c>
      <c r="H115" s="460"/>
      <c r="I115" s="460"/>
      <c r="J115" s="460"/>
      <c r="K115" s="460"/>
      <c r="L115" s="460"/>
      <c r="M115" s="460"/>
      <c r="N115" s="460"/>
      <c r="O115" s="459">
        <f t="shared" si="107"/>
        <v>0</v>
      </c>
      <c r="P115" s="460"/>
      <c r="Q115" s="460"/>
      <c r="R115" s="460"/>
      <c r="S115" s="460"/>
      <c r="T115" s="460"/>
      <c r="U115" s="463"/>
      <c r="V115" s="460"/>
      <c r="W115" s="460"/>
      <c r="X115" s="463">
        <f t="shared" si="109"/>
        <v>0</v>
      </c>
      <c r="Y115" s="463">
        <f t="shared" si="110"/>
        <v>0</v>
      </c>
      <c r="Z115" s="460"/>
      <c r="AA115" s="460"/>
      <c r="AB115" s="460"/>
      <c r="AC115" s="460"/>
      <c r="AD115" s="460"/>
      <c r="AE115" s="460"/>
      <c r="AF115" s="459">
        <f t="shared" si="111"/>
        <v>0</v>
      </c>
      <c r="AG115" s="460"/>
      <c r="AH115" s="460"/>
      <c r="AI115" s="460"/>
      <c r="AJ115" s="460"/>
      <c r="AK115" s="460"/>
      <c r="AL115" s="460"/>
      <c r="AM115" s="463">
        <f t="shared" si="94"/>
        <v>0</v>
      </c>
      <c r="AN115" s="463">
        <f t="shared" si="95"/>
        <v>0</v>
      </c>
      <c r="AO115" s="460">
        <f t="shared" si="96"/>
        <v>0</v>
      </c>
      <c r="AP115" s="460">
        <f t="shared" si="97"/>
        <v>0</v>
      </c>
      <c r="AQ115" s="460">
        <f t="shared" si="98"/>
        <v>0</v>
      </c>
      <c r="AR115" s="460">
        <f t="shared" si="99"/>
        <v>0</v>
      </c>
      <c r="AS115" s="460">
        <f t="shared" si="100"/>
        <v>0</v>
      </c>
      <c r="AT115" s="460">
        <f t="shared" si="101"/>
        <v>0</v>
      </c>
      <c r="AU115" s="463">
        <f t="shared" si="102"/>
        <v>0</v>
      </c>
      <c r="AV115" s="460">
        <f t="shared" si="88"/>
        <v>0</v>
      </c>
      <c r="AW115" s="460">
        <f t="shared" si="89"/>
        <v>0</v>
      </c>
      <c r="AX115" s="460">
        <f t="shared" si="103"/>
        <v>0</v>
      </c>
      <c r="AY115" s="460">
        <f t="shared" si="104"/>
        <v>0</v>
      </c>
      <c r="AZ115" s="463">
        <f t="shared" si="105"/>
        <v>0</v>
      </c>
      <c r="BA115" s="482"/>
      <c r="BB115" s="482"/>
    </row>
    <row r="116" s="425" customFormat="1" ht="39" customHeight="1" spans="1:54">
      <c r="A116" s="459">
        <v>111</v>
      </c>
      <c r="B116" s="460" t="s">
        <v>889</v>
      </c>
      <c r="C116" s="460" t="s">
        <v>203</v>
      </c>
      <c r="D116" s="461" t="s">
        <v>360</v>
      </c>
      <c r="E116" s="461" t="s">
        <v>943</v>
      </c>
      <c r="F116" s="463">
        <f t="shared" si="108"/>
        <v>85.56</v>
      </c>
      <c r="G116" s="463">
        <f t="shared" si="112"/>
        <v>13.56</v>
      </c>
      <c r="H116" s="460">
        <v>7</v>
      </c>
      <c r="I116" s="460"/>
      <c r="J116" s="460">
        <v>6.56</v>
      </c>
      <c r="K116" s="460"/>
      <c r="L116" s="460"/>
      <c r="M116" s="460"/>
      <c r="N116" s="460"/>
      <c r="O116" s="459">
        <f t="shared" si="107"/>
        <v>0</v>
      </c>
      <c r="P116" s="460"/>
      <c r="Q116" s="460"/>
      <c r="R116" s="460"/>
      <c r="S116" s="460"/>
      <c r="T116" s="460"/>
      <c r="U116" s="463">
        <v>72</v>
      </c>
      <c r="V116" s="460" t="s">
        <v>838</v>
      </c>
      <c r="W116" s="460" t="s">
        <v>944</v>
      </c>
      <c r="X116" s="463">
        <f t="shared" si="109"/>
        <v>1.62</v>
      </c>
      <c r="Y116" s="463">
        <f t="shared" si="110"/>
        <v>-0.67</v>
      </c>
      <c r="Z116" s="460"/>
      <c r="AA116" s="460"/>
      <c r="AB116" s="460">
        <v>-0.67</v>
      </c>
      <c r="AC116" s="460"/>
      <c r="AD116" s="460"/>
      <c r="AE116" s="460"/>
      <c r="AF116" s="459">
        <f t="shared" si="111"/>
        <v>0.79</v>
      </c>
      <c r="AG116" s="460">
        <v>0.79</v>
      </c>
      <c r="AH116" s="460"/>
      <c r="AI116" s="460"/>
      <c r="AJ116" s="460"/>
      <c r="AK116" s="460">
        <v>1.5</v>
      </c>
      <c r="AL116" s="460" t="s">
        <v>846</v>
      </c>
      <c r="AM116" s="463">
        <f t="shared" si="94"/>
        <v>87.18</v>
      </c>
      <c r="AN116" s="463">
        <f t="shared" si="95"/>
        <v>12.89</v>
      </c>
      <c r="AO116" s="460">
        <f t="shared" si="96"/>
        <v>7</v>
      </c>
      <c r="AP116" s="460">
        <f t="shared" si="97"/>
        <v>0</v>
      </c>
      <c r="AQ116" s="460">
        <f t="shared" si="98"/>
        <v>5.89</v>
      </c>
      <c r="AR116" s="460">
        <f t="shared" si="99"/>
        <v>0</v>
      </c>
      <c r="AS116" s="460">
        <f t="shared" si="100"/>
        <v>0</v>
      </c>
      <c r="AT116" s="460">
        <f t="shared" si="101"/>
        <v>0</v>
      </c>
      <c r="AU116" s="463">
        <f t="shared" si="102"/>
        <v>0.79</v>
      </c>
      <c r="AV116" s="460">
        <f t="shared" si="88"/>
        <v>0.79</v>
      </c>
      <c r="AW116" s="460">
        <f t="shared" si="89"/>
        <v>0</v>
      </c>
      <c r="AX116" s="460">
        <f t="shared" si="103"/>
        <v>0</v>
      </c>
      <c r="AY116" s="460">
        <f t="shared" si="104"/>
        <v>0</v>
      </c>
      <c r="AZ116" s="463">
        <f t="shared" si="105"/>
        <v>73.5</v>
      </c>
      <c r="BA116" s="482"/>
      <c r="BB116" s="482"/>
    </row>
    <row r="117" s="425" customFormat="1" ht="39" customHeight="1" spans="1:54">
      <c r="A117" s="459">
        <v>112</v>
      </c>
      <c r="B117" s="460" t="s">
        <v>889</v>
      </c>
      <c r="C117" s="460" t="s">
        <v>206</v>
      </c>
      <c r="D117" s="461" t="s">
        <v>945</v>
      </c>
      <c r="E117" s="461" t="s">
        <v>946</v>
      </c>
      <c r="F117" s="463">
        <f t="shared" si="108"/>
        <v>4</v>
      </c>
      <c r="G117" s="463">
        <f t="shared" si="112"/>
        <v>4</v>
      </c>
      <c r="H117" s="460">
        <v>4</v>
      </c>
      <c r="I117" s="460"/>
      <c r="J117" s="460"/>
      <c r="K117" s="460"/>
      <c r="L117" s="460"/>
      <c r="M117" s="460"/>
      <c r="N117" s="460"/>
      <c r="O117" s="459">
        <f t="shared" si="107"/>
        <v>0</v>
      </c>
      <c r="P117" s="460"/>
      <c r="Q117" s="460"/>
      <c r="R117" s="460"/>
      <c r="S117" s="460"/>
      <c r="T117" s="460"/>
      <c r="U117" s="463"/>
      <c r="V117" s="460"/>
      <c r="W117" s="460"/>
      <c r="X117" s="463">
        <f t="shared" si="109"/>
        <v>0</v>
      </c>
      <c r="Y117" s="463">
        <f t="shared" si="110"/>
        <v>0</v>
      </c>
      <c r="Z117" s="460"/>
      <c r="AA117" s="460"/>
      <c r="AB117" s="460"/>
      <c r="AC117" s="460"/>
      <c r="AD117" s="460"/>
      <c r="AE117" s="460"/>
      <c r="AF117" s="459">
        <f t="shared" si="111"/>
        <v>0</v>
      </c>
      <c r="AG117" s="460"/>
      <c r="AH117" s="460"/>
      <c r="AI117" s="460"/>
      <c r="AJ117" s="460"/>
      <c r="AK117" s="460"/>
      <c r="AL117" s="460"/>
      <c r="AM117" s="463">
        <f t="shared" si="94"/>
        <v>4</v>
      </c>
      <c r="AN117" s="463">
        <f t="shared" si="95"/>
        <v>4</v>
      </c>
      <c r="AO117" s="460">
        <f t="shared" si="96"/>
        <v>4</v>
      </c>
      <c r="AP117" s="460">
        <f t="shared" si="97"/>
        <v>0</v>
      </c>
      <c r="AQ117" s="460">
        <f t="shared" si="98"/>
        <v>0</v>
      </c>
      <c r="AR117" s="460">
        <f t="shared" si="99"/>
        <v>0</v>
      </c>
      <c r="AS117" s="460">
        <f t="shared" si="100"/>
        <v>0</v>
      </c>
      <c r="AT117" s="460">
        <f t="shared" si="101"/>
        <v>0</v>
      </c>
      <c r="AU117" s="463">
        <f t="shared" si="102"/>
        <v>0</v>
      </c>
      <c r="AV117" s="460">
        <f t="shared" si="88"/>
        <v>0</v>
      </c>
      <c r="AW117" s="460">
        <f t="shared" si="89"/>
        <v>0</v>
      </c>
      <c r="AX117" s="460">
        <f t="shared" si="103"/>
        <v>0</v>
      </c>
      <c r="AY117" s="460">
        <f t="shared" si="104"/>
        <v>0</v>
      </c>
      <c r="AZ117" s="463">
        <f t="shared" si="105"/>
        <v>0</v>
      </c>
      <c r="BA117" s="482"/>
      <c r="BB117" s="482"/>
    </row>
    <row r="118" s="425" customFormat="1" ht="39" customHeight="1" spans="1:54">
      <c r="A118" s="459">
        <v>113</v>
      </c>
      <c r="B118" s="460" t="s">
        <v>889</v>
      </c>
      <c r="C118" s="460" t="s">
        <v>206</v>
      </c>
      <c r="D118" s="461" t="s">
        <v>371</v>
      </c>
      <c r="E118" s="461" t="s">
        <v>920</v>
      </c>
      <c r="F118" s="463">
        <f t="shared" si="108"/>
        <v>50.92</v>
      </c>
      <c r="G118" s="463">
        <f t="shared" si="112"/>
        <v>33.2</v>
      </c>
      <c r="H118" s="460">
        <v>1.2</v>
      </c>
      <c r="I118" s="460">
        <v>2</v>
      </c>
      <c r="J118" s="460"/>
      <c r="K118" s="460"/>
      <c r="L118" s="460"/>
      <c r="M118" s="460">
        <v>30</v>
      </c>
      <c r="N118" s="460" t="s">
        <v>947</v>
      </c>
      <c r="O118" s="459">
        <f t="shared" si="107"/>
        <v>0</v>
      </c>
      <c r="P118" s="460"/>
      <c r="Q118" s="460"/>
      <c r="R118" s="460"/>
      <c r="S118" s="460"/>
      <c r="T118" s="460"/>
      <c r="U118" s="463">
        <v>17.72</v>
      </c>
      <c r="V118" s="460" t="s">
        <v>838</v>
      </c>
      <c r="W118" s="460" t="s">
        <v>948</v>
      </c>
      <c r="X118" s="463">
        <f t="shared" si="109"/>
        <v>0</v>
      </c>
      <c r="Y118" s="463">
        <f t="shared" si="110"/>
        <v>0</v>
      </c>
      <c r="Z118" s="460"/>
      <c r="AA118" s="460"/>
      <c r="AB118" s="460"/>
      <c r="AC118" s="460"/>
      <c r="AD118" s="460"/>
      <c r="AE118" s="460"/>
      <c r="AF118" s="459">
        <f t="shared" si="111"/>
        <v>0</v>
      </c>
      <c r="AG118" s="460"/>
      <c r="AH118" s="460"/>
      <c r="AI118" s="460"/>
      <c r="AJ118" s="460"/>
      <c r="AK118" s="460"/>
      <c r="AL118" s="460"/>
      <c r="AM118" s="463">
        <f t="shared" si="94"/>
        <v>50.92</v>
      </c>
      <c r="AN118" s="463">
        <f t="shared" si="95"/>
        <v>33.2</v>
      </c>
      <c r="AO118" s="460">
        <f t="shared" si="96"/>
        <v>1.2</v>
      </c>
      <c r="AP118" s="460">
        <f t="shared" si="97"/>
        <v>2</v>
      </c>
      <c r="AQ118" s="460">
        <f t="shared" si="98"/>
        <v>0</v>
      </c>
      <c r="AR118" s="460">
        <f t="shared" si="99"/>
        <v>0</v>
      </c>
      <c r="AS118" s="460">
        <f t="shared" si="100"/>
        <v>0</v>
      </c>
      <c r="AT118" s="460">
        <f t="shared" si="101"/>
        <v>30</v>
      </c>
      <c r="AU118" s="463">
        <f t="shared" si="102"/>
        <v>0</v>
      </c>
      <c r="AV118" s="460">
        <f t="shared" si="88"/>
        <v>0</v>
      </c>
      <c r="AW118" s="460">
        <f t="shared" si="89"/>
        <v>0</v>
      </c>
      <c r="AX118" s="460">
        <f t="shared" si="103"/>
        <v>0</v>
      </c>
      <c r="AY118" s="460">
        <f t="shared" si="104"/>
        <v>0</v>
      </c>
      <c r="AZ118" s="463">
        <f t="shared" si="105"/>
        <v>17.72</v>
      </c>
      <c r="BA118" s="482"/>
      <c r="BB118" s="482"/>
    </row>
    <row r="119" s="425" customFormat="1" ht="39" customHeight="1" spans="1:54">
      <c r="A119" s="459">
        <v>114</v>
      </c>
      <c r="B119" s="460" t="s">
        <v>889</v>
      </c>
      <c r="C119" s="460" t="s">
        <v>206</v>
      </c>
      <c r="D119" s="461" t="s">
        <v>324</v>
      </c>
      <c r="E119" s="461" t="s">
        <v>842</v>
      </c>
      <c r="F119" s="463">
        <f t="shared" si="108"/>
        <v>21.32</v>
      </c>
      <c r="G119" s="463">
        <f t="shared" si="112"/>
        <v>21.32</v>
      </c>
      <c r="H119" s="460">
        <v>0.6</v>
      </c>
      <c r="I119" s="460"/>
      <c r="J119" s="460">
        <v>0.72</v>
      </c>
      <c r="K119" s="460"/>
      <c r="L119" s="460"/>
      <c r="M119" s="460">
        <v>20</v>
      </c>
      <c r="N119" s="460" t="s">
        <v>825</v>
      </c>
      <c r="O119" s="459">
        <f t="shared" si="107"/>
        <v>0</v>
      </c>
      <c r="P119" s="460"/>
      <c r="Q119" s="460"/>
      <c r="R119" s="460"/>
      <c r="S119" s="460"/>
      <c r="T119" s="460"/>
      <c r="U119" s="463"/>
      <c r="V119" s="460"/>
      <c r="W119" s="460"/>
      <c r="X119" s="463">
        <f t="shared" si="109"/>
        <v>0</v>
      </c>
      <c r="Y119" s="463">
        <f t="shared" si="110"/>
        <v>0</v>
      </c>
      <c r="Z119" s="460"/>
      <c r="AA119" s="460"/>
      <c r="AB119" s="460"/>
      <c r="AC119" s="460"/>
      <c r="AD119" s="460"/>
      <c r="AE119" s="460"/>
      <c r="AF119" s="459">
        <f t="shared" si="111"/>
        <v>0</v>
      </c>
      <c r="AG119" s="460"/>
      <c r="AH119" s="460"/>
      <c r="AI119" s="460"/>
      <c r="AJ119" s="460"/>
      <c r="AK119" s="460"/>
      <c r="AL119" s="460"/>
      <c r="AM119" s="463">
        <f t="shared" si="94"/>
        <v>21.32</v>
      </c>
      <c r="AN119" s="463">
        <f t="shared" si="95"/>
        <v>21.32</v>
      </c>
      <c r="AO119" s="460">
        <f t="shared" si="96"/>
        <v>0.6</v>
      </c>
      <c r="AP119" s="460">
        <f t="shared" si="97"/>
        <v>0</v>
      </c>
      <c r="AQ119" s="460">
        <f t="shared" si="98"/>
        <v>0.72</v>
      </c>
      <c r="AR119" s="460">
        <f t="shared" si="99"/>
        <v>0</v>
      </c>
      <c r="AS119" s="460">
        <f t="shared" si="100"/>
        <v>0</v>
      </c>
      <c r="AT119" s="460">
        <f t="shared" si="101"/>
        <v>20</v>
      </c>
      <c r="AU119" s="463">
        <f t="shared" si="102"/>
        <v>0</v>
      </c>
      <c r="AV119" s="460">
        <f t="shared" si="88"/>
        <v>0</v>
      </c>
      <c r="AW119" s="460">
        <f t="shared" si="89"/>
        <v>0</v>
      </c>
      <c r="AX119" s="460">
        <f t="shared" si="103"/>
        <v>0</v>
      </c>
      <c r="AY119" s="460">
        <f t="shared" si="104"/>
        <v>0</v>
      </c>
      <c r="AZ119" s="463">
        <f t="shared" si="105"/>
        <v>0</v>
      </c>
      <c r="BA119" s="482"/>
      <c r="BB119" s="482"/>
    </row>
    <row r="120" s="425" customFormat="1" ht="39" customHeight="1" spans="1:54">
      <c r="A120" s="459">
        <v>115</v>
      </c>
      <c r="B120" s="460" t="s">
        <v>889</v>
      </c>
      <c r="C120" s="460" t="s">
        <v>206</v>
      </c>
      <c r="D120" s="461" t="s">
        <v>373</v>
      </c>
      <c r="E120" s="461" t="s">
        <v>920</v>
      </c>
      <c r="F120" s="463">
        <f t="shared" si="108"/>
        <v>12.8</v>
      </c>
      <c r="G120" s="463">
        <f t="shared" si="112"/>
        <v>12.8</v>
      </c>
      <c r="H120" s="460">
        <v>1.8</v>
      </c>
      <c r="I120" s="460"/>
      <c r="J120" s="460"/>
      <c r="K120" s="460"/>
      <c r="L120" s="460"/>
      <c r="M120" s="460">
        <v>11</v>
      </c>
      <c r="N120" s="460" t="s">
        <v>825</v>
      </c>
      <c r="O120" s="459">
        <f t="shared" si="107"/>
        <v>0</v>
      </c>
      <c r="P120" s="460"/>
      <c r="Q120" s="460"/>
      <c r="R120" s="460"/>
      <c r="S120" s="460"/>
      <c r="T120" s="460"/>
      <c r="U120" s="463"/>
      <c r="V120" s="460"/>
      <c r="W120" s="460"/>
      <c r="X120" s="463">
        <f t="shared" si="109"/>
        <v>0</v>
      </c>
      <c r="Y120" s="463">
        <f t="shared" si="110"/>
        <v>0</v>
      </c>
      <c r="Z120" s="460"/>
      <c r="AA120" s="460"/>
      <c r="AB120" s="460"/>
      <c r="AC120" s="460"/>
      <c r="AD120" s="460"/>
      <c r="AE120" s="460"/>
      <c r="AF120" s="459">
        <f t="shared" si="111"/>
        <v>0</v>
      </c>
      <c r="AG120" s="460"/>
      <c r="AH120" s="460"/>
      <c r="AI120" s="460"/>
      <c r="AJ120" s="460"/>
      <c r="AK120" s="460"/>
      <c r="AL120" s="460"/>
      <c r="AM120" s="463">
        <f t="shared" si="94"/>
        <v>12.8</v>
      </c>
      <c r="AN120" s="463">
        <f t="shared" si="95"/>
        <v>12.8</v>
      </c>
      <c r="AO120" s="460">
        <f t="shared" si="96"/>
        <v>1.8</v>
      </c>
      <c r="AP120" s="460">
        <f t="shared" si="97"/>
        <v>0</v>
      </c>
      <c r="AQ120" s="460">
        <f t="shared" si="98"/>
        <v>0</v>
      </c>
      <c r="AR120" s="460">
        <f t="shared" si="99"/>
        <v>0</v>
      </c>
      <c r="AS120" s="460">
        <f t="shared" si="100"/>
        <v>0</v>
      </c>
      <c r="AT120" s="460">
        <f t="shared" si="101"/>
        <v>11</v>
      </c>
      <c r="AU120" s="463">
        <f t="shared" si="102"/>
        <v>0</v>
      </c>
      <c r="AV120" s="460">
        <f t="shared" si="88"/>
        <v>0</v>
      </c>
      <c r="AW120" s="460">
        <f t="shared" si="89"/>
        <v>0</v>
      </c>
      <c r="AX120" s="460">
        <f t="shared" si="103"/>
        <v>0</v>
      </c>
      <c r="AY120" s="460">
        <f t="shared" si="104"/>
        <v>0</v>
      </c>
      <c r="AZ120" s="463">
        <f t="shared" si="105"/>
        <v>0</v>
      </c>
      <c r="BA120" s="482"/>
      <c r="BB120" s="482"/>
    </row>
    <row r="121" s="425" customFormat="1" ht="39" customHeight="1" spans="1:54">
      <c r="A121" s="459">
        <v>116</v>
      </c>
      <c r="B121" s="460" t="s">
        <v>889</v>
      </c>
      <c r="C121" s="460" t="s">
        <v>203</v>
      </c>
      <c r="D121" s="461" t="s">
        <v>284</v>
      </c>
      <c r="E121" s="461" t="s">
        <v>949</v>
      </c>
      <c r="F121" s="463">
        <f t="shared" si="108"/>
        <v>41</v>
      </c>
      <c r="G121" s="463">
        <f t="shared" si="112"/>
        <v>11</v>
      </c>
      <c r="H121" s="460">
        <v>4.8</v>
      </c>
      <c r="I121" s="460"/>
      <c r="J121" s="460">
        <v>6.2</v>
      </c>
      <c r="K121" s="460"/>
      <c r="L121" s="460"/>
      <c r="M121" s="460"/>
      <c r="N121" s="460"/>
      <c r="O121" s="459">
        <f t="shared" si="107"/>
        <v>0</v>
      </c>
      <c r="P121" s="460"/>
      <c r="Q121" s="460"/>
      <c r="R121" s="460"/>
      <c r="S121" s="460"/>
      <c r="T121" s="460"/>
      <c r="U121" s="463">
        <v>30</v>
      </c>
      <c r="V121" s="460" t="s">
        <v>838</v>
      </c>
      <c r="W121" s="460" t="s">
        <v>950</v>
      </c>
      <c r="X121" s="463">
        <f t="shared" si="109"/>
        <v>52.44</v>
      </c>
      <c r="Y121" s="463">
        <f t="shared" si="110"/>
        <v>0.39</v>
      </c>
      <c r="Z121" s="460"/>
      <c r="AA121" s="460"/>
      <c r="AB121" s="460">
        <v>0.39</v>
      </c>
      <c r="AC121" s="460"/>
      <c r="AD121" s="460"/>
      <c r="AE121" s="460"/>
      <c r="AF121" s="459">
        <f t="shared" si="111"/>
        <v>50.55</v>
      </c>
      <c r="AG121" s="460">
        <v>0.55</v>
      </c>
      <c r="AH121" s="460"/>
      <c r="AI121" s="460"/>
      <c r="AJ121" s="460">
        <v>50</v>
      </c>
      <c r="AK121" s="460">
        <v>1.5</v>
      </c>
      <c r="AL121" s="460" t="s">
        <v>951</v>
      </c>
      <c r="AM121" s="463">
        <f t="shared" si="94"/>
        <v>93.44</v>
      </c>
      <c r="AN121" s="463">
        <f t="shared" si="95"/>
        <v>11.39</v>
      </c>
      <c r="AO121" s="460">
        <f t="shared" si="96"/>
        <v>4.8</v>
      </c>
      <c r="AP121" s="460">
        <f t="shared" si="97"/>
        <v>0</v>
      </c>
      <c r="AQ121" s="460">
        <f t="shared" si="98"/>
        <v>6.59</v>
      </c>
      <c r="AR121" s="460">
        <f t="shared" si="99"/>
        <v>0</v>
      </c>
      <c r="AS121" s="460">
        <f t="shared" si="100"/>
        <v>0</v>
      </c>
      <c r="AT121" s="460">
        <f t="shared" si="101"/>
        <v>0</v>
      </c>
      <c r="AU121" s="463">
        <f t="shared" si="102"/>
        <v>50.55</v>
      </c>
      <c r="AV121" s="460">
        <f t="shared" si="88"/>
        <v>0.55</v>
      </c>
      <c r="AW121" s="460">
        <f t="shared" si="89"/>
        <v>0</v>
      </c>
      <c r="AX121" s="460">
        <f t="shared" si="103"/>
        <v>0</v>
      </c>
      <c r="AY121" s="460">
        <f t="shared" si="104"/>
        <v>50</v>
      </c>
      <c r="AZ121" s="463">
        <f t="shared" si="105"/>
        <v>31.5</v>
      </c>
      <c r="BA121" s="482"/>
      <c r="BB121" s="482"/>
    </row>
    <row r="122" s="425" customFormat="1" ht="39" customHeight="1" spans="1:54">
      <c r="A122" s="459">
        <v>117</v>
      </c>
      <c r="B122" s="460" t="s">
        <v>889</v>
      </c>
      <c r="C122" s="460" t="s">
        <v>206</v>
      </c>
      <c r="D122" s="461" t="s">
        <v>286</v>
      </c>
      <c r="E122" s="461" t="s">
        <v>952</v>
      </c>
      <c r="F122" s="463">
        <f t="shared" si="108"/>
        <v>12</v>
      </c>
      <c r="G122" s="463">
        <f t="shared" si="112"/>
        <v>12</v>
      </c>
      <c r="H122" s="460">
        <v>12</v>
      </c>
      <c r="I122" s="460"/>
      <c r="J122" s="460"/>
      <c r="K122" s="460"/>
      <c r="L122" s="460"/>
      <c r="M122" s="460"/>
      <c r="N122" s="460"/>
      <c r="O122" s="459">
        <f t="shared" si="107"/>
        <v>0</v>
      </c>
      <c r="P122" s="460"/>
      <c r="Q122" s="460"/>
      <c r="R122" s="460"/>
      <c r="S122" s="460"/>
      <c r="T122" s="460"/>
      <c r="U122" s="463"/>
      <c r="V122" s="460"/>
      <c r="W122" s="460"/>
      <c r="X122" s="463">
        <f t="shared" si="109"/>
        <v>0</v>
      </c>
      <c r="Y122" s="463">
        <f t="shared" si="110"/>
        <v>0</v>
      </c>
      <c r="Z122" s="460"/>
      <c r="AA122" s="460"/>
      <c r="AB122" s="460"/>
      <c r="AC122" s="460"/>
      <c r="AD122" s="460"/>
      <c r="AE122" s="460"/>
      <c r="AF122" s="459">
        <f t="shared" si="111"/>
        <v>0</v>
      </c>
      <c r="AG122" s="460"/>
      <c r="AH122" s="460"/>
      <c r="AI122" s="460"/>
      <c r="AJ122" s="460"/>
      <c r="AK122" s="460"/>
      <c r="AL122" s="460"/>
      <c r="AM122" s="463">
        <f t="shared" si="94"/>
        <v>12</v>
      </c>
      <c r="AN122" s="463">
        <f t="shared" si="95"/>
        <v>12</v>
      </c>
      <c r="AO122" s="460">
        <f t="shared" si="96"/>
        <v>12</v>
      </c>
      <c r="AP122" s="460">
        <f t="shared" si="97"/>
        <v>0</v>
      </c>
      <c r="AQ122" s="460">
        <f t="shared" si="98"/>
        <v>0</v>
      </c>
      <c r="AR122" s="460">
        <f t="shared" si="99"/>
        <v>0</v>
      </c>
      <c r="AS122" s="460">
        <f t="shared" si="100"/>
        <v>0</v>
      </c>
      <c r="AT122" s="460">
        <f t="shared" si="101"/>
        <v>0</v>
      </c>
      <c r="AU122" s="463">
        <f t="shared" si="102"/>
        <v>0</v>
      </c>
      <c r="AV122" s="460">
        <f t="shared" si="88"/>
        <v>0</v>
      </c>
      <c r="AW122" s="460">
        <f t="shared" si="89"/>
        <v>0</v>
      </c>
      <c r="AX122" s="460">
        <f t="shared" si="103"/>
        <v>0</v>
      </c>
      <c r="AY122" s="460">
        <f t="shared" si="104"/>
        <v>0</v>
      </c>
      <c r="AZ122" s="463">
        <f t="shared" si="105"/>
        <v>0</v>
      </c>
      <c r="BA122" s="482"/>
      <c r="BB122" s="482"/>
    </row>
    <row r="123" s="425" customFormat="1" ht="60" spans="1:54">
      <c r="A123" s="459">
        <v>118</v>
      </c>
      <c r="B123" s="460" t="s">
        <v>889</v>
      </c>
      <c r="C123" s="460" t="s">
        <v>203</v>
      </c>
      <c r="D123" s="461" t="s">
        <v>213</v>
      </c>
      <c r="E123" s="461" t="s">
        <v>868</v>
      </c>
      <c r="F123" s="463">
        <f t="shared" si="108"/>
        <v>235.1</v>
      </c>
      <c r="G123" s="463">
        <f t="shared" si="112"/>
        <v>235.1</v>
      </c>
      <c r="H123" s="460">
        <v>62.5</v>
      </c>
      <c r="I123" s="460">
        <v>4.8</v>
      </c>
      <c r="J123" s="460">
        <v>17.8</v>
      </c>
      <c r="K123" s="460"/>
      <c r="L123" s="460"/>
      <c r="M123" s="460">
        <v>150</v>
      </c>
      <c r="N123" s="460" t="s">
        <v>953</v>
      </c>
      <c r="O123" s="459">
        <f t="shared" si="107"/>
        <v>0</v>
      </c>
      <c r="P123" s="460"/>
      <c r="Q123" s="460"/>
      <c r="R123" s="460"/>
      <c r="S123" s="460"/>
      <c r="T123" s="460"/>
      <c r="U123" s="463">
        <v>0</v>
      </c>
      <c r="V123" s="460"/>
      <c r="W123" s="460"/>
      <c r="X123" s="463">
        <f t="shared" si="109"/>
        <v>32.75</v>
      </c>
      <c r="Y123" s="463">
        <f t="shared" si="110"/>
        <v>-105.25</v>
      </c>
      <c r="Z123" s="460"/>
      <c r="AA123" s="460"/>
      <c r="AB123" s="460">
        <v>0.75</v>
      </c>
      <c r="AC123" s="460"/>
      <c r="AD123" s="460"/>
      <c r="AE123" s="471">
        <f>80-186</f>
        <v>-106</v>
      </c>
      <c r="AF123" s="459">
        <f t="shared" si="111"/>
        <v>0</v>
      </c>
      <c r="AG123" s="460"/>
      <c r="AH123" s="460"/>
      <c r="AI123" s="460"/>
      <c r="AJ123" s="460"/>
      <c r="AK123" s="460">
        <v>138</v>
      </c>
      <c r="AL123" s="460" t="s">
        <v>954</v>
      </c>
      <c r="AM123" s="463">
        <f t="shared" si="94"/>
        <v>267.85</v>
      </c>
      <c r="AN123" s="463">
        <f t="shared" si="95"/>
        <v>129.85</v>
      </c>
      <c r="AO123" s="460">
        <f t="shared" si="96"/>
        <v>62.5</v>
      </c>
      <c r="AP123" s="460">
        <f t="shared" si="97"/>
        <v>4.8</v>
      </c>
      <c r="AQ123" s="460">
        <f t="shared" si="98"/>
        <v>18.55</v>
      </c>
      <c r="AR123" s="460">
        <f t="shared" si="99"/>
        <v>0</v>
      </c>
      <c r="AS123" s="460">
        <f t="shared" si="100"/>
        <v>0</v>
      </c>
      <c r="AT123" s="460">
        <f t="shared" si="101"/>
        <v>44</v>
      </c>
      <c r="AU123" s="463">
        <f t="shared" si="102"/>
        <v>0</v>
      </c>
      <c r="AV123" s="460">
        <f t="shared" si="88"/>
        <v>0</v>
      </c>
      <c r="AW123" s="460">
        <f t="shared" si="89"/>
        <v>0</v>
      </c>
      <c r="AX123" s="460">
        <f t="shared" si="103"/>
        <v>0</v>
      </c>
      <c r="AY123" s="460">
        <f t="shared" si="104"/>
        <v>0</v>
      </c>
      <c r="AZ123" s="463">
        <f t="shared" si="105"/>
        <v>138</v>
      </c>
      <c r="BA123" s="482"/>
      <c r="BB123" s="482"/>
    </row>
    <row r="124" s="425" customFormat="1" ht="39" customHeight="1" spans="1:54">
      <c r="A124" s="459">
        <v>119</v>
      </c>
      <c r="B124" s="460" t="s">
        <v>889</v>
      </c>
      <c r="C124" s="460" t="s">
        <v>206</v>
      </c>
      <c r="D124" s="461" t="s">
        <v>221</v>
      </c>
      <c r="E124" s="461" t="s">
        <v>855</v>
      </c>
      <c r="F124" s="463">
        <f t="shared" si="108"/>
        <v>685.2</v>
      </c>
      <c r="G124" s="463">
        <f t="shared" si="112"/>
        <v>625.2</v>
      </c>
      <c r="H124" s="460">
        <v>15</v>
      </c>
      <c r="I124" s="460">
        <v>259.2</v>
      </c>
      <c r="J124" s="460"/>
      <c r="K124" s="460"/>
      <c r="L124" s="460"/>
      <c r="M124" s="460">
        <v>351</v>
      </c>
      <c r="N124" s="460" t="s">
        <v>955</v>
      </c>
      <c r="O124" s="459">
        <f t="shared" si="107"/>
        <v>0</v>
      </c>
      <c r="P124" s="460"/>
      <c r="Q124" s="460"/>
      <c r="R124" s="460"/>
      <c r="S124" s="460"/>
      <c r="T124" s="460"/>
      <c r="U124" s="463">
        <v>60</v>
      </c>
      <c r="V124" s="460" t="s">
        <v>838</v>
      </c>
      <c r="W124" s="460" t="s">
        <v>956</v>
      </c>
      <c r="X124" s="463">
        <f t="shared" si="109"/>
        <v>-351</v>
      </c>
      <c r="Y124" s="463">
        <f t="shared" si="110"/>
        <v>-351</v>
      </c>
      <c r="Z124" s="460"/>
      <c r="AA124" s="460"/>
      <c r="AB124" s="460"/>
      <c r="AC124" s="460"/>
      <c r="AD124" s="460"/>
      <c r="AE124" s="471">
        <v>-351</v>
      </c>
      <c r="AF124" s="459">
        <f t="shared" si="111"/>
        <v>0</v>
      </c>
      <c r="AG124" s="460"/>
      <c r="AH124" s="460"/>
      <c r="AI124" s="460"/>
      <c r="AJ124" s="460"/>
      <c r="AK124" s="460"/>
      <c r="AL124" s="460"/>
      <c r="AM124" s="463">
        <f t="shared" si="94"/>
        <v>334.2</v>
      </c>
      <c r="AN124" s="463">
        <f t="shared" si="95"/>
        <v>274.2</v>
      </c>
      <c r="AO124" s="460">
        <f t="shared" si="96"/>
        <v>15</v>
      </c>
      <c r="AP124" s="460">
        <f t="shared" si="97"/>
        <v>259.2</v>
      </c>
      <c r="AQ124" s="460">
        <f t="shared" si="98"/>
        <v>0</v>
      </c>
      <c r="AR124" s="460">
        <f t="shared" si="99"/>
        <v>0</v>
      </c>
      <c r="AS124" s="460">
        <f t="shared" si="100"/>
        <v>0</v>
      </c>
      <c r="AT124" s="460">
        <f t="shared" si="101"/>
        <v>0</v>
      </c>
      <c r="AU124" s="463">
        <f t="shared" si="102"/>
        <v>0</v>
      </c>
      <c r="AV124" s="460">
        <f t="shared" si="88"/>
        <v>0</v>
      </c>
      <c r="AW124" s="460">
        <f t="shared" si="89"/>
        <v>0</v>
      </c>
      <c r="AX124" s="460">
        <f t="shared" si="103"/>
        <v>0</v>
      </c>
      <c r="AY124" s="460">
        <f t="shared" si="104"/>
        <v>0</v>
      </c>
      <c r="AZ124" s="463">
        <f t="shared" si="105"/>
        <v>60</v>
      </c>
      <c r="BA124" s="482"/>
      <c r="BB124" s="482"/>
    </row>
    <row r="125" s="425" customFormat="1" ht="39" customHeight="1" spans="1:54">
      <c r="A125" s="459">
        <v>120</v>
      </c>
      <c r="B125" s="460" t="s">
        <v>889</v>
      </c>
      <c r="C125" s="460" t="s">
        <v>206</v>
      </c>
      <c r="D125" s="461" t="s">
        <v>957</v>
      </c>
      <c r="E125" s="461" t="s">
        <v>855</v>
      </c>
      <c r="F125" s="463">
        <f t="shared" si="108"/>
        <v>0</v>
      </c>
      <c r="G125" s="463">
        <f t="shared" si="112"/>
        <v>0</v>
      </c>
      <c r="H125" s="460"/>
      <c r="I125" s="460"/>
      <c r="J125" s="460"/>
      <c r="K125" s="460"/>
      <c r="L125" s="460"/>
      <c r="M125" s="460"/>
      <c r="N125" s="460"/>
      <c r="O125" s="459">
        <f t="shared" si="107"/>
        <v>0</v>
      </c>
      <c r="P125" s="460"/>
      <c r="Q125" s="460"/>
      <c r="R125" s="460"/>
      <c r="S125" s="460"/>
      <c r="T125" s="460"/>
      <c r="U125" s="463"/>
      <c r="V125" s="460"/>
      <c r="W125" s="460"/>
      <c r="X125" s="463">
        <f t="shared" si="109"/>
        <v>0</v>
      </c>
      <c r="Y125" s="463">
        <f t="shared" si="110"/>
        <v>0</v>
      </c>
      <c r="Z125" s="460"/>
      <c r="AA125" s="460"/>
      <c r="AB125" s="460"/>
      <c r="AC125" s="460"/>
      <c r="AD125" s="460"/>
      <c r="AE125" s="460"/>
      <c r="AF125" s="459">
        <f t="shared" si="111"/>
        <v>0</v>
      </c>
      <c r="AG125" s="460"/>
      <c r="AH125" s="460"/>
      <c r="AI125" s="460"/>
      <c r="AJ125" s="460"/>
      <c r="AK125" s="460"/>
      <c r="AL125" s="460"/>
      <c r="AM125" s="463">
        <f t="shared" si="94"/>
        <v>0</v>
      </c>
      <c r="AN125" s="463">
        <f t="shared" si="95"/>
        <v>0</v>
      </c>
      <c r="AO125" s="460">
        <f t="shared" si="96"/>
        <v>0</v>
      </c>
      <c r="AP125" s="460">
        <f t="shared" si="97"/>
        <v>0</v>
      </c>
      <c r="AQ125" s="460">
        <f t="shared" si="98"/>
        <v>0</v>
      </c>
      <c r="AR125" s="460">
        <f t="shared" si="99"/>
        <v>0</v>
      </c>
      <c r="AS125" s="460">
        <f t="shared" si="100"/>
        <v>0</v>
      </c>
      <c r="AT125" s="460">
        <f t="shared" si="101"/>
        <v>0</v>
      </c>
      <c r="AU125" s="463">
        <f t="shared" si="102"/>
        <v>0</v>
      </c>
      <c r="AV125" s="460">
        <f t="shared" si="88"/>
        <v>0</v>
      </c>
      <c r="AW125" s="460">
        <f t="shared" si="89"/>
        <v>0</v>
      </c>
      <c r="AX125" s="460">
        <f t="shared" si="103"/>
        <v>0</v>
      </c>
      <c r="AY125" s="460">
        <f t="shared" si="104"/>
        <v>0</v>
      </c>
      <c r="AZ125" s="463">
        <f t="shared" si="105"/>
        <v>0</v>
      </c>
      <c r="BA125" s="482"/>
      <c r="BB125" s="482"/>
    </row>
    <row r="126" s="425" customFormat="1" ht="39" customHeight="1" spans="1:54">
      <c r="A126" s="459">
        <v>121</v>
      </c>
      <c r="B126" s="460" t="s">
        <v>889</v>
      </c>
      <c r="C126" s="460" t="s">
        <v>206</v>
      </c>
      <c r="D126" s="461" t="s">
        <v>222</v>
      </c>
      <c r="E126" s="461" t="s">
        <v>855</v>
      </c>
      <c r="F126" s="463">
        <f t="shared" si="108"/>
        <v>10</v>
      </c>
      <c r="G126" s="463">
        <f t="shared" si="112"/>
        <v>10</v>
      </c>
      <c r="H126" s="460">
        <v>10</v>
      </c>
      <c r="I126" s="460"/>
      <c r="J126" s="460"/>
      <c r="K126" s="460"/>
      <c r="L126" s="460"/>
      <c r="M126" s="460"/>
      <c r="N126" s="460"/>
      <c r="O126" s="459">
        <f t="shared" si="107"/>
        <v>0</v>
      </c>
      <c r="P126" s="460"/>
      <c r="Q126" s="460"/>
      <c r="R126" s="460"/>
      <c r="S126" s="460"/>
      <c r="T126" s="460"/>
      <c r="U126" s="463"/>
      <c r="V126" s="460"/>
      <c r="W126" s="460"/>
      <c r="X126" s="463">
        <f t="shared" si="109"/>
        <v>0</v>
      </c>
      <c r="Y126" s="463">
        <f t="shared" si="110"/>
        <v>0</v>
      </c>
      <c r="Z126" s="460"/>
      <c r="AA126" s="460"/>
      <c r="AB126" s="460"/>
      <c r="AC126" s="460"/>
      <c r="AD126" s="460"/>
      <c r="AE126" s="460"/>
      <c r="AF126" s="459">
        <f t="shared" si="111"/>
        <v>0</v>
      </c>
      <c r="AG126" s="460"/>
      <c r="AH126" s="460"/>
      <c r="AI126" s="460"/>
      <c r="AJ126" s="460"/>
      <c r="AK126" s="460"/>
      <c r="AL126" s="460"/>
      <c r="AM126" s="463">
        <f t="shared" si="94"/>
        <v>10</v>
      </c>
      <c r="AN126" s="463">
        <f t="shared" si="95"/>
        <v>10</v>
      </c>
      <c r="AO126" s="460">
        <f t="shared" si="96"/>
        <v>10</v>
      </c>
      <c r="AP126" s="460">
        <f t="shared" si="97"/>
        <v>0</v>
      </c>
      <c r="AQ126" s="460">
        <f t="shared" si="98"/>
        <v>0</v>
      </c>
      <c r="AR126" s="460">
        <f t="shared" si="99"/>
        <v>0</v>
      </c>
      <c r="AS126" s="460">
        <f t="shared" si="100"/>
        <v>0</v>
      </c>
      <c r="AT126" s="460">
        <f t="shared" si="101"/>
        <v>0</v>
      </c>
      <c r="AU126" s="463">
        <f t="shared" si="102"/>
        <v>0</v>
      </c>
      <c r="AV126" s="460">
        <f t="shared" si="88"/>
        <v>0</v>
      </c>
      <c r="AW126" s="460">
        <f t="shared" si="89"/>
        <v>0</v>
      </c>
      <c r="AX126" s="460">
        <f t="shared" si="103"/>
        <v>0</v>
      </c>
      <c r="AY126" s="460">
        <f t="shared" si="104"/>
        <v>0</v>
      </c>
      <c r="AZ126" s="463">
        <f t="shared" si="105"/>
        <v>0</v>
      </c>
      <c r="BA126" s="482"/>
      <c r="BB126" s="482"/>
    </row>
    <row r="127" s="425" customFormat="1" ht="39" customHeight="1" spans="1:54">
      <c r="A127" s="459">
        <v>122</v>
      </c>
      <c r="B127" s="460" t="s">
        <v>889</v>
      </c>
      <c r="C127" s="460" t="s">
        <v>206</v>
      </c>
      <c r="D127" s="461" t="s">
        <v>223</v>
      </c>
      <c r="E127" s="461" t="s">
        <v>855</v>
      </c>
      <c r="F127" s="463">
        <f t="shared" si="108"/>
        <v>27.5</v>
      </c>
      <c r="G127" s="463">
        <f t="shared" si="112"/>
        <v>27.5</v>
      </c>
      <c r="H127" s="460">
        <v>27.5</v>
      </c>
      <c r="I127" s="460"/>
      <c r="J127" s="460"/>
      <c r="K127" s="460"/>
      <c r="L127" s="460"/>
      <c r="M127" s="460"/>
      <c r="N127" s="460"/>
      <c r="O127" s="459">
        <f t="shared" si="107"/>
        <v>0</v>
      </c>
      <c r="P127" s="460"/>
      <c r="Q127" s="460"/>
      <c r="R127" s="460"/>
      <c r="S127" s="460"/>
      <c r="T127" s="460"/>
      <c r="U127" s="463"/>
      <c r="V127" s="460"/>
      <c r="W127" s="460"/>
      <c r="X127" s="463">
        <f t="shared" si="109"/>
        <v>0</v>
      </c>
      <c r="Y127" s="463">
        <f t="shared" si="110"/>
        <v>0</v>
      </c>
      <c r="Z127" s="460"/>
      <c r="AA127" s="460"/>
      <c r="AB127" s="460"/>
      <c r="AC127" s="460"/>
      <c r="AD127" s="460"/>
      <c r="AE127" s="460"/>
      <c r="AF127" s="459">
        <f t="shared" si="111"/>
        <v>0</v>
      </c>
      <c r="AG127" s="460"/>
      <c r="AH127" s="460"/>
      <c r="AI127" s="460"/>
      <c r="AJ127" s="460"/>
      <c r="AK127" s="460"/>
      <c r="AL127" s="460"/>
      <c r="AM127" s="463">
        <f t="shared" si="94"/>
        <v>27.5</v>
      </c>
      <c r="AN127" s="463">
        <f t="shared" si="95"/>
        <v>27.5</v>
      </c>
      <c r="AO127" s="460">
        <f t="shared" si="96"/>
        <v>27.5</v>
      </c>
      <c r="AP127" s="460">
        <f t="shared" si="97"/>
        <v>0</v>
      </c>
      <c r="AQ127" s="460">
        <f t="shared" si="98"/>
        <v>0</v>
      </c>
      <c r="AR127" s="460">
        <f t="shared" si="99"/>
        <v>0</v>
      </c>
      <c r="AS127" s="460">
        <f t="shared" si="100"/>
        <v>0</v>
      </c>
      <c r="AT127" s="460">
        <f t="shared" si="101"/>
        <v>0</v>
      </c>
      <c r="AU127" s="463">
        <f t="shared" si="102"/>
        <v>0</v>
      </c>
      <c r="AV127" s="460">
        <f t="shared" si="88"/>
        <v>0</v>
      </c>
      <c r="AW127" s="460">
        <f t="shared" si="89"/>
        <v>0</v>
      </c>
      <c r="AX127" s="460">
        <f t="shared" si="103"/>
        <v>0</v>
      </c>
      <c r="AY127" s="460">
        <f t="shared" si="104"/>
        <v>0</v>
      </c>
      <c r="AZ127" s="463">
        <f t="shared" si="105"/>
        <v>0</v>
      </c>
      <c r="BA127" s="482"/>
      <c r="BB127" s="482"/>
    </row>
    <row r="128" s="425" customFormat="1" ht="39" customHeight="1" spans="1:54">
      <c r="A128" s="459">
        <v>123</v>
      </c>
      <c r="B128" s="460" t="s">
        <v>889</v>
      </c>
      <c r="C128" s="460" t="s">
        <v>206</v>
      </c>
      <c r="D128" s="461" t="s">
        <v>224</v>
      </c>
      <c r="E128" s="461" t="s">
        <v>855</v>
      </c>
      <c r="F128" s="463">
        <f t="shared" si="108"/>
        <v>37.5</v>
      </c>
      <c r="G128" s="463">
        <f t="shared" si="112"/>
        <v>37.5</v>
      </c>
      <c r="H128" s="460">
        <v>37.5</v>
      </c>
      <c r="I128" s="460"/>
      <c r="J128" s="460"/>
      <c r="K128" s="460"/>
      <c r="L128" s="460"/>
      <c r="M128" s="460"/>
      <c r="N128" s="460"/>
      <c r="O128" s="459">
        <f t="shared" si="107"/>
        <v>0</v>
      </c>
      <c r="P128" s="460"/>
      <c r="Q128" s="460"/>
      <c r="R128" s="460"/>
      <c r="S128" s="460"/>
      <c r="T128" s="460"/>
      <c r="U128" s="463"/>
      <c r="V128" s="460"/>
      <c r="W128" s="460"/>
      <c r="X128" s="463">
        <f t="shared" si="109"/>
        <v>0</v>
      </c>
      <c r="Y128" s="463">
        <f t="shared" si="110"/>
        <v>0</v>
      </c>
      <c r="Z128" s="460"/>
      <c r="AA128" s="460"/>
      <c r="AB128" s="460"/>
      <c r="AC128" s="460"/>
      <c r="AD128" s="460"/>
      <c r="AE128" s="460"/>
      <c r="AF128" s="459">
        <f t="shared" si="111"/>
        <v>0</v>
      </c>
      <c r="AG128" s="460"/>
      <c r="AH128" s="460"/>
      <c r="AI128" s="460"/>
      <c r="AJ128" s="460"/>
      <c r="AK128" s="460"/>
      <c r="AL128" s="460"/>
      <c r="AM128" s="463">
        <f t="shared" si="94"/>
        <v>37.5</v>
      </c>
      <c r="AN128" s="463">
        <f t="shared" si="95"/>
        <v>37.5</v>
      </c>
      <c r="AO128" s="460">
        <f t="shared" si="96"/>
        <v>37.5</v>
      </c>
      <c r="AP128" s="460">
        <f t="shared" si="97"/>
        <v>0</v>
      </c>
      <c r="AQ128" s="460">
        <f t="shared" si="98"/>
        <v>0</v>
      </c>
      <c r="AR128" s="460">
        <f t="shared" si="99"/>
        <v>0</v>
      </c>
      <c r="AS128" s="460">
        <f t="shared" si="100"/>
        <v>0</v>
      </c>
      <c r="AT128" s="460">
        <f t="shared" si="101"/>
        <v>0</v>
      </c>
      <c r="AU128" s="463">
        <f t="shared" si="102"/>
        <v>0</v>
      </c>
      <c r="AV128" s="460">
        <f t="shared" si="88"/>
        <v>0</v>
      </c>
      <c r="AW128" s="460">
        <f t="shared" si="89"/>
        <v>0</v>
      </c>
      <c r="AX128" s="460">
        <f t="shared" si="103"/>
        <v>0</v>
      </c>
      <c r="AY128" s="460">
        <f t="shared" si="104"/>
        <v>0</v>
      </c>
      <c r="AZ128" s="463">
        <f t="shared" si="105"/>
        <v>0</v>
      </c>
      <c r="BA128" s="482"/>
      <c r="BB128" s="482"/>
    </row>
    <row r="129" s="425" customFormat="1" ht="39" customHeight="1" spans="1:54">
      <c r="A129" s="459">
        <v>124</v>
      </c>
      <c r="B129" s="460" t="s">
        <v>889</v>
      </c>
      <c r="C129" s="460" t="s">
        <v>203</v>
      </c>
      <c r="D129" s="461" t="s">
        <v>375</v>
      </c>
      <c r="E129" s="461" t="s">
        <v>958</v>
      </c>
      <c r="F129" s="463">
        <f t="shared" si="108"/>
        <v>361.45</v>
      </c>
      <c r="G129" s="463">
        <f t="shared" si="112"/>
        <v>126.45</v>
      </c>
      <c r="H129" s="460">
        <v>42.6</v>
      </c>
      <c r="I129" s="460">
        <v>34</v>
      </c>
      <c r="J129" s="460">
        <v>49.85</v>
      </c>
      <c r="K129" s="460"/>
      <c r="L129" s="460"/>
      <c r="M129" s="460"/>
      <c r="N129" s="460"/>
      <c r="O129" s="459">
        <f t="shared" si="107"/>
        <v>50</v>
      </c>
      <c r="P129" s="460"/>
      <c r="Q129" s="460">
        <v>50</v>
      </c>
      <c r="R129" s="460"/>
      <c r="S129" s="460"/>
      <c r="T129" s="460"/>
      <c r="U129" s="463">
        <v>185</v>
      </c>
      <c r="V129" s="460"/>
      <c r="W129" s="460" t="s">
        <v>959</v>
      </c>
      <c r="X129" s="463">
        <f t="shared" si="109"/>
        <v>-229.38</v>
      </c>
      <c r="Y129" s="463">
        <f t="shared" si="110"/>
        <v>-0.01</v>
      </c>
      <c r="Z129" s="460"/>
      <c r="AA129" s="460"/>
      <c r="AB129" s="460">
        <v>-0.01</v>
      </c>
      <c r="AC129" s="460"/>
      <c r="AD129" s="460"/>
      <c r="AE129" s="460"/>
      <c r="AF129" s="459">
        <f t="shared" si="111"/>
        <v>-45.87</v>
      </c>
      <c r="AG129" s="460">
        <v>4.13</v>
      </c>
      <c r="AH129" s="471">
        <f>95.28-145.28</f>
        <v>-50</v>
      </c>
      <c r="AI129" s="460"/>
      <c r="AJ129" s="460"/>
      <c r="AK129" s="460">
        <f>1.5-185</f>
        <v>-183.5</v>
      </c>
      <c r="AL129" s="460" t="s">
        <v>846</v>
      </c>
      <c r="AM129" s="463">
        <f t="shared" si="94"/>
        <v>132.07</v>
      </c>
      <c r="AN129" s="463">
        <f t="shared" si="95"/>
        <v>126.44</v>
      </c>
      <c r="AO129" s="460">
        <f t="shared" si="96"/>
        <v>42.6</v>
      </c>
      <c r="AP129" s="460">
        <f t="shared" si="97"/>
        <v>34</v>
      </c>
      <c r="AQ129" s="460">
        <f t="shared" si="98"/>
        <v>49.84</v>
      </c>
      <c r="AR129" s="460">
        <f t="shared" si="99"/>
        <v>0</v>
      </c>
      <c r="AS129" s="460">
        <f t="shared" si="100"/>
        <v>0</v>
      </c>
      <c r="AT129" s="460">
        <f t="shared" si="101"/>
        <v>0</v>
      </c>
      <c r="AU129" s="463">
        <f t="shared" si="102"/>
        <v>4.13</v>
      </c>
      <c r="AV129" s="460">
        <f t="shared" si="88"/>
        <v>4.13</v>
      </c>
      <c r="AW129" s="460">
        <f t="shared" si="89"/>
        <v>0</v>
      </c>
      <c r="AX129" s="460">
        <f t="shared" si="103"/>
        <v>0</v>
      </c>
      <c r="AY129" s="460">
        <f t="shared" si="104"/>
        <v>0</v>
      </c>
      <c r="AZ129" s="463">
        <f t="shared" si="105"/>
        <v>1.5</v>
      </c>
      <c r="BA129" s="482">
        <v>185</v>
      </c>
      <c r="BB129" s="482"/>
    </row>
    <row r="130" s="425" customFormat="1" ht="39" customHeight="1" spans="1:54">
      <c r="A130" s="459">
        <v>125</v>
      </c>
      <c r="B130" s="460" t="s">
        <v>889</v>
      </c>
      <c r="C130" s="460" t="s">
        <v>206</v>
      </c>
      <c r="D130" s="461" t="s">
        <v>377</v>
      </c>
      <c r="E130" s="461" t="s">
        <v>960</v>
      </c>
      <c r="F130" s="463">
        <f t="shared" si="108"/>
        <v>11</v>
      </c>
      <c r="G130" s="463">
        <f t="shared" si="112"/>
        <v>6</v>
      </c>
      <c r="H130" s="460">
        <v>6</v>
      </c>
      <c r="I130" s="460"/>
      <c r="J130" s="460"/>
      <c r="K130" s="460"/>
      <c r="L130" s="460"/>
      <c r="M130" s="460"/>
      <c r="N130" s="460"/>
      <c r="O130" s="459">
        <f t="shared" si="107"/>
        <v>0</v>
      </c>
      <c r="P130" s="460"/>
      <c r="Q130" s="460"/>
      <c r="R130" s="460"/>
      <c r="S130" s="460"/>
      <c r="T130" s="460"/>
      <c r="U130" s="463">
        <v>5</v>
      </c>
      <c r="V130" s="460" t="s">
        <v>838</v>
      </c>
      <c r="W130" s="460" t="s">
        <v>961</v>
      </c>
      <c r="X130" s="463">
        <f t="shared" si="109"/>
        <v>0</v>
      </c>
      <c r="Y130" s="463">
        <f t="shared" si="110"/>
        <v>0</v>
      </c>
      <c r="Z130" s="460"/>
      <c r="AA130" s="460"/>
      <c r="AB130" s="460"/>
      <c r="AC130" s="460"/>
      <c r="AD130" s="460"/>
      <c r="AE130" s="460"/>
      <c r="AF130" s="459">
        <f t="shared" si="111"/>
        <v>0</v>
      </c>
      <c r="AG130" s="460"/>
      <c r="AH130" s="460"/>
      <c r="AI130" s="460"/>
      <c r="AJ130" s="460"/>
      <c r="AK130" s="460"/>
      <c r="AL130" s="460"/>
      <c r="AM130" s="463">
        <f t="shared" si="94"/>
        <v>11</v>
      </c>
      <c r="AN130" s="463">
        <f t="shared" si="95"/>
        <v>6</v>
      </c>
      <c r="AO130" s="460">
        <f t="shared" si="96"/>
        <v>6</v>
      </c>
      <c r="AP130" s="460">
        <f t="shared" si="97"/>
        <v>0</v>
      </c>
      <c r="AQ130" s="460">
        <f t="shared" si="98"/>
        <v>0</v>
      </c>
      <c r="AR130" s="460">
        <f t="shared" si="99"/>
        <v>0</v>
      </c>
      <c r="AS130" s="460">
        <f t="shared" si="100"/>
        <v>0</v>
      </c>
      <c r="AT130" s="460">
        <f t="shared" si="101"/>
        <v>0</v>
      </c>
      <c r="AU130" s="463">
        <f t="shared" si="102"/>
        <v>0</v>
      </c>
      <c r="AV130" s="460">
        <f t="shared" si="88"/>
        <v>0</v>
      </c>
      <c r="AW130" s="460">
        <f t="shared" si="89"/>
        <v>0</v>
      </c>
      <c r="AX130" s="460">
        <f t="shared" si="103"/>
        <v>0</v>
      </c>
      <c r="AY130" s="460">
        <f t="shared" si="104"/>
        <v>0</v>
      </c>
      <c r="AZ130" s="463">
        <f t="shared" si="105"/>
        <v>5</v>
      </c>
      <c r="BA130" s="482"/>
      <c r="BB130" s="482"/>
    </row>
    <row r="131" s="425" customFormat="1" ht="39" customHeight="1" spans="1:54">
      <c r="A131" s="459">
        <v>126</v>
      </c>
      <c r="B131" s="460" t="s">
        <v>889</v>
      </c>
      <c r="C131" s="460" t="s">
        <v>206</v>
      </c>
      <c r="D131" s="461" t="s">
        <v>379</v>
      </c>
      <c r="E131" s="461" t="s">
        <v>960</v>
      </c>
      <c r="F131" s="463">
        <f t="shared" si="108"/>
        <v>4.8</v>
      </c>
      <c r="G131" s="463">
        <f t="shared" si="112"/>
        <v>1.8</v>
      </c>
      <c r="H131" s="460">
        <v>1.8</v>
      </c>
      <c r="I131" s="460"/>
      <c r="J131" s="460"/>
      <c r="K131" s="460"/>
      <c r="L131" s="460"/>
      <c r="M131" s="460"/>
      <c r="N131" s="460"/>
      <c r="O131" s="459">
        <f t="shared" si="107"/>
        <v>0</v>
      </c>
      <c r="P131" s="460"/>
      <c r="Q131" s="460"/>
      <c r="R131" s="460"/>
      <c r="S131" s="460"/>
      <c r="T131" s="460"/>
      <c r="U131" s="463">
        <v>3</v>
      </c>
      <c r="V131" s="460" t="s">
        <v>838</v>
      </c>
      <c r="W131" s="460" t="s">
        <v>962</v>
      </c>
      <c r="X131" s="463">
        <f t="shared" si="109"/>
        <v>0</v>
      </c>
      <c r="Y131" s="463">
        <f t="shared" si="110"/>
        <v>0</v>
      </c>
      <c r="Z131" s="460"/>
      <c r="AA131" s="460"/>
      <c r="AB131" s="460"/>
      <c r="AC131" s="460"/>
      <c r="AD131" s="460"/>
      <c r="AE131" s="460"/>
      <c r="AF131" s="459">
        <f t="shared" si="111"/>
        <v>0</v>
      </c>
      <c r="AG131" s="460"/>
      <c r="AH131" s="460"/>
      <c r="AI131" s="460"/>
      <c r="AJ131" s="460"/>
      <c r="AK131" s="460"/>
      <c r="AL131" s="460"/>
      <c r="AM131" s="463">
        <f t="shared" si="94"/>
        <v>4.8</v>
      </c>
      <c r="AN131" s="463">
        <f t="shared" si="95"/>
        <v>1.8</v>
      </c>
      <c r="AO131" s="460">
        <f t="shared" si="96"/>
        <v>1.8</v>
      </c>
      <c r="AP131" s="460">
        <f t="shared" si="97"/>
        <v>0</v>
      </c>
      <c r="AQ131" s="460">
        <f t="shared" si="98"/>
        <v>0</v>
      </c>
      <c r="AR131" s="460">
        <f t="shared" si="99"/>
        <v>0</v>
      </c>
      <c r="AS131" s="460">
        <f t="shared" si="100"/>
        <v>0</v>
      </c>
      <c r="AT131" s="460">
        <f t="shared" si="101"/>
        <v>0</v>
      </c>
      <c r="AU131" s="463">
        <f t="shared" si="102"/>
        <v>0</v>
      </c>
      <c r="AV131" s="460">
        <f t="shared" si="88"/>
        <v>0</v>
      </c>
      <c r="AW131" s="460">
        <f t="shared" si="89"/>
        <v>0</v>
      </c>
      <c r="AX131" s="460">
        <f t="shared" si="103"/>
        <v>0</v>
      </c>
      <c r="AY131" s="460">
        <f t="shared" si="104"/>
        <v>0</v>
      </c>
      <c r="AZ131" s="463">
        <f t="shared" si="105"/>
        <v>3</v>
      </c>
      <c r="BA131" s="482"/>
      <c r="BB131" s="482"/>
    </row>
    <row r="132" s="425" customFormat="1" ht="39" customHeight="1" spans="1:54">
      <c r="A132" s="459">
        <v>127</v>
      </c>
      <c r="B132" s="460" t="s">
        <v>889</v>
      </c>
      <c r="C132" s="460" t="s">
        <v>206</v>
      </c>
      <c r="D132" s="461" t="s">
        <v>380</v>
      </c>
      <c r="E132" s="461" t="s">
        <v>960</v>
      </c>
      <c r="F132" s="463">
        <f t="shared" si="108"/>
        <v>27</v>
      </c>
      <c r="G132" s="463">
        <f t="shared" si="112"/>
        <v>17</v>
      </c>
      <c r="H132" s="460">
        <v>15</v>
      </c>
      <c r="I132" s="460">
        <v>2</v>
      </c>
      <c r="J132" s="460"/>
      <c r="K132" s="460"/>
      <c r="L132" s="460"/>
      <c r="M132" s="460"/>
      <c r="N132" s="460"/>
      <c r="O132" s="459">
        <f t="shared" si="107"/>
        <v>0</v>
      </c>
      <c r="P132" s="460"/>
      <c r="Q132" s="460"/>
      <c r="R132" s="460"/>
      <c r="S132" s="460"/>
      <c r="T132" s="460"/>
      <c r="U132" s="463">
        <v>10</v>
      </c>
      <c r="V132" s="460" t="s">
        <v>838</v>
      </c>
      <c r="W132" s="460" t="s">
        <v>963</v>
      </c>
      <c r="X132" s="463">
        <f t="shared" si="109"/>
        <v>0</v>
      </c>
      <c r="Y132" s="463">
        <f t="shared" si="110"/>
        <v>0</v>
      </c>
      <c r="Z132" s="460"/>
      <c r="AA132" s="460"/>
      <c r="AB132" s="460"/>
      <c r="AC132" s="460"/>
      <c r="AD132" s="460"/>
      <c r="AE132" s="460"/>
      <c r="AF132" s="459">
        <f t="shared" si="111"/>
        <v>0</v>
      </c>
      <c r="AG132" s="460"/>
      <c r="AH132" s="460"/>
      <c r="AI132" s="460"/>
      <c r="AJ132" s="460"/>
      <c r="AK132" s="460"/>
      <c r="AL132" s="460"/>
      <c r="AM132" s="463">
        <f t="shared" si="94"/>
        <v>27</v>
      </c>
      <c r="AN132" s="463">
        <f t="shared" si="95"/>
        <v>17</v>
      </c>
      <c r="AO132" s="460">
        <f t="shared" si="96"/>
        <v>15</v>
      </c>
      <c r="AP132" s="460">
        <f t="shared" si="97"/>
        <v>2</v>
      </c>
      <c r="AQ132" s="460">
        <f t="shared" si="98"/>
        <v>0</v>
      </c>
      <c r="AR132" s="460">
        <f t="shared" si="99"/>
        <v>0</v>
      </c>
      <c r="AS132" s="460">
        <f t="shared" si="100"/>
        <v>0</v>
      </c>
      <c r="AT132" s="460">
        <f t="shared" si="101"/>
        <v>0</v>
      </c>
      <c r="AU132" s="463">
        <f t="shared" si="102"/>
        <v>0</v>
      </c>
      <c r="AV132" s="460">
        <f t="shared" si="88"/>
        <v>0</v>
      </c>
      <c r="AW132" s="460">
        <f t="shared" si="89"/>
        <v>0</v>
      </c>
      <c r="AX132" s="460">
        <f t="shared" si="103"/>
        <v>0</v>
      </c>
      <c r="AY132" s="460">
        <f t="shared" si="104"/>
        <v>0</v>
      </c>
      <c r="AZ132" s="463">
        <f t="shared" si="105"/>
        <v>10</v>
      </c>
      <c r="BA132" s="482"/>
      <c r="BB132" s="482"/>
    </row>
    <row r="133" s="425" customFormat="1" ht="39" customHeight="1" spans="1:54">
      <c r="A133" s="459">
        <v>128</v>
      </c>
      <c r="B133" s="460" t="s">
        <v>889</v>
      </c>
      <c r="C133" s="460" t="s">
        <v>203</v>
      </c>
      <c r="D133" s="461" t="s">
        <v>339</v>
      </c>
      <c r="E133" s="461" t="s">
        <v>892</v>
      </c>
      <c r="F133" s="463">
        <f t="shared" si="108"/>
        <v>48.81</v>
      </c>
      <c r="G133" s="463">
        <f t="shared" si="112"/>
        <v>17.35</v>
      </c>
      <c r="H133" s="460">
        <v>9</v>
      </c>
      <c r="I133" s="460"/>
      <c r="J133" s="460">
        <v>8.35</v>
      </c>
      <c r="K133" s="460"/>
      <c r="L133" s="460"/>
      <c r="M133" s="460">
        <v>0</v>
      </c>
      <c r="N133" s="460"/>
      <c r="O133" s="459">
        <f t="shared" si="107"/>
        <v>1.46</v>
      </c>
      <c r="P133" s="460">
        <v>1.46</v>
      </c>
      <c r="Q133" s="460"/>
      <c r="R133" s="460"/>
      <c r="S133" s="460"/>
      <c r="T133" s="460"/>
      <c r="U133" s="463">
        <v>30</v>
      </c>
      <c r="V133" s="460" t="s">
        <v>838</v>
      </c>
      <c r="W133" s="460" t="s">
        <v>964</v>
      </c>
      <c r="X133" s="463">
        <f t="shared" si="109"/>
        <v>-1.89</v>
      </c>
      <c r="Y133" s="463">
        <f t="shared" si="110"/>
        <v>-1.66</v>
      </c>
      <c r="Z133" s="460"/>
      <c r="AA133" s="460"/>
      <c r="AB133" s="460">
        <v>-1.66</v>
      </c>
      <c r="AC133" s="460"/>
      <c r="AD133" s="460"/>
      <c r="AE133" s="460"/>
      <c r="AF133" s="459">
        <f t="shared" si="111"/>
        <v>-0.23</v>
      </c>
      <c r="AG133" s="460">
        <v>-0.23</v>
      </c>
      <c r="AH133" s="460"/>
      <c r="AI133" s="460"/>
      <c r="AJ133" s="460"/>
      <c r="AK133" s="460"/>
      <c r="AL133" s="460"/>
      <c r="AM133" s="463">
        <f t="shared" si="94"/>
        <v>46.92</v>
      </c>
      <c r="AN133" s="463">
        <f t="shared" si="95"/>
        <v>15.69</v>
      </c>
      <c r="AO133" s="460">
        <f t="shared" si="96"/>
        <v>9</v>
      </c>
      <c r="AP133" s="460">
        <f t="shared" si="97"/>
        <v>0</v>
      </c>
      <c r="AQ133" s="460">
        <f t="shared" si="98"/>
        <v>6.69</v>
      </c>
      <c r="AR133" s="460">
        <f t="shared" si="99"/>
        <v>0</v>
      </c>
      <c r="AS133" s="460">
        <f t="shared" si="100"/>
        <v>0</v>
      </c>
      <c r="AT133" s="460">
        <f t="shared" si="101"/>
        <v>0</v>
      </c>
      <c r="AU133" s="463">
        <f t="shared" si="102"/>
        <v>1.23</v>
      </c>
      <c r="AV133" s="460">
        <f t="shared" si="88"/>
        <v>1.23</v>
      </c>
      <c r="AW133" s="460">
        <f t="shared" si="89"/>
        <v>0</v>
      </c>
      <c r="AX133" s="460">
        <f t="shared" si="103"/>
        <v>0</v>
      </c>
      <c r="AY133" s="460">
        <f t="shared" si="104"/>
        <v>0</v>
      </c>
      <c r="AZ133" s="463">
        <f t="shared" si="105"/>
        <v>30</v>
      </c>
      <c r="BA133" s="482"/>
      <c r="BB133" s="482"/>
    </row>
    <row r="134" s="425" customFormat="1" ht="39" customHeight="1" spans="1:54">
      <c r="A134" s="459">
        <v>129</v>
      </c>
      <c r="B134" s="460" t="s">
        <v>889</v>
      </c>
      <c r="C134" s="460" t="s">
        <v>206</v>
      </c>
      <c r="D134" s="461" t="s">
        <v>347</v>
      </c>
      <c r="E134" s="461" t="s">
        <v>894</v>
      </c>
      <c r="F134" s="463">
        <f t="shared" si="108"/>
        <v>10</v>
      </c>
      <c r="G134" s="463">
        <f t="shared" si="112"/>
        <v>10</v>
      </c>
      <c r="H134" s="460">
        <v>10</v>
      </c>
      <c r="I134" s="460"/>
      <c r="J134" s="460"/>
      <c r="K134" s="460"/>
      <c r="L134" s="460"/>
      <c r="M134" s="460"/>
      <c r="N134" s="460"/>
      <c r="O134" s="459">
        <f t="shared" si="107"/>
        <v>0</v>
      </c>
      <c r="P134" s="460"/>
      <c r="Q134" s="460"/>
      <c r="R134" s="460"/>
      <c r="S134" s="460"/>
      <c r="T134" s="460"/>
      <c r="U134" s="463"/>
      <c r="V134" s="460"/>
      <c r="W134" s="460"/>
      <c r="X134" s="463">
        <f t="shared" si="109"/>
        <v>0</v>
      </c>
      <c r="Y134" s="463">
        <f t="shared" si="110"/>
        <v>0</v>
      </c>
      <c r="Z134" s="460"/>
      <c r="AA134" s="460"/>
      <c r="AB134" s="460"/>
      <c r="AC134" s="460"/>
      <c r="AD134" s="460"/>
      <c r="AE134" s="460"/>
      <c r="AF134" s="459">
        <f t="shared" si="111"/>
        <v>0</v>
      </c>
      <c r="AG134" s="460"/>
      <c r="AH134" s="460"/>
      <c r="AI134" s="460"/>
      <c r="AJ134" s="460"/>
      <c r="AK134" s="460"/>
      <c r="AL134" s="460"/>
      <c r="AM134" s="463">
        <f t="shared" si="94"/>
        <v>10</v>
      </c>
      <c r="AN134" s="463">
        <f t="shared" si="95"/>
        <v>10</v>
      </c>
      <c r="AO134" s="460">
        <f t="shared" si="96"/>
        <v>10</v>
      </c>
      <c r="AP134" s="460">
        <f t="shared" si="97"/>
        <v>0</v>
      </c>
      <c r="AQ134" s="460">
        <f t="shared" si="98"/>
        <v>0</v>
      </c>
      <c r="AR134" s="460">
        <f t="shared" si="99"/>
        <v>0</v>
      </c>
      <c r="AS134" s="460">
        <f t="shared" si="100"/>
        <v>0</v>
      </c>
      <c r="AT134" s="460">
        <f t="shared" si="101"/>
        <v>0</v>
      </c>
      <c r="AU134" s="463">
        <f t="shared" si="102"/>
        <v>0</v>
      </c>
      <c r="AV134" s="460">
        <f t="shared" si="88"/>
        <v>0</v>
      </c>
      <c r="AW134" s="460">
        <f t="shared" si="89"/>
        <v>0</v>
      </c>
      <c r="AX134" s="460">
        <f t="shared" si="103"/>
        <v>0</v>
      </c>
      <c r="AY134" s="460">
        <f t="shared" si="104"/>
        <v>0</v>
      </c>
      <c r="AZ134" s="463">
        <f t="shared" si="105"/>
        <v>0</v>
      </c>
      <c r="BA134" s="482"/>
      <c r="BB134" s="482"/>
    </row>
    <row r="135" s="425" customFormat="1" ht="39" customHeight="1" spans="1:54">
      <c r="A135" s="459">
        <v>130</v>
      </c>
      <c r="B135" s="460" t="s">
        <v>889</v>
      </c>
      <c r="C135" s="460" t="s">
        <v>206</v>
      </c>
      <c r="D135" s="461" t="s">
        <v>965</v>
      </c>
      <c r="E135" s="461" t="s">
        <v>891</v>
      </c>
      <c r="F135" s="463">
        <f t="shared" si="108"/>
        <v>8</v>
      </c>
      <c r="G135" s="463">
        <f t="shared" si="112"/>
        <v>8</v>
      </c>
      <c r="H135" s="460"/>
      <c r="I135" s="460"/>
      <c r="J135" s="460"/>
      <c r="K135" s="460"/>
      <c r="L135" s="460"/>
      <c r="M135" s="460">
        <v>8</v>
      </c>
      <c r="N135" s="460" t="s">
        <v>825</v>
      </c>
      <c r="O135" s="459">
        <f t="shared" si="107"/>
        <v>0</v>
      </c>
      <c r="P135" s="460"/>
      <c r="Q135" s="460"/>
      <c r="R135" s="460"/>
      <c r="S135" s="460"/>
      <c r="T135" s="460"/>
      <c r="U135" s="463"/>
      <c r="V135" s="460"/>
      <c r="W135" s="460"/>
      <c r="X135" s="463">
        <f t="shared" si="109"/>
        <v>0.03</v>
      </c>
      <c r="Y135" s="463">
        <f t="shared" si="110"/>
        <v>0</v>
      </c>
      <c r="Z135" s="460"/>
      <c r="AA135" s="460"/>
      <c r="AB135" s="460"/>
      <c r="AC135" s="460"/>
      <c r="AD135" s="460"/>
      <c r="AE135" s="460"/>
      <c r="AF135" s="459">
        <f t="shared" si="111"/>
        <v>0.03</v>
      </c>
      <c r="AG135" s="460">
        <v>0.03</v>
      </c>
      <c r="AH135" s="460"/>
      <c r="AI135" s="460"/>
      <c r="AJ135" s="460"/>
      <c r="AK135" s="460"/>
      <c r="AL135" s="460"/>
      <c r="AM135" s="463">
        <f t="shared" si="94"/>
        <v>8.03</v>
      </c>
      <c r="AN135" s="463">
        <f t="shared" si="95"/>
        <v>8</v>
      </c>
      <c r="AO135" s="460">
        <f t="shared" si="96"/>
        <v>0</v>
      </c>
      <c r="AP135" s="460">
        <f t="shared" si="97"/>
        <v>0</v>
      </c>
      <c r="AQ135" s="460">
        <f t="shared" si="98"/>
        <v>0</v>
      </c>
      <c r="AR135" s="460">
        <f t="shared" si="99"/>
        <v>0</v>
      </c>
      <c r="AS135" s="460">
        <f t="shared" si="100"/>
        <v>0</v>
      </c>
      <c r="AT135" s="460">
        <f t="shared" si="101"/>
        <v>8</v>
      </c>
      <c r="AU135" s="463">
        <f t="shared" si="102"/>
        <v>0.03</v>
      </c>
      <c r="AV135" s="460">
        <f t="shared" si="88"/>
        <v>0.03</v>
      </c>
      <c r="AW135" s="460">
        <f t="shared" si="89"/>
        <v>0</v>
      </c>
      <c r="AX135" s="460">
        <f t="shared" si="103"/>
        <v>0</v>
      </c>
      <c r="AY135" s="460">
        <f t="shared" si="104"/>
        <v>0</v>
      </c>
      <c r="AZ135" s="463">
        <f t="shared" si="105"/>
        <v>0</v>
      </c>
      <c r="BA135" s="482"/>
      <c r="BB135" s="482"/>
    </row>
    <row r="136" s="425" customFormat="1" ht="39" customHeight="1" spans="1:54">
      <c r="A136" s="459">
        <v>131</v>
      </c>
      <c r="B136" s="460" t="s">
        <v>889</v>
      </c>
      <c r="C136" s="460" t="s">
        <v>206</v>
      </c>
      <c r="D136" s="461" t="s">
        <v>966</v>
      </c>
      <c r="E136" s="461" t="s">
        <v>891</v>
      </c>
      <c r="F136" s="463">
        <f t="shared" si="108"/>
        <v>17</v>
      </c>
      <c r="G136" s="463">
        <f t="shared" si="112"/>
        <v>17</v>
      </c>
      <c r="H136" s="460"/>
      <c r="I136" s="460"/>
      <c r="J136" s="460"/>
      <c r="K136" s="460"/>
      <c r="L136" s="460"/>
      <c r="M136" s="460">
        <v>17</v>
      </c>
      <c r="N136" s="460" t="s">
        <v>825</v>
      </c>
      <c r="O136" s="459">
        <f t="shared" si="107"/>
        <v>0</v>
      </c>
      <c r="P136" s="460"/>
      <c r="Q136" s="460"/>
      <c r="R136" s="460"/>
      <c r="S136" s="460"/>
      <c r="T136" s="460"/>
      <c r="U136" s="463"/>
      <c r="V136" s="460"/>
      <c r="W136" s="460"/>
      <c r="X136" s="463">
        <f t="shared" si="109"/>
        <v>0</v>
      </c>
      <c r="Y136" s="463">
        <f t="shared" si="110"/>
        <v>0</v>
      </c>
      <c r="Z136" s="460"/>
      <c r="AA136" s="460"/>
      <c r="AB136" s="460"/>
      <c r="AC136" s="460"/>
      <c r="AD136" s="460"/>
      <c r="AE136" s="460"/>
      <c r="AF136" s="459">
        <f t="shared" si="111"/>
        <v>0</v>
      </c>
      <c r="AG136" s="460"/>
      <c r="AH136" s="460"/>
      <c r="AI136" s="460"/>
      <c r="AJ136" s="460"/>
      <c r="AK136" s="460"/>
      <c r="AL136" s="460"/>
      <c r="AM136" s="463">
        <f t="shared" si="94"/>
        <v>17</v>
      </c>
      <c r="AN136" s="463">
        <f t="shared" si="95"/>
        <v>17</v>
      </c>
      <c r="AO136" s="460">
        <f t="shared" si="96"/>
        <v>0</v>
      </c>
      <c r="AP136" s="460">
        <f t="shared" si="97"/>
        <v>0</v>
      </c>
      <c r="AQ136" s="460">
        <f t="shared" si="98"/>
        <v>0</v>
      </c>
      <c r="AR136" s="460">
        <f t="shared" si="99"/>
        <v>0</v>
      </c>
      <c r="AS136" s="460">
        <f t="shared" si="100"/>
        <v>0</v>
      </c>
      <c r="AT136" s="460">
        <f t="shared" si="101"/>
        <v>17</v>
      </c>
      <c r="AU136" s="463">
        <f t="shared" si="102"/>
        <v>0</v>
      </c>
      <c r="AV136" s="460">
        <f t="shared" ref="AV136:AV139" si="113">P136+AG136</f>
        <v>0</v>
      </c>
      <c r="AW136" s="460">
        <f>Q136+AH136</f>
        <v>0</v>
      </c>
      <c r="AX136" s="460">
        <f t="shared" si="103"/>
        <v>0</v>
      </c>
      <c r="AY136" s="460">
        <f t="shared" si="104"/>
        <v>0</v>
      </c>
      <c r="AZ136" s="463">
        <f t="shared" si="105"/>
        <v>0</v>
      </c>
      <c r="BA136" s="482"/>
      <c r="BB136" s="482"/>
    </row>
    <row r="137" s="425" customFormat="1" ht="39" customHeight="1" spans="1:54">
      <c r="A137" s="459">
        <v>132</v>
      </c>
      <c r="B137" s="460" t="s">
        <v>889</v>
      </c>
      <c r="C137" s="460" t="s">
        <v>206</v>
      </c>
      <c r="D137" s="461" t="s">
        <v>967</v>
      </c>
      <c r="E137" s="461" t="s">
        <v>891</v>
      </c>
      <c r="F137" s="463">
        <f t="shared" si="108"/>
        <v>10</v>
      </c>
      <c r="G137" s="463">
        <f t="shared" si="112"/>
        <v>10</v>
      </c>
      <c r="H137" s="460"/>
      <c r="I137" s="460"/>
      <c r="J137" s="460"/>
      <c r="K137" s="460"/>
      <c r="L137" s="460"/>
      <c r="M137" s="460">
        <v>10</v>
      </c>
      <c r="N137" s="460"/>
      <c r="O137" s="459">
        <f t="shared" si="107"/>
        <v>0</v>
      </c>
      <c r="P137" s="460"/>
      <c r="Q137" s="460"/>
      <c r="R137" s="460"/>
      <c r="S137" s="460"/>
      <c r="T137" s="460"/>
      <c r="U137" s="463"/>
      <c r="V137" s="460"/>
      <c r="W137" s="460"/>
      <c r="X137" s="463">
        <f t="shared" ref="X137:X141" si="114">Y137+AF137+AK137</f>
        <v>-10</v>
      </c>
      <c r="Y137" s="463">
        <f t="shared" ref="Y137:Y141" si="115">SUM(Z137:AE137)</f>
        <v>-10</v>
      </c>
      <c r="Z137" s="460"/>
      <c r="AA137" s="460"/>
      <c r="AB137" s="460"/>
      <c r="AC137" s="460"/>
      <c r="AD137" s="460"/>
      <c r="AE137" s="460">
        <v>-10</v>
      </c>
      <c r="AF137" s="459">
        <f t="shared" si="111"/>
        <v>0</v>
      </c>
      <c r="AG137" s="460"/>
      <c r="AH137" s="460"/>
      <c r="AI137" s="460"/>
      <c r="AJ137" s="460"/>
      <c r="AK137" s="460"/>
      <c r="AL137" s="460"/>
      <c r="AM137" s="463">
        <f>AN137+AU137+AZ137</f>
        <v>0</v>
      </c>
      <c r="AN137" s="463">
        <f>SUM(AO137:AT137)</f>
        <v>0</v>
      </c>
      <c r="AO137" s="460">
        <f t="shared" ref="AO137:AT137" si="116">H137+Z137</f>
        <v>0</v>
      </c>
      <c r="AP137" s="460">
        <f t="shared" si="116"/>
        <v>0</v>
      </c>
      <c r="AQ137" s="460">
        <f t="shared" si="116"/>
        <v>0</v>
      </c>
      <c r="AR137" s="460">
        <f t="shared" si="116"/>
        <v>0</v>
      </c>
      <c r="AS137" s="460">
        <f t="shared" si="116"/>
        <v>0</v>
      </c>
      <c r="AT137" s="460">
        <f t="shared" si="116"/>
        <v>0</v>
      </c>
      <c r="AU137" s="463">
        <f>SUM(AV137:AY137)</f>
        <v>0</v>
      </c>
      <c r="AV137" s="460">
        <f t="shared" si="113"/>
        <v>0</v>
      </c>
      <c r="AW137" s="460">
        <f>Q137+AH137</f>
        <v>0</v>
      </c>
      <c r="AX137" s="460">
        <f>R137+AI137</f>
        <v>0</v>
      </c>
      <c r="AY137" s="460">
        <f>S137+AJ137</f>
        <v>0</v>
      </c>
      <c r="AZ137" s="463">
        <f>U137+AK137</f>
        <v>0</v>
      </c>
      <c r="BA137" s="482"/>
      <c r="BB137" s="482"/>
    </row>
    <row r="138" s="425" customFormat="1" ht="39" customHeight="1" spans="1:54">
      <c r="A138" s="459">
        <v>133</v>
      </c>
      <c r="B138" s="460" t="s">
        <v>889</v>
      </c>
      <c r="C138" s="460" t="s">
        <v>203</v>
      </c>
      <c r="D138" s="461" t="s">
        <v>320</v>
      </c>
      <c r="E138" s="461" t="s">
        <v>842</v>
      </c>
      <c r="F138" s="463">
        <f t="shared" si="108"/>
        <v>31</v>
      </c>
      <c r="G138" s="463">
        <f t="shared" si="112"/>
        <v>0</v>
      </c>
      <c r="H138" s="460"/>
      <c r="I138" s="460"/>
      <c r="J138" s="460"/>
      <c r="K138" s="460"/>
      <c r="L138" s="460"/>
      <c r="M138" s="460"/>
      <c r="N138" s="460"/>
      <c r="O138" s="459">
        <f t="shared" si="107"/>
        <v>0</v>
      </c>
      <c r="P138" s="460"/>
      <c r="Q138" s="460"/>
      <c r="R138" s="460"/>
      <c r="S138" s="460"/>
      <c r="T138" s="460"/>
      <c r="U138" s="463">
        <v>31</v>
      </c>
      <c r="V138" s="460" t="s">
        <v>838</v>
      </c>
      <c r="W138" s="460" t="s">
        <v>968</v>
      </c>
      <c r="X138" s="463">
        <f t="shared" si="114"/>
        <v>0</v>
      </c>
      <c r="Y138" s="463">
        <f t="shared" si="115"/>
        <v>0</v>
      </c>
      <c r="Z138" s="460"/>
      <c r="AA138" s="460"/>
      <c r="AB138" s="460"/>
      <c r="AC138" s="460"/>
      <c r="AD138" s="460"/>
      <c r="AE138" s="460"/>
      <c r="AF138" s="459">
        <f t="shared" si="111"/>
        <v>0</v>
      </c>
      <c r="AG138" s="460"/>
      <c r="AH138" s="460"/>
      <c r="AI138" s="460"/>
      <c r="AJ138" s="460"/>
      <c r="AK138" s="460"/>
      <c r="AL138" s="460"/>
      <c r="AM138" s="463">
        <f>AN138+AU138+AZ138</f>
        <v>31</v>
      </c>
      <c r="AN138" s="463">
        <f>SUM(AO138:AT138)</f>
        <v>0</v>
      </c>
      <c r="AO138" s="460">
        <f t="shared" ref="AO138:AT138" si="117">H138+Z138</f>
        <v>0</v>
      </c>
      <c r="AP138" s="460">
        <f t="shared" si="117"/>
        <v>0</v>
      </c>
      <c r="AQ138" s="460">
        <f t="shared" si="117"/>
        <v>0</v>
      </c>
      <c r="AR138" s="460">
        <f t="shared" si="117"/>
        <v>0</v>
      </c>
      <c r="AS138" s="460">
        <f t="shared" si="117"/>
        <v>0</v>
      </c>
      <c r="AT138" s="460">
        <f t="shared" si="117"/>
        <v>0</v>
      </c>
      <c r="AU138" s="463">
        <f>SUM(AV138:AY138)</f>
        <v>0</v>
      </c>
      <c r="AV138" s="460">
        <f t="shared" si="113"/>
        <v>0</v>
      </c>
      <c r="AW138" s="460">
        <f>Q138+AH138</f>
        <v>0</v>
      </c>
      <c r="AX138" s="460">
        <f>R138+AI138</f>
        <v>0</v>
      </c>
      <c r="AY138" s="460">
        <f>S138+AJ138</f>
        <v>0</v>
      </c>
      <c r="AZ138" s="463">
        <f>U138+AK138</f>
        <v>31</v>
      </c>
      <c r="BA138" s="482"/>
      <c r="BB138" s="482"/>
    </row>
    <row r="139" s="425" customFormat="1" ht="39" customHeight="1" spans="1:54">
      <c r="A139" s="459">
        <v>134</v>
      </c>
      <c r="B139" s="460" t="s">
        <v>889</v>
      </c>
      <c r="C139" s="460" t="s">
        <v>206</v>
      </c>
      <c r="D139" s="461" t="s">
        <v>969</v>
      </c>
      <c r="E139" s="461" t="s">
        <v>891</v>
      </c>
      <c r="F139" s="463">
        <f t="shared" si="108"/>
        <v>20</v>
      </c>
      <c r="G139" s="463">
        <f t="shared" si="112"/>
        <v>20</v>
      </c>
      <c r="H139" s="460"/>
      <c r="I139" s="460"/>
      <c r="J139" s="460"/>
      <c r="K139" s="460"/>
      <c r="L139" s="460"/>
      <c r="M139" s="460">
        <v>20</v>
      </c>
      <c r="N139" s="460"/>
      <c r="O139" s="459">
        <f t="shared" si="107"/>
        <v>0</v>
      </c>
      <c r="P139" s="460"/>
      <c r="Q139" s="460"/>
      <c r="R139" s="460"/>
      <c r="S139" s="460"/>
      <c r="T139" s="460"/>
      <c r="U139" s="463"/>
      <c r="V139" s="460"/>
      <c r="W139" s="460"/>
      <c r="X139" s="463">
        <f t="shared" si="114"/>
        <v>35.79</v>
      </c>
      <c r="Y139" s="463">
        <f t="shared" si="115"/>
        <v>0</v>
      </c>
      <c r="Z139" s="460"/>
      <c r="AA139" s="460"/>
      <c r="AB139" s="460"/>
      <c r="AC139" s="460"/>
      <c r="AD139" s="460"/>
      <c r="AE139" s="460"/>
      <c r="AF139" s="459">
        <f t="shared" si="111"/>
        <v>35.79</v>
      </c>
      <c r="AG139" s="460">
        <v>35.79</v>
      </c>
      <c r="AH139" s="460"/>
      <c r="AI139" s="460"/>
      <c r="AJ139" s="460"/>
      <c r="AK139" s="460"/>
      <c r="AL139" s="460"/>
      <c r="AM139" s="463">
        <f>AN139+AU139+AZ139</f>
        <v>55.79</v>
      </c>
      <c r="AN139" s="463">
        <f>SUM(AO139:AT139)</f>
        <v>20</v>
      </c>
      <c r="AO139" s="460">
        <f t="shared" ref="AO139:AT139" si="118">H139+Z139</f>
        <v>0</v>
      </c>
      <c r="AP139" s="460">
        <f t="shared" si="118"/>
        <v>0</v>
      </c>
      <c r="AQ139" s="460">
        <f t="shared" si="118"/>
        <v>0</v>
      </c>
      <c r="AR139" s="460">
        <f t="shared" si="118"/>
        <v>0</v>
      </c>
      <c r="AS139" s="460">
        <f t="shared" si="118"/>
        <v>0</v>
      </c>
      <c r="AT139" s="460">
        <f t="shared" si="118"/>
        <v>20</v>
      </c>
      <c r="AU139" s="463">
        <f>SUM(AV139:AY139)</f>
        <v>35.79</v>
      </c>
      <c r="AV139" s="460">
        <f t="shared" si="113"/>
        <v>35.79</v>
      </c>
      <c r="AW139" s="460">
        <f>Q139+AH139</f>
        <v>0</v>
      </c>
      <c r="AX139" s="460">
        <f>R139+AI139</f>
        <v>0</v>
      </c>
      <c r="AY139" s="460">
        <f>S139+AJ139</f>
        <v>0</v>
      </c>
      <c r="AZ139" s="463">
        <f>U139+AK139</f>
        <v>0</v>
      </c>
      <c r="BA139" s="482"/>
      <c r="BB139" s="482"/>
    </row>
    <row r="140" s="426" customFormat="1" ht="26" customHeight="1" spans="1:54">
      <c r="A140" s="452">
        <v>135</v>
      </c>
      <c r="B140" s="485"/>
      <c r="C140" s="485"/>
      <c r="D140" s="486" t="s">
        <v>128</v>
      </c>
      <c r="E140" s="452">
        <v>204</v>
      </c>
      <c r="F140" s="456">
        <f>SUM(F141:F151)</f>
        <v>3581.24</v>
      </c>
      <c r="G140" s="456">
        <f t="shared" ref="G140:M140" si="119">SUM(G141:G151)</f>
        <v>1329.18</v>
      </c>
      <c r="H140" s="456">
        <f t="shared" si="119"/>
        <v>885.4</v>
      </c>
      <c r="I140" s="456">
        <f t="shared" si="119"/>
        <v>12</v>
      </c>
      <c r="J140" s="456">
        <f t="shared" si="119"/>
        <v>277.78</v>
      </c>
      <c r="K140" s="456">
        <f t="shared" si="119"/>
        <v>0</v>
      </c>
      <c r="L140" s="456">
        <f t="shared" si="119"/>
        <v>0</v>
      </c>
      <c r="M140" s="456">
        <f t="shared" si="119"/>
        <v>154</v>
      </c>
      <c r="N140" s="456"/>
      <c r="O140" s="456">
        <f>SUM(O141:O151)</f>
        <v>308</v>
      </c>
      <c r="P140" s="456">
        <f>SUM(P141:P151)</f>
        <v>0</v>
      </c>
      <c r="Q140" s="456">
        <f>SUM(Q141:Q151)</f>
        <v>308</v>
      </c>
      <c r="R140" s="456">
        <f>SUM(R141:R151)</f>
        <v>0</v>
      </c>
      <c r="S140" s="456">
        <f>SUM(S141:S151)</f>
        <v>0</v>
      </c>
      <c r="T140" s="456"/>
      <c r="U140" s="456">
        <f>SUM(U141:U151)</f>
        <v>1944.06</v>
      </c>
      <c r="V140" s="456"/>
      <c r="W140" s="481"/>
      <c r="X140" s="468">
        <f t="shared" ref="X140:AM140" si="120">SUM(X141:X151)</f>
        <v>-862.34</v>
      </c>
      <c r="Y140" s="468">
        <f t="shared" si="120"/>
        <v>-11.85</v>
      </c>
      <c r="Z140" s="468">
        <f t="shared" si="120"/>
        <v>0</v>
      </c>
      <c r="AA140" s="468">
        <f t="shared" si="120"/>
        <v>0</v>
      </c>
      <c r="AB140" s="468">
        <f t="shared" si="120"/>
        <v>-11.85</v>
      </c>
      <c r="AC140" s="468">
        <f t="shared" si="120"/>
        <v>0</v>
      </c>
      <c r="AD140" s="468">
        <f t="shared" si="120"/>
        <v>0</v>
      </c>
      <c r="AE140" s="468">
        <f t="shared" si="120"/>
        <v>0</v>
      </c>
      <c r="AF140" s="468">
        <f t="shared" si="120"/>
        <v>448.01</v>
      </c>
      <c r="AG140" s="468">
        <f t="shared" si="120"/>
        <v>7.29</v>
      </c>
      <c r="AH140" s="468">
        <f t="shared" si="120"/>
        <v>440.72</v>
      </c>
      <c r="AI140" s="468">
        <f t="shared" si="120"/>
        <v>0</v>
      </c>
      <c r="AJ140" s="468">
        <f t="shared" si="120"/>
        <v>0</v>
      </c>
      <c r="AK140" s="468">
        <f t="shared" si="120"/>
        <v>-1298.5</v>
      </c>
      <c r="AL140" s="456"/>
      <c r="AM140" s="468">
        <f t="shared" ref="AL140:BA140" si="121">SUM(AM141:AM151)</f>
        <v>2718.9</v>
      </c>
      <c r="AN140" s="468">
        <f t="shared" si="121"/>
        <v>1317.33</v>
      </c>
      <c r="AO140" s="468">
        <f t="shared" si="121"/>
        <v>885.4</v>
      </c>
      <c r="AP140" s="468">
        <f t="shared" si="121"/>
        <v>12</v>
      </c>
      <c r="AQ140" s="468">
        <f t="shared" si="121"/>
        <v>265.93</v>
      </c>
      <c r="AR140" s="468">
        <f t="shared" si="121"/>
        <v>0</v>
      </c>
      <c r="AS140" s="468">
        <f t="shared" si="121"/>
        <v>0</v>
      </c>
      <c r="AT140" s="468">
        <f t="shared" si="121"/>
        <v>154</v>
      </c>
      <c r="AU140" s="468">
        <f t="shared" si="121"/>
        <v>756.01</v>
      </c>
      <c r="AV140" s="468">
        <f t="shared" si="121"/>
        <v>7.29</v>
      </c>
      <c r="AW140" s="468">
        <f t="shared" si="121"/>
        <v>748.72</v>
      </c>
      <c r="AX140" s="468">
        <f t="shared" si="121"/>
        <v>0</v>
      </c>
      <c r="AY140" s="468">
        <f t="shared" si="121"/>
        <v>0</v>
      </c>
      <c r="AZ140" s="468">
        <f t="shared" si="121"/>
        <v>645.56</v>
      </c>
      <c r="BA140" s="489"/>
      <c r="BB140" s="489"/>
    </row>
    <row r="141" s="425" customFormat="1" ht="39" customHeight="1" spans="1:54">
      <c r="A141" s="459">
        <v>136</v>
      </c>
      <c r="B141" s="460" t="s">
        <v>889</v>
      </c>
      <c r="C141" s="460" t="s">
        <v>203</v>
      </c>
      <c r="D141" s="461" t="s">
        <v>389</v>
      </c>
      <c r="E141" s="461" t="s">
        <v>970</v>
      </c>
      <c r="F141" s="463">
        <f t="shared" si="108"/>
        <v>169.97</v>
      </c>
      <c r="G141" s="463">
        <f t="shared" ref="G141:G151" si="122">SUM(H141:M141)</f>
        <v>111.41</v>
      </c>
      <c r="H141" s="460">
        <v>48</v>
      </c>
      <c r="I141" s="460">
        <v>10</v>
      </c>
      <c r="J141" s="460">
        <v>33.41</v>
      </c>
      <c r="K141" s="460"/>
      <c r="L141" s="460"/>
      <c r="M141" s="460">
        <v>20</v>
      </c>
      <c r="N141" s="460" t="s">
        <v>971</v>
      </c>
      <c r="O141" s="459">
        <f t="shared" si="107"/>
        <v>0</v>
      </c>
      <c r="P141" s="460"/>
      <c r="Q141" s="460"/>
      <c r="R141" s="460"/>
      <c r="S141" s="460"/>
      <c r="T141" s="460"/>
      <c r="U141" s="463">
        <v>58.56</v>
      </c>
      <c r="V141" s="460" t="s">
        <v>838</v>
      </c>
      <c r="W141" s="460" t="s">
        <v>972</v>
      </c>
      <c r="X141" s="463">
        <f t="shared" si="114"/>
        <v>2.96</v>
      </c>
      <c r="Y141" s="463">
        <f t="shared" si="115"/>
        <v>0</v>
      </c>
      <c r="Z141" s="460"/>
      <c r="AA141" s="460"/>
      <c r="AB141" s="460"/>
      <c r="AC141" s="460"/>
      <c r="AD141" s="460"/>
      <c r="AE141" s="460"/>
      <c r="AF141" s="459">
        <f>SUM(AG141:AJ141)</f>
        <v>1.46</v>
      </c>
      <c r="AG141" s="460">
        <v>1.46</v>
      </c>
      <c r="AH141" s="460"/>
      <c r="AI141" s="460"/>
      <c r="AJ141" s="460"/>
      <c r="AK141" s="460">
        <v>1.5</v>
      </c>
      <c r="AL141" s="460" t="s">
        <v>846</v>
      </c>
      <c r="AM141" s="463">
        <f t="shared" ref="AM141:AM151" si="123">AN141+AU141+AZ141</f>
        <v>172.93</v>
      </c>
      <c r="AN141" s="463">
        <f t="shared" ref="AN141:AN151" si="124">SUM(AO141:AT141)</f>
        <v>111.41</v>
      </c>
      <c r="AO141" s="460">
        <f t="shared" ref="AO141:AT141" si="125">H141+Z141</f>
        <v>48</v>
      </c>
      <c r="AP141" s="460">
        <f t="shared" si="125"/>
        <v>10</v>
      </c>
      <c r="AQ141" s="460">
        <f t="shared" si="125"/>
        <v>33.41</v>
      </c>
      <c r="AR141" s="460">
        <f t="shared" si="125"/>
        <v>0</v>
      </c>
      <c r="AS141" s="460">
        <f t="shared" si="125"/>
        <v>0</v>
      </c>
      <c r="AT141" s="460">
        <f t="shared" si="125"/>
        <v>20</v>
      </c>
      <c r="AU141" s="463">
        <f t="shared" ref="AU141:AU151" si="126">SUM(AV141:AY141)</f>
        <v>1.46</v>
      </c>
      <c r="AV141" s="460">
        <f t="shared" ref="AV141:AV151" si="127">P141+AG141</f>
        <v>1.46</v>
      </c>
      <c r="AW141" s="460">
        <f t="shared" ref="AW141:AW151" si="128">Q141+AH141</f>
        <v>0</v>
      </c>
      <c r="AX141" s="460">
        <f t="shared" ref="AX141:AX151" si="129">R141+AI141</f>
        <v>0</v>
      </c>
      <c r="AY141" s="460">
        <f t="shared" ref="AY141:AY151" si="130">S141+AJ141</f>
        <v>0</v>
      </c>
      <c r="AZ141" s="463">
        <f t="shared" ref="AZ141:AZ151" si="131">U141+AK141</f>
        <v>60.06</v>
      </c>
      <c r="BA141" s="482"/>
      <c r="BB141" s="482"/>
    </row>
    <row r="142" s="425" customFormat="1" ht="39" customHeight="1" spans="1:54">
      <c r="A142" s="459">
        <v>137</v>
      </c>
      <c r="B142" s="460" t="s">
        <v>889</v>
      </c>
      <c r="C142" s="460" t="s">
        <v>206</v>
      </c>
      <c r="D142" s="461" t="s">
        <v>394</v>
      </c>
      <c r="E142" s="461" t="s">
        <v>973</v>
      </c>
      <c r="F142" s="463">
        <f t="shared" si="108"/>
        <v>4</v>
      </c>
      <c r="G142" s="463">
        <f t="shared" si="122"/>
        <v>4</v>
      </c>
      <c r="H142" s="460">
        <v>4</v>
      </c>
      <c r="I142" s="460"/>
      <c r="J142" s="460"/>
      <c r="K142" s="460"/>
      <c r="L142" s="460"/>
      <c r="M142" s="460"/>
      <c r="N142" s="460"/>
      <c r="O142" s="459">
        <f t="shared" si="107"/>
        <v>0</v>
      </c>
      <c r="P142" s="460"/>
      <c r="Q142" s="460"/>
      <c r="R142" s="460"/>
      <c r="S142" s="460"/>
      <c r="T142" s="460"/>
      <c r="U142" s="463"/>
      <c r="V142" s="460" t="s">
        <v>838</v>
      </c>
      <c r="W142" s="460"/>
      <c r="X142" s="463">
        <f t="shared" ref="X142:X151" si="132">Y142+AF142+AK142</f>
        <v>0</v>
      </c>
      <c r="Y142" s="463">
        <f t="shared" ref="Y142:Y151" si="133">SUM(Z142:AE142)</f>
        <v>0</v>
      </c>
      <c r="Z142" s="460"/>
      <c r="AA142" s="460"/>
      <c r="AB142" s="460"/>
      <c r="AC142" s="460"/>
      <c r="AD142" s="460"/>
      <c r="AE142" s="460"/>
      <c r="AF142" s="459">
        <f t="shared" ref="AF142:AF151" si="134">SUM(AG142:AJ142)</f>
        <v>0</v>
      </c>
      <c r="AG142" s="460"/>
      <c r="AH142" s="460"/>
      <c r="AI142" s="460"/>
      <c r="AJ142" s="460"/>
      <c r="AK142" s="460"/>
      <c r="AL142" s="460"/>
      <c r="AM142" s="463">
        <f t="shared" si="123"/>
        <v>4</v>
      </c>
      <c r="AN142" s="463">
        <f t="shared" si="124"/>
        <v>4</v>
      </c>
      <c r="AO142" s="460">
        <f t="shared" ref="AO142:AT142" si="135">H142+Z142</f>
        <v>4</v>
      </c>
      <c r="AP142" s="460">
        <f t="shared" si="135"/>
        <v>0</v>
      </c>
      <c r="AQ142" s="460">
        <f t="shared" si="135"/>
        <v>0</v>
      </c>
      <c r="AR142" s="460">
        <f t="shared" si="135"/>
        <v>0</v>
      </c>
      <c r="AS142" s="460">
        <f t="shared" si="135"/>
        <v>0</v>
      </c>
      <c r="AT142" s="460">
        <f t="shared" si="135"/>
        <v>0</v>
      </c>
      <c r="AU142" s="463">
        <f t="shared" si="126"/>
        <v>0</v>
      </c>
      <c r="AV142" s="460">
        <f t="shared" si="127"/>
        <v>0</v>
      </c>
      <c r="AW142" s="460">
        <f t="shared" si="128"/>
        <v>0</v>
      </c>
      <c r="AX142" s="460">
        <f t="shared" si="129"/>
        <v>0</v>
      </c>
      <c r="AY142" s="460">
        <f t="shared" si="130"/>
        <v>0</v>
      </c>
      <c r="AZ142" s="463">
        <f t="shared" si="131"/>
        <v>0</v>
      </c>
      <c r="BA142" s="482"/>
      <c r="BB142" s="482"/>
    </row>
    <row r="143" s="425" customFormat="1" ht="39" customHeight="1" spans="1:54">
      <c r="A143" s="459">
        <v>138</v>
      </c>
      <c r="B143" s="460" t="s">
        <v>889</v>
      </c>
      <c r="C143" s="460" t="s">
        <v>206</v>
      </c>
      <c r="D143" s="461" t="s">
        <v>395</v>
      </c>
      <c r="E143" s="461" t="s">
        <v>973</v>
      </c>
      <c r="F143" s="463">
        <f t="shared" si="108"/>
        <v>3</v>
      </c>
      <c r="G143" s="463">
        <f t="shared" si="122"/>
        <v>3</v>
      </c>
      <c r="H143" s="460">
        <v>3</v>
      </c>
      <c r="I143" s="460"/>
      <c r="J143" s="460"/>
      <c r="K143" s="460"/>
      <c r="L143" s="460"/>
      <c r="M143" s="460"/>
      <c r="N143" s="460"/>
      <c r="O143" s="459">
        <f t="shared" si="107"/>
        <v>0</v>
      </c>
      <c r="P143" s="460"/>
      <c r="Q143" s="460"/>
      <c r="R143" s="460"/>
      <c r="S143" s="460"/>
      <c r="T143" s="460"/>
      <c r="U143" s="463"/>
      <c r="V143" s="460"/>
      <c r="W143" s="460"/>
      <c r="X143" s="463">
        <f t="shared" si="132"/>
        <v>0</v>
      </c>
      <c r="Y143" s="463">
        <f t="shared" si="133"/>
        <v>0</v>
      </c>
      <c r="Z143" s="460"/>
      <c r="AA143" s="460"/>
      <c r="AB143" s="460"/>
      <c r="AC143" s="460"/>
      <c r="AD143" s="460"/>
      <c r="AE143" s="460"/>
      <c r="AF143" s="459">
        <f t="shared" si="134"/>
        <v>0</v>
      </c>
      <c r="AG143" s="460"/>
      <c r="AH143" s="460"/>
      <c r="AI143" s="460"/>
      <c r="AJ143" s="460"/>
      <c r="AK143" s="460"/>
      <c r="AL143" s="460"/>
      <c r="AM143" s="463">
        <f t="shared" si="123"/>
        <v>3</v>
      </c>
      <c r="AN143" s="463">
        <f t="shared" si="124"/>
        <v>3</v>
      </c>
      <c r="AO143" s="460">
        <f t="shared" ref="AO143:AT143" si="136">H143+Z143</f>
        <v>3</v>
      </c>
      <c r="AP143" s="460">
        <f t="shared" si="136"/>
        <v>0</v>
      </c>
      <c r="AQ143" s="460">
        <f t="shared" si="136"/>
        <v>0</v>
      </c>
      <c r="AR143" s="460">
        <f t="shared" si="136"/>
        <v>0</v>
      </c>
      <c r="AS143" s="460">
        <f t="shared" si="136"/>
        <v>0</v>
      </c>
      <c r="AT143" s="460">
        <f t="shared" si="136"/>
        <v>0</v>
      </c>
      <c r="AU143" s="463">
        <f t="shared" si="126"/>
        <v>0</v>
      </c>
      <c r="AV143" s="460">
        <f t="shared" si="127"/>
        <v>0</v>
      </c>
      <c r="AW143" s="460">
        <f t="shared" si="128"/>
        <v>0</v>
      </c>
      <c r="AX143" s="460">
        <f t="shared" si="129"/>
        <v>0</v>
      </c>
      <c r="AY143" s="460">
        <f t="shared" si="130"/>
        <v>0</v>
      </c>
      <c r="AZ143" s="463">
        <f t="shared" si="131"/>
        <v>0</v>
      </c>
      <c r="BA143" s="482"/>
      <c r="BB143" s="482"/>
    </row>
    <row r="144" s="425" customFormat="1" ht="39" customHeight="1" spans="1:54">
      <c r="A144" s="459">
        <v>139</v>
      </c>
      <c r="B144" s="460" t="s">
        <v>889</v>
      </c>
      <c r="C144" s="460" t="s">
        <v>203</v>
      </c>
      <c r="D144" s="461" t="s">
        <v>381</v>
      </c>
      <c r="E144" s="461" t="s">
        <v>974</v>
      </c>
      <c r="F144" s="463">
        <f t="shared" si="108"/>
        <v>1366.32</v>
      </c>
      <c r="G144" s="463">
        <f t="shared" si="122"/>
        <v>966.32</v>
      </c>
      <c r="H144" s="460">
        <v>743.6</v>
      </c>
      <c r="I144" s="460"/>
      <c r="J144" s="460">
        <v>222.72</v>
      </c>
      <c r="K144" s="460"/>
      <c r="L144" s="460"/>
      <c r="M144" s="460"/>
      <c r="N144" s="460"/>
      <c r="O144" s="459">
        <f t="shared" ref="O144:O151" si="137">SUM(P144:S144)</f>
        <v>172</v>
      </c>
      <c r="P144" s="460"/>
      <c r="Q144" s="460">
        <v>172</v>
      </c>
      <c r="R144" s="460"/>
      <c r="S144" s="460"/>
      <c r="T144" s="460"/>
      <c r="U144" s="463">
        <v>228</v>
      </c>
      <c r="V144" s="460" t="s">
        <v>838</v>
      </c>
      <c r="W144" s="460" t="s">
        <v>975</v>
      </c>
      <c r="X144" s="463">
        <f t="shared" si="132"/>
        <v>-15.06</v>
      </c>
      <c r="Y144" s="463">
        <f t="shared" si="133"/>
        <v>-9.39</v>
      </c>
      <c r="Z144" s="471"/>
      <c r="AA144" s="460"/>
      <c r="AB144" s="460">
        <v>-9.39</v>
      </c>
      <c r="AC144" s="460"/>
      <c r="AD144" s="460"/>
      <c r="AE144" s="460"/>
      <c r="AF144" s="459">
        <f t="shared" si="134"/>
        <v>-5.67</v>
      </c>
      <c r="AG144" s="460">
        <v>5.83</v>
      </c>
      <c r="AH144" s="471">
        <f>918.91-930.41</f>
        <v>-11.5</v>
      </c>
      <c r="AI144" s="460"/>
      <c r="AJ144" s="460"/>
      <c r="AK144" s="460"/>
      <c r="AL144" s="460"/>
      <c r="AM144" s="463">
        <f t="shared" si="123"/>
        <v>1351.26</v>
      </c>
      <c r="AN144" s="463">
        <f t="shared" si="124"/>
        <v>956.93</v>
      </c>
      <c r="AO144" s="460">
        <f t="shared" ref="AO144:AT144" si="138">H144+Z144</f>
        <v>743.6</v>
      </c>
      <c r="AP144" s="460">
        <f t="shared" si="138"/>
        <v>0</v>
      </c>
      <c r="AQ144" s="460">
        <f t="shared" si="138"/>
        <v>213.33</v>
      </c>
      <c r="AR144" s="460">
        <f t="shared" si="138"/>
        <v>0</v>
      </c>
      <c r="AS144" s="460">
        <f t="shared" si="138"/>
        <v>0</v>
      </c>
      <c r="AT144" s="460">
        <f t="shared" si="138"/>
        <v>0</v>
      </c>
      <c r="AU144" s="463">
        <f t="shared" si="126"/>
        <v>166.33</v>
      </c>
      <c r="AV144" s="460">
        <f t="shared" si="127"/>
        <v>5.83</v>
      </c>
      <c r="AW144" s="460">
        <f t="shared" si="128"/>
        <v>160.5</v>
      </c>
      <c r="AX144" s="460">
        <f t="shared" si="129"/>
        <v>0</v>
      </c>
      <c r="AY144" s="460">
        <f t="shared" si="130"/>
        <v>0</v>
      </c>
      <c r="AZ144" s="463">
        <f t="shared" si="131"/>
        <v>228</v>
      </c>
      <c r="BA144" s="482"/>
      <c r="BB144" s="482">
        <v>2206.3</v>
      </c>
    </row>
    <row r="145" s="425" customFormat="1" ht="39" customHeight="1" spans="1:54">
      <c r="A145" s="459">
        <v>140</v>
      </c>
      <c r="B145" s="460" t="s">
        <v>889</v>
      </c>
      <c r="C145" s="460" t="s">
        <v>203</v>
      </c>
      <c r="D145" s="461"/>
      <c r="E145" s="461" t="s">
        <v>976</v>
      </c>
      <c r="F145" s="463">
        <f t="shared" si="108"/>
        <v>1300</v>
      </c>
      <c r="G145" s="463">
        <f t="shared" si="122"/>
        <v>0</v>
      </c>
      <c r="H145" s="460"/>
      <c r="I145" s="460"/>
      <c r="J145" s="460"/>
      <c r="K145" s="460"/>
      <c r="L145" s="460"/>
      <c r="M145" s="460"/>
      <c r="N145" s="460"/>
      <c r="O145" s="459">
        <f t="shared" si="137"/>
        <v>0</v>
      </c>
      <c r="P145" s="460"/>
      <c r="Q145" s="460"/>
      <c r="R145" s="460"/>
      <c r="S145" s="460"/>
      <c r="T145" s="460"/>
      <c r="U145" s="463">
        <v>1300</v>
      </c>
      <c r="V145" s="460" t="s">
        <v>977</v>
      </c>
      <c r="W145" s="460" t="s">
        <v>978</v>
      </c>
      <c r="X145" s="463">
        <f t="shared" si="132"/>
        <v>-1300</v>
      </c>
      <c r="Y145" s="463">
        <f t="shared" si="133"/>
        <v>0</v>
      </c>
      <c r="Z145" s="460"/>
      <c r="AA145" s="460"/>
      <c r="AB145" s="460"/>
      <c r="AC145" s="460"/>
      <c r="AD145" s="460"/>
      <c r="AE145" s="460"/>
      <c r="AF145" s="459">
        <f t="shared" si="134"/>
        <v>0</v>
      </c>
      <c r="AG145" s="460"/>
      <c r="AH145" s="460"/>
      <c r="AI145" s="460"/>
      <c r="AJ145" s="460"/>
      <c r="AK145" s="460">
        <v>-1300</v>
      </c>
      <c r="AL145" s="460"/>
      <c r="AM145" s="463">
        <f t="shared" si="123"/>
        <v>0</v>
      </c>
      <c r="AN145" s="463">
        <f t="shared" si="124"/>
        <v>0</v>
      </c>
      <c r="AO145" s="460">
        <f t="shared" ref="AO145:AT145" si="139">H145+Z145</f>
        <v>0</v>
      </c>
      <c r="AP145" s="460">
        <f t="shared" si="139"/>
        <v>0</v>
      </c>
      <c r="AQ145" s="460">
        <f t="shared" si="139"/>
        <v>0</v>
      </c>
      <c r="AR145" s="460">
        <f t="shared" si="139"/>
        <v>0</v>
      </c>
      <c r="AS145" s="460">
        <f t="shared" si="139"/>
        <v>0</v>
      </c>
      <c r="AT145" s="460">
        <f t="shared" si="139"/>
        <v>0</v>
      </c>
      <c r="AU145" s="463">
        <f t="shared" si="126"/>
        <v>0</v>
      </c>
      <c r="AV145" s="460">
        <f t="shared" si="127"/>
        <v>0</v>
      </c>
      <c r="AW145" s="460">
        <f t="shared" si="128"/>
        <v>0</v>
      </c>
      <c r="AX145" s="460">
        <f t="shared" si="129"/>
        <v>0</v>
      </c>
      <c r="AY145" s="460">
        <f t="shared" si="130"/>
        <v>0</v>
      </c>
      <c r="AZ145" s="463">
        <f t="shared" si="131"/>
        <v>0</v>
      </c>
      <c r="BA145" s="482">
        <v>1300</v>
      </c>
      <c r="BB145" s="482">
        <v>622.36</v>
      </c>
    </row>
    <row r="146" s="425" customFormat="1" ht="39" customHeight="1" spans="1:54">
      <c r="A146" s="459">
        <v>141</v>
      </c>
      <c r="B146" s="460" t="s">
        <v>889</v>
      </c>
      <c r="C146" s="460" t="s">
        <v>206</v>
      </c>
      <c r="D146" s="461" t="s">
        <v>385</v>
      </c>
      <c r="E146" s="461" t="s">
        <v>979</v>
      </c>
      <c r="F146" s="463">
        <f t="shared" si="108"/>
        <v>21</v>
      </c>
      <c r="G146" s="463">
        <f t="shared" si="122"/>
        <v>21</v>
      </c>
      <c r="H146" s="460">
        <v>21</v>
      </c>
      <c r="I146" s="460"/>
      <c r="J146" s="460"/>
      <c r="K146" s="460"/>
      <c r="L146" s="460"/>
      <c r="M146" s="460"/>
      <c r="N146" s="460"/>
      <c r="O146" s="459">
        <f t="shared" si="137"/>
        <v>0</v>
      </c>
      <c r="P146" s="460"/>
      <c r="Q146" s="460"/>
      <c r="R146" s="460"/>
      <c r="S146" s="460"/>
      <c r="T146" s="460"/>
      <c r="U146" s="463"/>
      <c r="V146" s="460"/>
      <c r="W146" s="460"/>
      <c r="X146" s="463">
        <f t="shared" si="132"/>
        <v>0</v>
      </c>
      <c r="Y146" s="463">
        <f t="shared" si="133"/>
        <v>0</v>
      </c>
      <c r="Z146" s="460"/>
      <c r="AA146" s="460"/>
      <c r="AB146" s="460"/>
      <c r="AC146" s="460"/>
      <c r="AD146" s="460"/>
      <c r="AE146" s="460"/>
      <c r="AF146" s="459">
        <f t="shared" si="134"/>
        <v>0</v>
      </c>
      <c r="AG146" s="460"/>
      <c r="AH146" s="460"/>
      <c r="AI146" s="460"/>
      <c r="AJ146" s="460"/>
      <c r="AK146" s="460"/>
      <c r="AL146" s="460"/>
      <c r="AM146" s="463">
        <f t="shared" si="123"/>
        <v>21</v>
      </c>
      <c r="AN146" s="463">
        <f t="shared" si="124"/>
        <v>21</v>
      </c>
      <c r="AO146" s="460">
        <f t="shared" ref="AO146:AT146" si="140">H146+Z146</f>
        <v>21</v>
      </c>
      <c r="AP146" s="460">
        <f t="shared" si="140"/>
        <v>0</v>
      </c>
      <c r="AQ146" s="460">
        <f t="shared" si="140"/>
        <v>0</v>
      </c>
      <c r="AR146" s="460">
        <f t="shared" si="140"/>
        <v>0</v>
      </c>
      <c r="AS146" s="460">
        <f t="shared" si="140"/>
        <v>0</v>
      </c>
      <c r="AT146" s="460">
        <f t="shared" si="140"/>
        <v>0</v>
      </c>
      <c r="AU146" s="463">
        <f t="shared" si="126"/>
        <v>0</v>
      </c>
      <c r="AV146" s="460">
        <f t="shared" si="127"/>
        <v>0</v>
      </c>
      <c r="AW146" s="460">
        <f t="shared" si="128"/>
        <v>0</v>
      </c>
      <c r="AX146" s="460">
        <f t="shared" si="129"/>
        <v>0</v>
      </c>
      <c r="AY146" s="460">
        <f t="shared" si="130"/>
        <v>0</v>
      </c>
      <c r="AZ146" s="463">
        <f t="shared" si="131"/>
        <v>0</v>
      </c>
      <c r="BA146" s="482"/>
      <c r="BB146" s="482"/>
    </row>
    <row r="147" s="425" customFormat="1" ht="39" customHeight="1" spans="1:54">
      <c r="A147" s="459">
        <v>142</v>
      </c>
      <c r="B147" s="460" t="s">
        <v>889</v>
      </c>
      <c r="C147" s="460" t="s">
        <v>203</v>
      </c>
      <c r="D147" s="461" t="s">
        <v>384</v>
      </c>
      <c r="E147" s="461" t="s">
        <v>974</v>
      </c>
      <c r="F147" s="463">
        <f t="shared" si="108"/>
        <v>203.5</v>
      </c>
      <c r="G147" s="463">
        <f t="shared" si="122"/>
        <v>134</v>
      </c>
      <c r="H147" s="460"/>
      <c r="I147" s="460"/>
      <c r="J147" s="460"/>
      <c r="K147" s="460"/>
      <c r="L147" s="460"/>
      <c r="M147" s="460">
        <v>134</v>
      </c>
      <c r="N147" s="460" t="s">
        <v>980</v>
      </c>
      <c r="O147" s="459">
        <f t="shared" si="137"/>
        <v>0</v>
      </c>
      <c r="P147" s="460"/>
      <c r="Q147" s="460"/>
      <c r="R147" s="460"/>
      <c r="S147" s="460"/>
      <c r="T147" s="460"/>
      <c r="U147" s="463">
        <v>69.5</v>
      </c>
      <c r="V147" s="460" t="s">
        <v>838</v>
      </c>
      <c r="W147" s="460" t="s">
        <v>981</v>
      </c>
      <c r="X147" s="463">
        <f t="shared" si="132"/>
        <v>0</v>
      </c>
      <c r="Y147" s="463">
        <f t="shared" si="133"/>
        <v>0</v>
      </c>
      <c r="Z147" s="460"/>
      <c r="AA147" s="460"/>
      <c r="AB147" s="460"/>
      <c r="AC147" s="460"/>
      <c r="AD147" s="460"/>
      <c r="AE147" s="460"/>
      <c r="AF147" s="459">
        <f t="shared" si="134"/>
        <v>0</v>
      </c>
      <c r="AG147" s="460"/>
      <c r="AH147" s="460"/>
      <c r="AI147" s="460"/>
      <c r="AJ147" s="460"/>
      <c r="AK147" s="460"/>
      <c r="AL147" s="460"/>
      <c r="AM147" s="463">
        <f t="shared" si="123"/>
        <v>203.5</v>
      </c>
      <c r="AN147" s="463">
        <f t="shared" si="124"/>
        <v>134</v>
      </c>
      <c r="AO147" s="460">
        <f t="shared" ref="AO147:AT147" si="141">H147+Z147</f>
        <v>0</v>
      </c>
      <c r="AP147" s="460">
        <f t="shared" si="141"/>
        <v>0</v>
      </c>
      <c r="AQ147" s="460">
        <f t="shared" si="141"/>
        <v>0</v>
      </c>
      <c r="AR147" s="460">
        <f t="shared" si="141"/>
        <v>0</v>
      </c>
      <c r="AS147" s="460">
        <f t="shared" si="141"/>
        <v>0</v>
      </c>
      <c r="AT147" s="460">
        <f t="shared" si="141"/>
        <v>134</v>
      </c>
      <c r="AU147" s="463">
        <f t="shared" si="126"/>
        <v>0</v>
      </c>
      <c r="AV147" s="460">
        <f t="shared" si="127"/>
        <v>0</v>
      </c>
      <c r="AW147" s="460">
        <f t="shared" si="128"/>
        <v>0</v>
      </c>
      <c r="AX147" s="460">
        <f t="shared" si="129"/>
        <v>0</v>
      </c>
      <c r="AY147" s="460">
        <f t="shared" si="130"/>
        <v>0</v>
      </c>
      <c r="AZ147" s="463">
        <f t="shared" si="131"/>
        <v>69.5</v>
      </c>
      <c r="BA147" s="482"/>
      <c r="BB147" s="482"/>
    </row>
    <row r="148" s="425" customFormat="1" ht="39" customHeight="1" spans="1:54">
      <c r="A148" s="459">
        <v>143</v>
      </c>
      <c r="B148" s="460" t="s">
        <v>889</v>
      </c>
      <c r="C148" s="460" t="s">
        <v>203</v>
      </c>
      <c r="D148" s="461" t="s">
        <v>383</v>
      </c>
      <c r="E148" s="461" t="s">
        <v>974</v>
      </c>
      <c r="F148" s="463">
        <f t="shared" si="108"/>
        <v>303.85</v>
      </c>
      <c r="G148" s="463">
        <f t="shared" si="122"/>
        <v>77.85</v>
      </c>
      <c r="H148" s="460">
        <v>59.8</v>
      </c>
      <c r="I148" s="460"/>
      <c r="J148" s="460">
        <v>18.05</v>
      </c>
      <c r="K148" s="460"/>
      <c r="L148" s="460"/>
      <c r="M148" s="460"/>
      <c r="N148" s="460"/>
      <c r="O148" s="459">
        <f t="shared" si="137"/>
        <v>136</v>
      </c>
      <c r="P148" s="460"/>
      <c r="Q148" s="460">
        <v>136</v>
      </c>
      <c r="R148" s="460"/>
      <c r="S148" s="460"/>
      <c r="T148" s="460"/>
      <c r="U148" s="463">
        <v>90</v>
      </c>
      <c r="V148" s="460" t="s">
        <v>838</v>
      </c>
      <c r="W148" s="460" t="s">
        <v>982</v>
      </c>
      <c r="X148" s="463">
        <f t="shared" si="132"/>
        <v>-58.9700000000001</v>
      </c>
      <c r="Y148" s="463">
        <f t="shared" si="133"/>
        <v>-1.91</v>
      </c>
      <c r="Z148" s="460"/>
      <c r="AA148" s="460"/>
      <c r="AB148" s="460">
        <v>-1.91</v>
      </c>
      <c r="AC148" s="460"/>
      <c r="AD148" s="460"/>
      <c r="AE148" s="460"/>
      <c r="AF148" s="459">
        <f t="shared" si="134"/>
        <v>-57.0600000000001</v>
      </c>
      <c r="AG148" s="460"/>
      <c r="AH148" s="471">
        <f>613.39-670.45</f>
        <v>-57.0600000000001</v>
      </c>
      <c r="AI148" s="460"/>
      <c r="AJ148" s="460"/>
      <c r="AK148" s="460"/>
      <c r="AL148" s="460"/>
      <c r="AM148" s="463">
        <f t="shared" si="123"/>
        <v>244.88</v>
      </c>
      <c r="AN148" s="463">
        <f t="shared" si="124"/>
        <v>75.94</v>
      </c>
      <c r="AO148" s="460">
        <f t="shared" ref="AO148:AT148" si="142">H148+Z148</f>
        <v>59.8</v>
      </c>
      <c r="AP148" s="460">
        <f t="shared" si="142"/>
        <v>0</v>
      </c>
      <c r="AQ148" s="460">
        <f t="shared" si="142"/>
        <v>16.14</v>
      </c>
      <c r="AR148" s="460">
        <f t="shared" si="142"/>
        <v>0</v>
      </c>
      <c r="AS148" s="460">
        <f t="shared" si="142"/>
        <v>0</v>
      </c>
      <c r="AT148" s="460">
        <f t="shared" si="142"/>
        <v>0</v>
      </c>
      <c r="AU148" s="463">
        <f t="shared" si="126"/>
        <v>78.9399999999999</v>
      </c>
      <c r="AV148" s="460">
        <f t="shared" si="127"/>
        <v>0</v>
      </c>
      <c r="AW148" s="460">
        <f t="shared" si="128"/>
        <v>78.9399999999999</v>
      </c>
      <c r="AX148" s="460">
        <f t="shared" si="129"/>
        <v>0</v>
      </c>
      <c r="AY148" s="460">
        <f t="shared" si="130"/>
        <v>0</v>
      </c>
      <c r="AZ148" s="463">
        <f t="shared" si="131"/>
        <v>90</v>
      </c>
      <c r="BA148" s="482"/>
      <c r="BB148" s="482"/>
    </row>
    <row r="149" s="425" customFormat="1" ht="39" customHeight="1" spans="1:54">
      <c r="A149" s="459">
        <v>144</v>
      </c>
      <c r="B149" s="460" t="s">
        <v>889</v>
      </c>
      <c r="C149" s="460" t="s">
        <v>203</v>
      </c>
      <c r="D149" s="461" t="s">
        <v>387</v>
      </c>
      <c r="E149" s="461" t="s">
        <v>983</v>
      </c>
      <c r="F149" s="463">
        <f t="shared" si="108"/>
        <v>0</v>
      </c>
      <c r="G149" s="463">
        <f t="shared" si="122"/>
        <v>0</v>
      </c>
      <c r="H149" s="460"/>
      <c r="I149" s="460"/>
      <c r="J149" s="460"/>
      <c r="K149" s="460"/>
      <c r="L149" s="460"/>
      <c r="M149" s="460"/>
      <c r="N149" s="460"/>
      <c r="O149" s="459">
        <f t="shared" si="137"/>
        <v>0</v>
      </c>
      <c r="P149" s="460"/>
      <c r="Q149" s="460"/>
      <c r="R149" s="460"/>
      <c r="S149" s="460"/>
      <c r="T149" s="460"/>
      <c r="U149" s="463"/>
      <c r="V149" s="460"/>
      <c r="W149" s="460"/>
      <c r="X149" s="463">
        <f t="shared" si="132"/>
        <v>261.61</v>
      </c>
      <c r="Y149" s="463">
        <f t="shared" si="133"/>
        <v>0</v>
      </c>
      <c r="Z149" s="460"/>
      <c r="AA149" s="460"/>
      <c r="AB149" s="460"/>
      <c r="AC149" s="460"/>
      <c r="AD149" s="460"/>
      <c r="AE149" s="460"/>
      <c r="AF149" s="459">
        <f t="shared" si="134"/>
        <v>261.61</v>
      </c>
      <c r="AG149" s="460"/>
      <c r="AH149" s="471">
        <f>274.67-13.06</f>
        <v>261.61</v>
      </c>
      <c r="AI149" s="460"/>
      <c r="AJ149" s="460"/>
      <c r="AK149" s="460"/>
      <c r="AL149" s="460"/>
      <c r="AM149" s="463">
        <f t="shared" si="123"/>
        <v>261.61</v>
      </c>
      <c r="AN149" s="463">
        <f t="shared" si="124"/>
        <v>0</v>
      </c>
      <c r="AO149" s="460">
        <f t="shared" ref="AO149:AT149" si="143">H149+Z149</f>
        <v>0</v>
      </c>
      <c r="AP149" s="460">
        <f t="shared" si="143"/>
        <v>0</v>
      </c>
      <c r="AQ149" s="460">
        <f t="shared" si="143"/>
        <v>0</v>
      </c>
      <c r="AR149" s="460">
        <f t="shared" si="143"/>
        <v>0</v>
      </c>
      <c r="AS149" s="460">
        <f t="shared" si="143"/>
        <v>0</v>
      </c>
      <c r="AT149" s="460">
        <f t="shared" si="143"/>
        <v>0</v>
      </c>
      <c r="AU149" s="463">
        <f t="shared" si="126"/>
        <v>261.61</v>
      </c>
      <c r="AV149" s="460">
        <f t="shared" si="127"/>
        <v>0</v>
      </c>
      <c r="AW149" s="460">
        <f t="shared" si="128"/>
        <v>261.61</v>
      </c>
      <c r="AX149" s="460">
        <f t="shared" si="129"/>
        <v>0</v>
      </c>
      <c r="AY149" s="460">
        <f t="shared" si="130"/>
        <v>0</v>
      </c>
      <c r="AZ149" s="463">
        <f t="shared" si="131"/>
        <v>0</v>
      </c>
      <c r="BA149" s="482"/>
      <c r="BB149" s="482"/>
    </row>
    <row r="150" s="425" customFormat="1" ht="39" customHeight="1" spans="1:54">
      <c r="A150" s="459">
        <v>145</v>
      </c>
      <c r="B150" s="460" t="s">
        <v>889</v>
      </c>
      <c r="C150" s="460" t="s">
        <v>203</v>
      </c>
      <c r="D150" s="461" t="s">
        <v>984</v>
      </c>
      <c r="E150" s="461" t="s">
        <v>985</v>
      </c>
      <c r="F150" s="463">
        <f t="shared" si="108"/>
        <v>0</v>
      </c>
      <c r="G150" s="463">
        <f t="shared" si="122"/>
        <v>0</v>
      </c>
      <c r="H150" s="460"/>
      <c r="I150" s="460"/>
      <c r="J150" s="460"/>
      <c r="K150" s="460"/>
      <c r="L150" s="460"/>
      <c r="M150" s="460"/>
      <c r="N150" s="460"/>
      <c r="O150" s="459">
        <f t="shared" si="137"/>
        <v>0</v>
      </c>
      <c r="P150" s="460"/>
      <c r="Q150" s="460"/>
      <c r="R150" s="460"/>
      <c r="S150" s="460"/>
      <c r="T150" s="460"/>
      <c r="U150" s="463"/>
      <c r="V150" s="460"/>
      <c r="W150" s="460"/>
      <c r="X150" s="463">
        <f t="shared" si="132"/>
        <v>247.67</v>
      </c>
      <c r="Y150" s="463">
        <f t="shared" si="133"/>
        <v>0</v>
      </c>
      <c r="Z150" s="460"/>
      <c r="AA150" s="460"/>
      <c r="AB150" s="460"/>
      <c r="AC150" s="460"/>
      <c r="AD150" s="460"/>
      <c r="AE150" s="460"/>
      <c r="AF150" s="459">
        <f t="shared" si="134"/>
        <v>247.67</v>
      </c>
      <c r="AG150" s="460"/>
      <c r="AH150" s="460">
        <v>247.67</v>
      </c>
      <c r="AI150" s="460"/>
      <c r="AJ150" s="460"/>
      <c r="AK150" s="460"/>
      <c r="AL150" s="460"/>
      <c r="AM150" s="463">
        <f t="shared" si="123"/>
        <v>247.67</v>
      </c>
      <c r="AN150" s="463">
        <f t="shared" si="124"/>
        <v>0</v>
      </c>
      <c r="AO150" s="460">
        <f t="shared" ref="AO150:AT150" si="144">H150+Z150</f>
        <v>0</v>
      </c>
      <c r="AP150" s="460">
        <f t="shared" si="144"/>
        <v>0</v>
      </c>
      <c r="AQ150" s="460">
        <f t="shared" si="144"/>
        <v>0</v>
      </c>
      <c r="AR150" s="460">
        <f t="shared" si="144"/>
        <v>0</v>
      </c>
      <c r="AS150" s="460">
        <f t="shared" si="144"/>
        <v>0</v>
      </c>
      <c r="AT150" s="460">
        <f t="shared" si="144"/>
        <v>0</v>
      </c>
      <c r="AU150" s="463">
        <f t="shared" si="126"/>
        <v>247.67</v>
      </c>
      <c r="AV150" s="460">
        <f t="shared" si="127"/>
        <v>0</v>
      </c>
      <c r="AW150" s="460">
        <f t="shared" si="128"/>
        <v>247.67</v>
      </c>
      <c r="AX150" s="460">
        <f t="shared" si="129"/>
        <v>0</v>
      </c>
      <c r="AY150" s="460">
        <f t="shared" si="130"/>
        <v>0</v>
      </c>
      <c r="AZ150" s="463">
        <f t="shared" si="131"/>
        <v>0</v>
      </c>
      <c r="BA150" s="482"/>
      <c r="BB150" s="482"/>
    </row>
    <row r="151" s="425" customFormat="1" ht="39" customHeight="1" spans="1:54">
      <c r="A151" s="459">
        <v>146</v>
      </c>
      <c r="B151" s="460" t="s">
        <v>889</v>
      </c>
      <c r="C151" s="460" t="s">
        <v>203</v>
      </c>
      <c r="D151" s="461" t="s">
        <v>396</v>
      </c>
      <c r="E151" s="461" t="s">
        <v>976</v>
      </c>
      <c r="F151" s="463">
        <f t="shared" si="108"/>
        <v>209.6</v>
      </c>
      <c r="G151" s="463">
        <f t="shared" si="122"/>
        <v>11.6</v>
      </c>
      <c r="H151" s="460">
        <v>6</v>
      </c>
      <c r="I151" s="460">
        <v>2</v>
      </c>
      <c r="J151" s="460">
        <v>3.6</v>
      </c>
      <c r="K151" s="460"/>
      <c r="L151" s="460"/>
      <c r="M151" s="460"/>
      <c r="N151" s="460"/>
      <c r="O151" s="459">
        <f t="shared" si="137"/>
        <v>0</v>
      </c>
      <c r="P151" s="460"/>
      <c r="Q151" s="460"/>
      <c r="R151" s="460"/>
      <c r="S151" s="460"/>
      <c r="T151" s="460"/>
      <c r="U151" s="463">
        <v>198</v>
      </c>
      <c r="V151" s="460" t="s">
        <v>838</v>
      </c>
      <c r="W151" s="460" t="s">
        <v>986</v>
      </c>
      <c r="X151" s="463">
        <f t="shared" si="132"/>
        <v>-0.55</v>
      </c>
      <c r="Y151" s="463">
        <f t="shared" si="133"/>
        <v>-0.55</v>
      </c>
      <c r="Z151" s="460"/>
      <c r="AA151" s="460"/>
      <c r="AB151" s="460">
        <v>-0.55</v>
      </c>
      <c r="AC151" s="460"/>
      <c r="AD151" s="460"/>
      <c r="AE151" s="460"/>
      <c r="AF151" s="459">
        <f t="shared" si="134"/>
        <v>0</v>
      </c>
      <c r="AG151" s="460"/>
      <c r="AH151" s="460"/>
      <c r="AI151" s="460"/>
      <c r="AJ151" s="460"/>
      <c r="AK151" s="460"/>
      <c r="AL151" s="460"/>
      <c r="AM151" s="463">
        <f t="shared" si="123"/>
        <v>209.05</v>
      </c>
      <c r="AN151" s="463">
        <f t="shared" si="124"/>
        <v>11.05</v>
      </c>
      <c r="AO151" s="460">
        <f t="shared" ref="AO151:AT151" si="145">H151+Z151</f>
        <v>6</v>
      </c>
      <c r="AP151" s="460">
        <f t="shared" si="145"/>
        <v>2</v>
      </c>
      <c r="AQ151" s="460">
        <f t="shared" si="145"/>
        <v>3.05</v>
      </c>
      <c r="AR151" s="460">
        <f t="shared" si="145"/>
        <v>0</v>
      </c>
      <c r="AS151" s="460">
        <f t="shared" si="145"/>
        <v>0</v>
      </c>
      <c r="AT151" s="460">
        <f t="shared" si="145"/>
        <v>0</v>
      </c>
      <c r="AU151" s="463">
        <f t="shared" si="126"/>
        <v>0</v>
      </c>
      <c r="AV151" s="460">
        <f t="shared" si="127"/>
        <v>0</v>
      </c>
      <c r="AW151" s="460">
        <f t="shared" si="128"/>
        <v>0</v>
      </c>
      <c r="AX151" s="460">
        <f t="shared" si="129"/>
        <v>0</v>
      </c>
      <c r="AY151" s="460">
        <f t="shared" si="130"/>
        <v>0</v>
      </c>
      <c r="AZ151" s="463">
        <f t="shared" si="131"/>
        <v>198</v>
      </c>
      <c r="BA151" s="482"/>
      <c r="BB151" s="482"/>
    </row>
    <row r="152" s="426" customFormat="1" ht="24" customHeight="1" spans="1:54">
      <c r="A152" s="452">
        <v>147</v>
      </c>
      <c r="B152" s="485"/>
      <c r="C152" s="485"/>
      <c r="D152" s="486" t="s">
        <v>129</v>
      </c>
      <c r="E152" s="452">
        <v>205</v>
      </c>
      <c r="F152" s="456">
        <f>SUM(F153:F223)</f>
        <v>4183.9</v>
      </c>
      <c r="G152" s="456">
        <f t="shared" ref="G152:M152" si="146">SUM(G153:G223)</f>
        <v>3781.4</v>
      </c>
      <c r="H152" s="456">
        <f t="shared" si="146"/>
        <v>10.2</v>
      </c>
      <c r="I152" s="456">
        <f t="shared" si="146"/>
        <v>0</v>
      </c>
      <c r="J152" s="456">
        <f t="shared" si="146"/>
        <v>8.01</v>
      </c>
      <c r="K152" s="456">
        <f t="shared" si="146"/>
        <v>3763.19</v>
      </c>
      <c r="L152" s="456">
        <f t="shared" si="146"/>
        <v>0</v>
      </c>
      <c r="M152" s="456">
        <f t="shared" si="146"/>
        <v>0</v>
      </c>
      <c r="N152" s="456"/>
      <c r="O152" s="456">
        <f>SUM(O153:O223)</f>
        <v>46</v>
      </c>
      <c r="P152" s="456">
        <f>SUM(P153:P223)</f>
        <v>17</v>
      </c>
      <c r="Q152" s="456">
        <f>SUM(Q153:Q223)</f>
        <v>0</v>
      </c>
      <c r="R152" s="456">
        <f>SUM(R153:R223)</f>
        <v>0</v>
      </c>
      <c r="S152" s="456">
        <f>SUM(S153:S223)</f>
        <v>29</v>
      </c>
      <c r="T152" s="456"/>
      <c r="U152" s="456">
        <f>SUM(U153:U223)</f>
        <v>356.5</v>
      </c>
      <c r="V152" s="456"/>
      <c r="W152" s="481"/>
      <c r="X152" s="468">
        <f t="shared" ref="X152:AM152" si="147">SUM(X153:X223)</f>
        <v>1118.34</v>
      </c>
      <c r="Y152" s="468">
        <f t="shared" si="147"/>
        <v>-70.82</v>
      </c>
      <c r="Z152" s="468">
        <f t="shared" si="147"/>
        <v>0</v>
      </c>
      <c r="AA152" s="468">
        <f t="shared" si="147"/>
        <v>0</v>
      </c>
      <c r="AB152" s="468">
        <f t="shared" si="147"/>
        <v>0.1</v>
      </c>
      <c r="AC152" s="468">
        <f t="shared" si="147"/>
        <v>-70.92</v>
      </c>
      <c r="AD152" s="468">
        <f t="shared" si="147"/>
        <v>0</v>
      </c>
      <c r="AE152" s="468">
        <f t="shared" si="147"/>
        <v>0</v>
      </c>
      <c r="AF152" s="468">
        <f t="shared" si="147"/>
        <v>56.58</v>
      </c>
      <c r="AG152" s="468">
        <f t="shared" si="147"/>
        <v>22.58</v>
      </c>
      <c r="AH152" s="468">
        <f t="shared" si="147"/>
        <v>0</v>
      </c>
      <c r="AI152" s="468">
        <f t="shared" si="147"/>
        <v>0</v>
      </c>
      <c r="AJ152" s="468">
        <f t="shared" si="147"/>
        <v>34</v>
      </c>
      <c r="AK152" s="468">
        <f t="shared" si="147"/>
        <v>1132.58</v>
      </c>
      <c r="AL152" s="456"/>
      <c r="AM152" s="468">
        <f t="shared" ref="AL152:BA152" si="148">SUM(AM153:AM223)</f>
        <v>5302.24</v>
      </c>
      <c r="AN152" s="468">
        <f t="shared" si="148"/>
        <v>3710.58</v>
      </c>
      <c r="AO152" s="468">
        <f t="shared" si="148"/>
        <v>10.2</v>
      </c>
      <c r="AP152" s="468">
        <f t="shared" si="148"/>
        <v>0</v>
      </c>
      <c r="AQ152" s="468">
        <f t="shared" si="148"/>
        <v>8.11</v>
      </c>
      <c r="AR152" s="468">
        <f t="shared" si="148"/>
        <v>3692.27</v>
      </c>
      <c r="AS152" s="468">
        <f t="shared" si="148"/>
        <v>0</v>
      </c>
      <c r="AT152" s="468">
        <f t="shared" si="148"/>
        <v>0</v>
      </c>
      <c r="AU152" s="468">
        <f t="shared" si="148"/>
        <v>102.58</v>
      </c>
      <c r="AV152" s="468">
        <f t="shared" si="148"/>
        <v>39.58</v>
      </c>
      <c r="AW152" s="468">
        <f t="shared" si="148"/>
        <v>0</v>
      </c>
      <c r="AX152" s="468">
        <f t="shared" si="148"/>
        <v>0</v>
      </c>
      <c r="AY152" s="468">
        <f t="shared" si="148"/>
        <v>63</v>
      </c>
      <c r="AZ152" s="468">
        <f t="shared" si="148"/>
        <v>1489.08</v>
      </c>
      <c r="BA152" s="489"/>
      <c r="BB152" s="489"/>
    </row>
    <row r="153" s="425" customFormat="1" ht="96" spans="1:54">
      <c r="A153" s="459">
        <v>148</v>
      </c>
      <c r="B153" s="460" t="s">
        <v>889</v>
      </c>
      <c r="C153" s="460" t="s">
        <v>203</v>
      </c>
      <c r="D153" s="487" t="s">
        <v>398</v>
      </c>
      <c r="E153" s="488" t="s">
        <v>987</v>
      </c>
      <c r="F153" s="463">
        <f>G153+O153+U153</f>
        <v>22.44</v>
      </c>
      <c r="G153" s="463">
        <f>SUM(H153:M153)</f>
        <v>5.44</v>
      </c>
      <c r="H153" s="460"/>
      <c r="I153" s="460"/>
      <c r="J153" s="460">
        <v>5.44</v>
      </c>
      <c r="K153" s="460"/>
      <c r="L153" s="460"/>
      <c r="M153" s="460"/>
      <c r="N153" s="460"/>
      <c r="O153" s="459">
        <f>SUM(P153:S153)</f>
        <v>17</v>
      </c>
      <c r="P153" s="460">
        <v>17</v>
      </c>
      <c r="Q153" s="460"/>
      <c r="R153" s="460"/>
      <c r="S153" s="460"/>
      <c r="T153" s="460"/>
      <c r="U153" s="463"/>
      <c r="V153" s="460"/>
      <c r="W153" s="460"/>
      <c r="X153" s="463">
        <f>Y153+AF153+AK153</f>
        <v>1177.92</v>
      </c>
      <c r="Y153" s="463">
        <f>SUM(Z153:AE153)</f>
        <v>23.29</v>
      </c>
      <c r="Z153" s="460"/>
      <c r="AA153" s="460"/>
      <c r="AB153" s="460">
        <v>0.29</v>
      </c>
      <c r="AC153" s="460">
        <v>23</v>
      </c>
      <c r="AD153" s="460"/>
      <c r="AE153" s="460"/>
      <c r="AF153" s="459">
        <f>SUM(AG153:AJ153)</f>
        <v>22.05</v>
      </c>
      <c r="AG153" s="460">
        <f>10.05+12</f>
        <v>22.05</v>
      </c>
      <c r="AH153" s="460"/>
      <c r="AI153" s="460"/>
      <c r="AJ153" s="460"/>
      <c r="AK153" s="460">
        <f>1131.08+1.5</f>
        <v>1132.58</v>
      </c>
      <c r="AL153" s="460" t="s">
        <v>988</v>
      </c>
      <c r="AM153" s="463">
        <f>AN153+AU153+AZ153</f>
        <v>1200.36</v>
      </c>
      <c r="AN153" s="463">
        <f>SUM(AO153:AT153)</f>
        <v>28.73</v>
      </c>
      <c r="AO153" s="460">
        <f t="shared" ref="AO153:AT153" si="149">H153+Z153</f>
        <v>0</v>
      </c>
      <c r="AP153" s="460">
        <f t="shared" si="149"/>
        <v>0</v>
      </c>
      <c r="AQ153" s="460">
        <f t="shared" si="149"/>
        <v>5.73</v>
      </c>
      <c r="AR153" s="460">
        <f t="shared" si="149"/>
        <v>23</v>
      </c>
      <c r="AS153" s="460">
        <f t="shared" si="149"/>
        <v>0</v>
      </c>
      <c r="AT153" s="460">
        <f t="shared" si="149"/>
        <v>0</v>
      </c>
      <c r="AU153" s="463">
        <f>SUM(AV153:AY153)</f>
        <v>39.05</v>
      </c>
      <c r="AV153" s="460">
        <f t="shared" ref="AV153:AV216" si="150">P153+AG153</f>
        <v>39.05</v>
      </c>
      <c r="AW153" s="460">
        <f t="shared" ref="AW153:AW216" si="151">Q153+AH153</f>
        <v>0</v>
      </c>
      <c r="AX153" s="460">
        <f>R153+AI153</f>
        <v>0</v>
      </c>
      <c r="AY153" s="460">
        <f>S153+AJ153</f>
        <v>0</v>
      </c>
      <c r="AZ153" s="463">
        <f>U153+AK153</f>
        <v>1132.58</v>
      </c>
      <c r="BA153" s="482"/>
      <c r="BB153" s="482"/>
    </row>
    <row r="154" s="425" customFormat="1" ht="39" customHeight="1" spans="1:54">
      <c r="A154" s="459">
        <v>149</v>
      </c>
      <c r="B154" s="460" t="s">
        <v>889</v>
      </c>
      <c r="C154" s="460" t="s">
        <v>400</v>
      </c>
      <c r="D154" s="487" t="s">
        <v>401</v>
      </c>
      <c r="E154" s="488" t="s">
        <v>989</v>
      </c>
      <c r="F154" s="463">
        <f>G154+O154+U154</f>
        <v>338.92</v>
      </c>
      <c r="G154" s="463">
        <f>SUM(H154:M154)</f>
        <v>72.42</v>
      </c>
      <c r="H154" s="460"/>
      <c r="I154" s="460"/>
      <c r="J154" s="460"/>
      <c r="K154" s="460">
        <v>72.42</v>
      </c>
      <c r="L154" s="460"/>
      <c r="M154" s="460"/>
      <c r="N154" s="460"/>
      <c r="O154" s="459">
        <f>SUM(P154:S154)</f>
        <v>0</v>
      </c>
      <c r="P154" s="460"/>
      <c r="Q154" s="460"/>
      <c r="R154" s="460"/>
      <c r="S154" s="460"/>
      <c r="T154" s="460"/>
      <c r="U154" s="463">
        <f>60+206.5</f>
        <v>266.5</v>
      </c>
      <c r="V154" s="460" t="s">
        <v>838</v>
      </c>
      <c r="W154" s="460" t="s">
        <v>990</v>
      </c>
      <c r="X154" s="463">
        <f>Y154+AF154+AK154</f>
        <v>0</v>
      </c>
      <c r="Y154" s="463">
        <f>SUM(Z154:AE154)</f>
        <v>0</v>
      </c>
      <c r="Z154" s="460"/>
      <c r="AA154" s="460"/>
      <c r="AB154" s="460"/>
      <c r="AC154" s="460"/>
      <c r="AD154" s="460"/>
      <c r="AE154" s="460"/>
      <c r="AF154" s="459">
        <f>SUM(AG154:AJ154)</f>
        <v>0</v>
      </c>
      <c r="AG154" s="460"/>
      <c r="AH154" s="460"/>
      <c r="AI154" s="460"/>
      <c r="AJ154" s="460"/>
      <c r="AK154" s="460"/>
      <c r="AL154" s="460"/>
      <c r="AM154" s="463">
        <f>AN154+AU154+AZ154</f>
        <v>338.92</v>
      </c>
      <c r="AN154" s="463">
        <f>SUM(AO154:AT154)</f>
        <v>72.42</v>
      </c>
      <c r="AO154" s="460">
        <f t="shared" ref="AO154:AT154" si="152">H154+Z154</f>
        <v>0</v>
      </c>
      <c r="AP154" s="460">
        <f t="shared" si="152"/>
        <v>0</v>
      </c>
      <c r="AQ154" s="460">
        <f t="shared" si="152"/>
        <v>0</v>
      </c>
      <c r="AR154" s="460">
        <f t="shared" si="152"/>
        <v>72.42</v>
      </c>
      <c r="AS154" s="460">
        <f t="shared" si="152"/>
        <v>0</v>
      </c>
      <c r="AT154" s="460">
        <f t="shared" si="152"/>
        <v>0</v>
      </c>
      <c r="AU154" s="463">
        <f>SUM(AV154:AY154)</f>
        <v>0</v>
      </c>
      <c r="AV154" s="460">
        <f t="shared" si="150"/>
        <v>0</v>
      </c>
      <c r="AW154" s="460">
        <f t="shared" si="151"/>
        <v>0</v>
      </c>
      <c r="AX154" s="460">
        <f>R154+AI154</f>
        <v>0</v>
      </c>
      <c r="AY154" s="460">
        <f>S154+AJ154</f>
        <v>0</v>
      </c>
      <c r="AZ154" s="463">
        <f>U154+AK154</f>
        <v>266.5</v>
      </c>
      <c r="BA154" s="482"/>
      <c r="BB154" s="482"/>
    </row>
    <row r="155" s="425" customFormat="1" ht="39" customHeight="1" spans="1:54">
      <c r="A155" s="459">
        <v>150</v>
      </c>
      <c r="B155" s="460" t="s">
        <v>889</v>
      </c>
      <c r="C155" s="460" t="s">
        <v>400</v>
      </c>
      <c r="D155" s="487" t="s">
        <v>403</v>
      </c>
      <c r="E155" s="488" t="s">
        <v>989</v>
      </c>
      <c r="F155" s="463">
        <f>G155+O155+U155</f>
        <v>57.63</v>
      </c>
      <c r="G155" s="463">
        <f>SUM(H155:M155)</f>
        <v>57.63</v>
      </c>
      <c r="H155" s="460"/>
      <c r="I155" s="460"/>
      <c r="J155" s="460"/>
      <c r="K155" s="460">
        <v>57.63</v>
      </c>
      <c r="L155" s="460"/>
      <c r="M155" s="460"/>
      <c r="N155" s="460"/>
      <c r="O155" s="459">
        <f>SUM(P155:S155)</f>
        <v>0</v>
      </c>
      <c r="P155" s="460"/>
      <c r="Q155" s="460"/>
      <c r="R155" s="460"/>
      <c r="S155" s="460"/>
      <c r="T155" s="460"/>
      <c r="U155" s="463"/>
      <c r="V155" s="460"/>
      <c r="W155" s="460"/>
      <c r="X155" s="463">
        <f>Y155+AF155+AK155</f>
        <v>0</v>
      </c>
      <c r="Y155" s="463">
        <f>SUM(Z155:AE155)</f>
        <v>0</v>
      </c>
      <c r="Z155" s="460"/>
      <c r="AA155" s="460"/>
      <c r="AB155" s="460"/>
      <c r="AC155" s="460"/>
      <c r="AD155" s="460"/>
      <c r="AE155" s="460"/>
      <c r="AF155" s="459">
        <f>SUM(AG155:AJ155)</f>
        <v>0</v>
      </c>
      <c r="AG155" s="460"/>
      <c r="AH155" s="460"/>
      <c r="AI155" s="460"/>
      <c r="AJ155" s="460"/>
      <c r="AK155" s="460"/>
      <c r="AL155" s="460"/>
      <c r="AM155" s="463">
        <f>AN155+AU155+AZ155</f>
        <v>57.63</v>
      </c>
      <c r="AN155" s="463">
        <f>SUM(AO155:AT155)</f>
        <v>57.63</v>
      </c>
      <c r="AO155" s="460">
        <f t="shared" ref="AO155:AT155" si="153">H155+Z155</f>
        <v>0</v>
      </c>
      <c r="AP155" s="460">
        <f t="shared" si="153"/>
        <v>0</v>
      </c>
      <c r="AQ155" s="460">
        <f t="shared" si="153"/>
        <v>0</v>
      </c>
      <c r="AR155" s="460">
        <f t="shared" si="153"/>
        <v>57.63</v>
      </c>
      <c r="AS155" s="460">
        <f t="shared" si="153"/>
        <v>0</v>
      </c>
      <c r="AT155" s="460">
        <f t="shared" si="153"/>
        <v>0</v>
      </c>
      <c r="AU155" s="463">
        <f>SUM(AV155:AY155)</f>
        <v>0</v>
      </c>
      <c r="AV155" s="460">
        <f t="shared" si="150"/>
        <v>0</v>
      </c>
      <c r="AW155" s="460">
        <f t="shared" si="151"/>
        <v>0</v>
      </c>
      <c r="AX155" s="460">
        <f>R155+AI155</f>
        <v>0</v>
      </c>
      <c r="AY155" s="460">
        <f>S155+AJ155</f>
        <v>0</v>
      </c>
      <c r="AZ155" s="463">
        <f>U155+AK155</f>
        <v>0</v>
      </c>
      <c r="BA155" s="482"/>
      <c r="BB155" s="482"/>
    </row>
    <row r="156" s="425" customFormat="1" ht="39" customHeight="1" spans="1:54">
      <c r="A156" s="459">
        <v>151</v>
      </c>
      <c r="B156" s="460" t="s">
        <v>889</v>
      </c>
      <c r="C156" s="460" t="s">
        <v>404</v>
      </c>
      <c r="D156" s="487" t="s">
        <v>405</v>
      </c>
      <c r="E156" s="488" t="s">
        <v>991</v>
      </c>
      <c r="F156" s="463">
        <f t="shared" ref="F156:F161" si="154">G156+O156+U156</f>
        <v>53.85</v>
      </c>
      <c r="G156" s="463">
        <f t="shared" ref="G156:G161" si="155">SUM(H156:M156)</f>
        <v>53.85</v>
      </c>
      <c r="H156" s="460"/>
      <c r="I156" s="460"/>
      <c r="J156" s="460"/>
      <c r="K156" s="460">
        <v>53.85</v>
      </c>
      <c r="L156" s="460"/>
      <c r="M156" s="460"/>
      <c r="N156" s="460"/>
      <c r="O156" s="459">
        <f t="shared" ref="O156:O161" si="156">SUM(P156:S156)</f>
        <v>0</v>
      </c>
      <c r="P156" s="460"/>
      <c r="Q156" s="460"/>
      <c r="R156" s="460"/>
      <c r="S156" s="460"/>
      <c r="T156" s="460"/>
      <c r="U156" s="463"/>
      <c r="V156" s="460"/>
      <c r="W156" s="460"/>
      <c r="X156" s="463">
        <f t="shared" ref="X156:X161" si="157">Y156+AF156+AK156</f>
        <v>0</v>
      </c>
      <c r="Y156" s="463">
        <f t="shared" ref="Y156:Y161" si="158">SUM(Z156:AE156)</f>
        <v>0</v>
      </c>
      <c r="Z156" s="460"/>
      <c r="AA156" s="460"/>
      <c r="AB156" s="460"/>
      <c r="AC156" s="460"/>
      <c r="AD156" s="460"/>
      <c r="AE156" s="460"/>
      <c r="AF156" s="459">
        <f t="shared" ref="AF156:AF161" si="159">SUM(AG156:AJ156)</f>
        <v>0</v>
      </c>
      <c r="AG156" s="460"/>
      <c r="AH156" s="460"/>
      <c r="AI156" s="460"/>
      <c r="AJ156" s="460"/>
      <c r="AK156" s="460"/>
      <c r="AL156" s="460"/>
      <c r="AM156" s="463">
        <f t="shared" ref="AM156:AM161" si="160">AN156+AU156+AZ156</f>
        <v>53.85</v>
      </c>
      <c r="AN156" s="463">
        <f t="shared" ref="AN156:AN161" si="161">SUM(AO156:AT156)</f>
        <v>53.85</v>
      </c>
      <c r="AO156" s="460">
        <f t="shared" ref="AO156:AO161" si="162">H156+Z156</f>
        <v>0</v>
      </c>
      <c r="AP156" s="460">
        <f t="shared" ref="AP156:AP161" si="163">I156+AA156</f>
        <v>0</v>
      </c>
      <c r="AQ156" s="460">
        <f t="shared" ref="AQ156:AQ161" si="164">J156+AB156</f>
        <v>0</v>
      </c>
      <c r="AR156" s="460">
        <f t="shared" ref="AR156:AR161" si="165">K156+AC156</f>
        <v>53.85</v>
      </c>
      <c r="AS156" s="460">
        <f t="shared" ref="AS156:AS161" si="166">L156+AD156</f>
        <v>0</v>
      </c>
      <c r="AT156" s="460">
        <f t="shared" ref="AT156:AT161" si="167">M156+AE156</f>
        <v>0</v>
      </c>
      <c r="AU156" s="463">
        <f t="shared" ref="AU156:AU161" si="168">SUM(AV156:AY156)</f>
        <v>0</v>
      </c>
      <c r="AV156" s="460">
        <f t="shared" si="150"/>
        <v>0</v>
      </c>
      <c r="AW156" s="460">
        <f t="shared" si="151"/>
        <v>0</v>
      </c>
      <c r="AX156" s="460">
        <f t="shared" ref="AX156:AX161" si="169">R156+AI156</f>
        <v>0</v>
      </c>
      <c r="AY156" s="460">
        <f t="shared" ref="AY156:AY161" si="170">S156+AJ156</f>
        <v>0</v>
      </c>
      <c r="AZ156" s="463">
        <f t="shared" ref="AZ156:AZ161" si="171">U156+AK156</f>
        <v>0</v>
      </c>
      <c r="BA156" s="482"/>
      <c r="BB156" s="482"/>
    </row>
    <row r="157" s="425" customFormat="1" ht="39" customHeight="1" spans="1:54">
      <c r="A157" s="459">
        <v>152</v>
      </c>
      <c r="B157" s="460" t="s">
        <v>889</v>
      </c>
      <c r="C157" s="460" t="s">
        <v>404</v>
      </c>
      <c r="D157" s="487" t="s">
        <v>407</v>
      </c>
      <c r="E157" s="488" t="s">
        <v>991</v>
      </c>
      <c r="F157" s="463">
        <f t="shared" si="154"/>
        <v>25</v>
      </c>
      <c r="G157" s="463">
        <f t="shared" si="155"/>
        <v>25</v>
      </c>
      <c r="H157" s="460"/>
      <c r="I157" s="460"/>
      <c r="J157" s="460"/>
      <c r="K157" s="460">
        <v>25</v>
      </c>
      <c r="L157" s="460"/>
      <c r="M157" s="460"/>
      <c r="N157" s="460"/>
      <c r="O157" s="459">
        <f t="shared" si="156"/>
        <v>0</v>
      </c>
      <c r="P157" s="460"/>
      <c r="Q157" s="460"/>
      <c r="R157" s="460"/>
      <c r="S157" s="460"/>
      <c r="T157" s="460"/>
      <c r="U157" s="463"/>
      <c r="V157" s="460"/>
      <c r="W157" s="460"/>
      <c r="X157" s="463">
        <f t="shared" si="157"/>
        <v>0</v>
      </c>
      <c r="Y157" s="463">
        <f t="shared" si="158"/>
        <v>0</v>
      </c>
      <c r="Z157" s="460"/>
      <c r="AA157" s="460"/>
      <c r="AB157" s="460"/>
      <c r="AC157" s="460"/>
      <c r="AD157" s="460"/>
      <c r="AE157" s="460"/>
      <c r="AF157" s="459">
        <f t="shared" si="159"/>
        <v>0</v>
      </c>
      <c r="AG157" s="460"/>
      <c r="AH157" s="460"/>
      <c r="AI157" s="460"/>
      <c r="AJ157" s="460"/>
      <c r="AK157" s="460"/>
      <c r="AL157" s="460"/>
      <c r="AM157" s="463">
        <f t="shared" si="160"/>
        <v>25</v>
      </c>
      <c r="AN157" s="463">
        <f t="shared" si="161"/>
        <v>25</v>
      </c>
      <c r="AO157" s="460">
        <f t="shared" si="162"/>
        <v>0</v>
      </c>
      <c r="AP157" s="460">
        <f t="shared" si="163"/>
        <v>0</v>
      </c>
      <c r="AQ157" s="460">
        <f t="shared" si="164"/>
        <v>0</v>
      </c>
      <c r="AR157" s="460">
        <f t="shared" si="165"/>
        <v>25</v>
      </c>
      <c r="AS157" s="460">
        <f t="shared" si="166"/>
        <v>0</v>
      </c>
      <c r="AT157" s="460">
        <f t="shared" si="167"/>
        <v>0</v>
      </c>
      <c r="AU157" s="463">
        <f t="shared" si="168"/>
        <v>0</v>
      </c>
      <c r="AV157" s="460">
        <f t="shared" si="150"/>
        <v>0</v>
      </c>
      <c r="AW157" s="460">
        <f t="shared" si="151"/>
        <v>0</v>
      </c>
      <c r="AX157" s="460">
        <f t="shared" si="169"/>
        <v>0</v>
      </c>
      <c r="AY157" s="460">
        <f t="shared" si="170"/>
        <v>0</v>
      </c>
      <c r="AZ157" s="463">
        <f t="shared" si="171"/>
        <v>0</v>
      </c>
      <c r="BA157" s="482"/>
      <c r="BB157" s="482"/>
    </row>
    <row r="158" s="425" customFormat="1" ht="39" customHeight="1" spans="1:54">
      <c r="A158" s="459">
        <v>153</v>
      </c>
      <c r="B158" s="460" t="s">
        <v>889</v>
      </c>
      <c r="C158" s="460" t="s">
        <v>400</v>
      </c>
      <c r="D158" s="487" t="s">
        <v>410</v>
      </c>
      <c r="E158" s="488" t="s">
        <v>992</v>
      </c>
      <c r="F158" s="463">
        <f t="shared" si="154"/>
        <v>35.34</v>
      </c>
      <c r="G158" s="463">
        <f t="shared" si="155"/>
        <v>35.34</v>
      </c>
      <c r="H158" s="460"/>
      <c r="I158" s="460"/>
      <c r="J158" s="460"/>
      <c r="K158" s="460">
        <v>35.34</v>
      </c>
      <c r="L158" s="460"/>
      <c r="M158" s="460"/>
      <c r="N158" s="460"/>
      <c r="O158" s="459">
        <f t="shared" si="156"/>
        <v>0</v>
      </c>
      <c r="P158" s="460"/>
      <c r="Q158" s="460"/>
      <c r="R158" s="460"/>
      <c r="S158" s="460"/>
      <c r="T158" s="460"/>
      <c r="U158" s="463"/>
      <c r="V158" s="460"/>
      <c r="W158" s="460"/>
      <c r="X158" s="463">
        <f t="shared" si="157"/>
        <v>0</v>
      </c>
      <c r="Y158" s="463">
        <f t="shared" si="158"/>
        <v>0</v>
      </c>
      <c r="Z158" s="460"/>
      <c r="AA158" s="460"/>
      <c r="AB158" s="460"/>
      <c r="AC158" s="460"/>
      <c r="AD158" s="460"/>
      <c r="AE158" s="460"/>
      <c r="AF158" s="459">
        <f t="shared" si="159"/>
        <v>0</v>
      </c>
      <c r="AG158" s="460"/>
      <c r="AH158" s="460"/>
      <c r="AI158" s="460"/>
      <c r="AJ158" s="460"/>
      <c r="AK158" s="460"/>
      <c r="AL158" s="460"/>
      <c r="AM158" s="463">
        <f t="shared" si="160"/>
        <v>35.34</v>
      </c>
      <c r="AN158" s="463">
        <f t="shared" si="161"/>
        <v>35.34</v>
      </c>
      <c r="AO158" s="460">
        <f t="shared" si="162"/>
        <v>0</v>
      </c>
      <c r="AP158" s="460">
        <f t="shared" si="163"/>
        <v>0</v>
      </c>
      <c r="AQ158" s="460">
        <f t="shared" si="164"/>
        <v>0</v>
      </c>
      <c r="AR158" s="460">
        <f t="shared" si="165"/>
        <v>35.34</v>
      </c>
      <c r="AS158" s="460">
        <f t="shared" si="166"/>
        <v>0</v>
      </c>
      <c r="AT158" s="460">
        <f t="shared" si="167"/>
        <v>0</v>
      </c>
      <c r="AU158" s="463">
        <f t="shared" si="168"/>
        <v>0</v>
      </c>
      <c r="AV158" s="460">
        <f t="shared" si="150"/>
        <v>0</v>
      </c>
      <c r="AW158" s="460">
        <f t="shared" si="151"/>
        <v>0</v>
      </c>
      <c r="AX158" s="460">
        <f t="shared" si="169"/>
        <v>0</v>
      </c>
      <c r="AY158" s="460">
        <f t="shared" si="170"/>
        <v>0</v>
      </c>
      <c r="AZ158" s="463">
        <f t="shared" si="171"/>
        <v>0</v>
      </c>
      <c r="BA158" s="482"/>
      <c r="BB158" s="482"/>
    </row>
    <row r="159" s="425" customFormat="1" ht="39" customHeight="1" spans="1:54">
      <c r="A159" s="459">
        <v>154</v>
      </c>
      <c r="B159" s="460" t="s">
        <v>889</v>
      </c>
      <c r="C159" s="460" t="s">
        <v>404</v>
      </c>
      <c r="D159" s="487" t="s">
        <v>412</v>
      </c>
      <c r="E159" s="488" t="s">
        <v>991</v>
      </c>
      <c r="F159" s="463">
        <f t="shared" si="154"/>
        <v>3.85</v>
      </c>
      <c r="G159" s="463">
        <f t="shared" si="155"/>
        <v>3.85</v>
      </c>
      <c r="H159" s="460"/>
      <c r="I159" s="460"/>
      <c r="J159" s="460"/>
      <c r="K159" s="460">
        <v>3.85</v>
      </c>
      <c r="L159" s="460"/>
      <c r="M159" s="460"/>
      <c r="N159" s="460"/>
      <c r="O159" s="459">
        <f t="shared" si="156"/>
        <v>0</v>
      </c>
      <c r="P159" s="460"/>
      <c r="Q159" s="460"/>
      <c r="R159" s="460"/>
      <c r="S159" s="460"/>
      <c r="T159" s="460"/>
      <c r="U159" s="463"/>
      <c r="V159" s="460"/>
      <c r="W159" s="460"/>
      <c r="X159" s="463">
        <f t="shared" si="157"/>
        <v>-1.5</v>
      </c>
      <c r="Y159" s="463">
        <f t="shared" si="158"/>
        <v>-1.5</v>
      </c>
      <c r="Z159" s="460"/>
      <c r="AA159" s="460"/>
      <c r="AB159" s="460"/>
      <c r="AC159" s="460">
        <v>-1.5</v>
      </c>
      <c r="AD159" s="460"/>
      <c r="AE159" s="460"/>
      <c r="AF159" s="459">
        <f t="shared" si="159"/>
        <v>0</v>
      </c>
      <c r="AG159" s="460"/>
      <c r="AH159" s="460"/>
      <c r="AI159" s="460"/>
      <c r="AJ159" s="460"/>
      <c r="AK159" s="460"/>
      <c r="AL159" s="460"/>
      <c r="AM159" s="463">
        <f t="shared" si="160"/>
        <v>2.35</v>
      </c>
      <c r="AN159" s="463">
        <f t="shared" si="161"/>
        <v>2.35</v>
      </c>
      <c r="AO159" s="460">
        <f t="shared" si="162"/>
        <v>0</v>
      </c>
      <c r="AP159" s="460">
        <f t="shared" si="163"/>
        <v>0</v>
      </c>
      <c r="AQ159" s="460">
        <f t="shared" si="164"/>
        <v>0</v>
      </c>
      <c r="AR159" s="460">
        <f t="shared" si="165"/>
        <v>2.35</v>
      </c>
      <c r="AS159" s="460">
        <f t="shared" si="166"/>
        <v>0</v>
      </c>
      <c r="AT159" s="460">
        <f t="shared" si="167"/>
        <v>0</v>
      </c>
      <c r="AU159" s="463">
        <f t="shared" si="168"/>
        <v>0</v>
      </c>
      <c r="AV159" s="460">
        <f t="shared" si="150"/>
        <v>0</v>
      </c>
      <c r="AW159" s="460">
        <f t="shared" si="151"/>
        <v>0</v>
      </c>
      <c r="AX159" s="460">
        <f t="shared" si="169"/>
        <v>0</v>
      </c>
      <c r="AY159" s="460">
        <f t="shared" si="170"/>
        <v>0</v>
      </c>
      <c r="AZ159" s="463">
        <f t="shared" si="171"/>
        <v>0</v>
      </c>
      <c r="BA159" s="482"/>
      <c r="BB159" s="482"/>
    </row>
    <row r="160" s="425" customFormat="1" ht="39" customHeight="1" spans="1:54">
      <c r="A160" s="459">
        <v>155</v>
      </c>
      <c r="B160" s="460" t="s">
        <v>889</v>
      </c>
      <c r="C160" s="460" t="s">
        <v>400</v>
      </c>
      <c r="D160" s="487" t="s">
        <v>993</v>
      </c>
      <c r="E160" s="488" t="s">
        <v>994</v>
      </c>
      <c r="F160" s="463">
        <f t="shared" si="154"/>
        <v>19.51</v>
      </c>
      <c r="G160" s="463">
        <f t="shared" si="155"/>
        <v>19.51</v>
      </c>
      <c r="H160" s="460"/>
      <c r="I160" s="460"/>
      <c r="J160" s="460"/>
      <c r="K160" s="460">
        <v>19.51</v>
      </c>
      <c r="L160" s="460"/>
      <c r="M160" s="460"/>
      <c r="N160" s="460" t="s">
        <v>995</v>
      </c>
      <c r="O160" s="459">
        <f t="shared" si="156"/>
        <v>0</v>
      </c>
      <c r="P160" s="460"/>
      <c r="Q160" s="460"/>
      <c r="R160" s="460"/>
      <c r="S160" s="460"/>
      <c r="T160" s="460"/>
      <c r="U160" s="463"/>
      <c r="V160" s="460"/>
      <c r="W160" s="460"/>
      <c r="X160" s="463">
        <f t="shared" si="157"/>
        <v>0</v>
      </c>
      <c r="Y160" s="463">
        <f t="shared" si="158"/>
        <v>0</v>
      </c>
      <c r="Z160" s="460"/>
      <c r="AA160" s="460"/>
      <c r="AB160" s="460"/>
      <c r="AC160" s="460"/>
      <c r="AD160" s="460"/>
      <c r="AE160" s="460"/>
      <c r="AF160" s="459">
        <f t="shared" si="159"/>
        <v>0</v>
      </c>
      <c r="AG160" s="460"/>
      <c r="AH160" s="460"/>
      <c r="AI160" s="460"/>
      <c r="AJ160" s="460"/>
      <c r="AK160" s="460"/>
      <c r="AL160" s="460"/>
      <c r="AM160" s="463">
        <f t="shared" si="160"/>
        <v>19.51</v>
      </c>
      <c r="AN160" s="463">
        <f t="shared" si="161"/>
        <v>19.51</v>
      </c>
      <c r="AO160" s="460">
        <f t="shared" si="162"/>
        <v>0</v>
      </c>
      <c r="AP160" s="460">
        <f t="shared" si="163"/>
        <v>0</v>
      </c>
      <c r="AQ160" s="460">
        <f t="shared" si="164"/>
        <v>0</v>
      </c>
      <c r="AR160" s="460">
        <f t="shared" si="165"/>
        <v>19.51</v>
      </c>
      <c r="AS160" s="460">
        <f t="shared" si="166"/>
        <v>0</v>
      </c>
      <c r="AT160" s="460">
        <f t="shared" si="167"/>
        <v>0</v>
      </c>
      <c r="AU160" s="463">
        <f t="shared" si="168"/>
        <v>0</v>
      </c>
      <c r="AV160" s="460">
        <f t="shared" si="150"/>
        <v>0</v>
      </c>
      <c r="AW160" s="460">
        <f t="shared" si="151"/>
        <v>0</v>
      </c>
      <c r="AX160" s="460">
        <f t="shared" si="169"/>
        <v>0</v>
      </c>
      <c r="AY160" s="460">
        <f t="shared" si="170"/>
        <v>0</v>
      </c>
      <c r="AZ160" s="463">
        <f t="shared" si="171"/>
        <v>0</v>
      </c>
      <c r="BA160" s="482"/>
      <c r="BB160" s="482"/>
    </row>
    <row r="161" s="425" customFormat="1" ht="39" customHeight="1" spans="1:54">
      <c r="A161" s="459">
        <v>156</v>
      </c>
      <c r="B161" s="460" t="s">
        <v>889</v>
      </c>
      <c r="C161" s="460" t="s">
        <v>400</v>
      </c>
      <c r="D161" s="487" t="s">
        <v>413</v>
      </c>
      <c r="E161" s="488" t="s">
        <v>996</v>
      </c>
      <c r="F161" s="463">
        <f t="shared" si="154"/>
        <v>0</v>
      </c>
      <c r="G161" s="463">
        <f t="shared" si="155"/>
        <v>0</v>
      </c>
      <c r="H161" s="460"/>
      <c r="I161" s="460"/>
      <c r="J161" s="460"/>
      <c r="K161" s="460"/>
      <c r="L161" s="460"/>
      <c r="M161" s="460"/>
      <c r="N161" s="460"/>
      <c r="O161" s="459">
        <f t="shared" si="156"/>
        <v>0</v>
      </c>
      <c r="P161" s="460"/>
      <c r="Q161" s="460"/>
      <c r="R161" s="460"/>
      <c r="S161" s="460"/>
      <c r="T161" s="460"/>
      <c r="U161" s="463"/>
      <c r="V161" s="460"/>
      <c r="W161" s="460"/>
      <c r="X161" s="463">
        <f t="shared" si="157"/>
        <v>3.53</v>
      </c>
      <c r="Y161" s="463">
        <f t="shared" si="158"/>
        <v>0</v>
      </c>
      <c r="Z161" s="460"/>
      <c r="AA161" s="460"/>
      <c r="AB161" s="460"/>
      <c r="AC161" s="460"/>
      <c r="AD161" s="460"/>
      <c r="AE161" s="460"/>
      <c r="AF161" s="459">
        <f t="shared" si="159"/>
        <v>3.53</v>
      </c>
      <c r="AG161" s="460">
        <v>0.53</v>
      </c>
      <c r="AH161" s="460"/>
      <c r="AI161" s="460"/>
      <c r="AJ161" s="460">
        <v>3</v>
      </c>
      <c r="AK161" s="460"/>
      <c r="AL161" s="460" t="s">
        <v>997</v>
      </c>
      <c r="AM161" s="463">
        <f t="shared" si="160"/>
        <v>3.53</v>
      </c>
      <c r="AN161" s="463">
        <f t="shared" si="161"/>
        <v>0</v>
      </c>
      <c r="AO161" s="460">
        <f t="shared" si="162"/>
        <v>0</v>
      </c>
      <c r="AP161" s="460">
        <f t="shared" si="163"/>
        <v>0</v>
      </c>
      <c r="AQ161" s="460">
        <f t="shared" si="164"/>
        <v>0</v>
      </c>
      <c r="AR161" s="460">
        <f t="shared" si="165"/>
        <v>0</v>
      </c>
      <c r="AS161" s="460">
        <f t="shared" si="166"/>
        <v>0</v>
      </c>
      <c r="AT161" s="460">
        <f t="shared" si="167"/>
        <v>0</v>
      </c>
      <c r="AU161" s="463">
        <f t="shared" si="168"/>
        <v>3.53</v>
      </c>
      <c r="AV161" s="460">
        <f t="shared" si="150"/>
        <v>0.53</v>
      </c>
      <c r="AW161" s="460">
        <f t="shared" si="151"/>
        <v>0</v>
      </c>
      <c r="AX161" s="460">
        <f t="shared" si="169"/>
        <v>0</v>
      </c>
      <c r="AY161" s="460">
        <f t="shared" si="170"/>
        <v>3</v>
      </c>
      <c r="AZ161" s="463">
        <f t="shared" si="171"/>
        <v>0</v>
      </c>
      <c r="BA161" s="482"/>
      <c r="BB161" s="482"/>
    </row>
    <row r="162" s="425" customFormat="1" ht="39" customHeight="1" spans="1:54">
      <c r="A162" s="459">
        <v>157</v>
      </c>
      <c r="B162" s="460" t="s">
        <v>889</v>
      </c>
      <c r="C162" s="460" t="s">
        <v>404</v>
      </c>
      <c r="D162" s="487" t="s">
        <v>415</v>
      </c>
      <c r="E162" s="488" t="s">
        <v>998</v>
      </c>
      <c r="F162" s="463">
        <f t="shared" ref="F162:F186" si="172">G162+O162+U162</f>
        <v>8.2</v>
      </c>
      <c r="G162" s="463">
        <f t="shared" ref="G162:G185" si="173">SUM(H162:M162)</f>
        <v>8.2</v>
      </c>
      <c r="H162" s="460"/>
      <c r="I162" s="460"/>
      <c r="J162" s="460"/>
      <c r="K162" s="460">
        <v>8.2</v>
      </c>
      <c r="L162" s="460"/>
      <c r="M162" s="460"/>
      <c r="N162" s="460"/>
      <c r="O162" s="459">
        <f t="shared" ref="O162:O219" si="174">SUM(P162:S162)</f>
        <v>0</v>
      </c>
      <c r="P162" s="460"/>
      <c r="Q162" s="460"/>
      <c r="R162" s="460"/>
      <c r="S162" s="460"/>
      <c r="T162" s="460"/>
      <c r="U162" s="463"/>
      <c r="V162" s="460"/>
      <c r="W162" s="460"/>
      <c r="X162" s="463">
        <f t="shared" ref="X162:X186" si="175">Y162+AF162+AK162</f>
        <v>-3</v>
      </c>
      <c r="Y162" s="463">
        <f t="shared" ref="Y162:Y186" si="176">SUM(Z162:AE162)</f>
        <v>-3</v>
      </c>
      <c r="Z162" s="460"/>
      <c r="AA162" s="460"/>
      <c r="AB162" s="460"/>
      <c r="AC162" s="460">
        <v>-3</v>
      </c>
      <c r="AD162" s="460"/>
      <c r="AE162" s="460"/>
      <c r="AF162" s="459">
        <f t="shared" ref="AF162:AF186" si="177">SUM(AG162:AJ162)</f>
        <v>0</v>
      </c>
      <c r="AG162" s="460"/>
      <c r="AH162" s="460"/>
      <c r="AI162" s="460"/>
      <c r="AJ162" s="460"/>
      <c r="AK162" s="460"/>
      <c r="AL162" s="460"/>
      <c r="AM162" s="463">
        <f t="shared" ref="AM162:AM219" si="178">AN162+AU162+AZ162</f>
        <v>5.2</v>
      </c>
      <c r="AN162" s="463">
        <f t="shared" ref="AN162:AN219" si="179">SUM(AO162:AT162)</f>
        <v>5.2</v>
      </c>
      <c r="AO162" s="460">
        <f t="shared" ref="AO162:AO219" si="180">H162+Z162</f>
        <v>0</v>
      </c>
      <c r="AP162" s="460">
        <f t="shared" ref="AP162:AP219" si="181">I162+AA162</f>
        <v>0</v>
      </c>
      <c r="AQ162" s="460">
        <f t="shared" ref="AQ162:AQ219" si="182">J162+AB162</f>
        <v>0</v>
      </c>
      <c r="AR162" s="460">
        <f t="shared" ref="AR162:AR219" si="183">K162+AC162</f>
        <v>5.2</v>
      </c>
      <c r="AS162" s="460">
        <f t="shared" ref="AS162:AS219" si="184">L162+AD162</f>
        <v>0</v>
      </c>
      <c r="AT162" s="460">
        <f t="shared" ref="AT162:AT219" si="185">M162+AE162</f>
        <v>0</v>
      </c>
      <c r="AU162" s="463">
        <f t="shared" ref="AU162:AU219" si="186">SUM(AV162:AY162)</f>
        <v>0</v>
      </c>
      <c r="AV162" s="460">
        <f t="shared" si="150"/>
        <v>0</v>
      </c>
      <c r="AW162" s="460">
        <f t="shared" si="151"/>
        <v>0</v>
      </c>
      <c r="AX162" s="460">
        <f t="shared" ref="AX162:AX219" si="187">R162+AI162</f>
        <v>0</v>
      </c>
      <c r="AY162" s="460">
        <f t="shared" ref="AY162:AY219" si="188">S162+AJ162</f>
        <v>0</v>
      </c>
      <c r="AZ162" s="463">
        <f t="shared" ref="AZ162:AZ219" si="189">U162+AK162</f>
        <v>0</v>
      </c>
      <c r="BA162" s="482"/>
      <c r="BB162" s="482"/>
    </row>
    <row r="163" s="425" customFormat="1" ht="39" customHeight="1" spans="1:54">
      <c r="A163" s="459">
        <v>158</v>
      </c>
      <c r="B163" s="460" t="s">
        <v>889</v>
      </c>
      <c r="C163" s="460" t="s">
        <v>404</v>
      </c>
      <c r="D163" s="487" t="s">
        <v>417</v>
      </c>
      <c r="E163" s="488" t="s">
        <v>991</v>
      </c>
      <c r="F163" s="463">
        <f t="shared" si="172"/>
        <v>8.37</v>
      </c>
      <c r="G163" s="463">
        <f t="shared" si="173"/>
        <v>8.37</v>
      </c>
      <c r="H163" s="460"/>
      <c r="I163" s="460"/>
      <c r="J163" s="460"/>
      <c r="K163" s="460">
        <v>8.37</v>
      </c>
      <c r="L163" s="460"/>
      <c r="M163" s="460"/>
      <c r="N163" s="460"/>
      <c r="O163" s="459">
        <f t="shared" si="174"/>
        <v>0</v>
      </c>
      <c r="P163" s="460"/>
      <c r="Q163" s="460"/>
      <c r="R163" s="460"/>
      <c r="S163" s="460"/>
      <c r="T163" s="460"/>
      <c r="U163" s="463"/>
      <c r="V163" s="460"/>
      <c r="W163" s="460"/>
      <c r="X163" s="463">
        <f t="shared" si="175"/>
        <v>-3</v>
      </c>
      <c r="Y163" s="463">
        <f t="shared" si="176"/>
        <v>-3</v>
      </c>
      <c r="Z163" s="460"/>
      <c r="AA163" s="460"/>
      <c r="AB163" s="460"/>
      <c r="AC163" s="460">
        <v>-3</v>
      </c>
      <c r="AD163" s="460"/>
      <c r="AE163" s="460"/>
      <c r="AF163" s="459">
        <f t="shared" si="177"/>
        <v>0</v>
      </c>
      <c r="AG163" s="460"/>
      <c r="AH163" s="460"/>
      <c r="AI163" s="460"/>
      <c r="AJ163" s="460"/>
      <c r="AK163" s="460"/>
      <c r="AL163" s="460"/>
      <c r="AM163" s="463">
        <f t="shared" si="178"/>
        <v>5.37</v>
      </c>
      <c r="AN163" s="463">
        <f t="shared" si="179"/>
        <v>5.37</v>
      </c>
      <c r="AO163" s="460">
        <f t="shared" si="180"/>
        <v>0</v>
      </c>
      <c r="AP163" s="460">
        <f t="shared" si="181"/>
        <v>0</v>
      </c>
      <c r="AQ163" s="460">
        <f t="shared" si="182"/>
        <v>0</v>
      </c>
      <c r="AR163" s="460">
        <f t="shared" si="183"/>
        <v>5.37</v>
      </c>
      <c r="AS163" s="460">
        <f t="shared" si="184"/>
        <v>0</v>
      </c>
      <c r="AT163" s="460">
        <f t="shared" si="185"/>
        <v>0</v>
      </c>
      <c r="AU163" s="463">
        <f t="shared" si="186"/>
        <v>0</v>
      </c>
      <c r="AV163" s="460">
        <f t="shared" si="150"/>
        <v>0</v>
      </c>
      <c r="AW163" s="460">
        <f t="shared" si="151"/>
        <v>0</v>
      </c>
      <c r="AX163" s="460">
        <f t="shared" si="187"/>
        <v>0</v>
      </c>
      <c r="AY163" s="460">
        <f t="shared" si="188"/>
        <v>0</v>
      </c>
      <c r="AZ163" s="463">
        <f t="shared" si="189"/>
        <v>0</v>
      </c>
      <c r="BA163" s="482"/>
      <c r="BB163" s="482"/>
    </row>
    <row r="164" s="425" customFormat="1" ht="39" customHeight="1" spans="1:54">
      <c r="A164" s="459">
        <v>159</v>
      </c>
      <c r="B164" s="460" t="s">
        <v>889</v>
      </c>
      <c r="C164" s="460" t="s">
        <v>400</v>
      </c>
      <c r="D164" s="487" t="s">
        <v>999</v>
      </c>
      <c r="E164" s="488" t="s">
        <v>994</v>
      </c>
      <c r="F164" s="463">
        <f t="shared" si="172"/>
        <v>21.69</v>
      </c>
      <c r="G164" s="463">
        <f t="shared" si="173"/>
        <v>21.69</v>
      </c>
      <c r="H164" s="460"/>
      <c r="I164" s="460"/>
      <c r="J164" s="460"/>
      <c r="K164" s="460">
        <v>21.69</v>
      </c>
      <c r="L164" s="460"/>
      <c r="M164" s="460"/>
      <c r="N164" s="460" t="s">
        <v>1000</v>
      </c>
      <c r="O164" s="459">
        <f t="shared" si="174"/>
        <v>0</v>
      </c>
      <c r="P164" s="460"/>
      <c r="Q164" s="460"/>
      <c r="R164" s="460"/>
      <c r="S164" s="460"/>
      <c r="T164" s="460"/>
      <c r="U164" s="463"/>
      <c r="V164" s="460"/>
      <c r="W164" s="460"/>
      <c r="X164" s="463">
        <f t="shared" si="175"/>
        <v>0</v>
      </c>
      <c r="Y164" s="463">
        <f t="shared" si="176"/>
        <v>0</v>
      </c>
      <c r="Z164" s="460"/>
      <c r="AA164" s="460"/>
      <c r="AB164" s="460"/>
      <c r="AC164" s="460"/>
      <c r="AD164" s="460"/>
      <c r="AE164" s="460"/>
      <c r="AF164" s="459">
        <f t="shared" si="177"/>
        <v>0</v>
      </c>
      <c r="AG164" s="460"/>
      <c r="AH164" s="460"/>
      <c r="AI164" s="460"/>
      <c r="AJ164" s="460"/>
      <c r="AK164" s="460"/>
      <c r="AL164" s="460"/>
      <c r="AM164" s="463">
        <f t="shared" si="178"/>
        <v>21.69</v>
      </c>
      <c r="AN164" s="463">
        <f t="shared" si="179"/>
        <v>21.69</v>
      </c>
      <c r="AO164" s="460">
        <f t="shared" si="180"/>
        <v>0</v>
      </c>
      <c r="AP164" s="460">
        <f t="shared" si="181"/>
        <v>0</v>
      </c>
      <c r="AQ164" s="460">
        <f t="shared" si="182"/>
        <v>0</v>
      </c>
      <c r="AR164" s="460">
        <f t="shared" si="183"/>
        <v>21.69</v>
      </c>
      <c r="AS164" s="460">
        <f t="shared" si="184"/>
        <v>0</v>
      </c>
      <c r="AT164" s="460">
        <f t="shared" si="185"/>
        <v>0</v>
      </c>
      <c r="AU164" s="463">
        <f t="shared" si="186"/>
        <v>0</v>
      </c>
      <c r="AV164" s="460">
        <f t="shared" si="150"/>
        <v>0</v>
      </c>
      <c r="AW164" s="460">
        <f t="shared" si="151"/>
        <v>0</v>
      </c>
      <c r="AX164" s="460">
        <f t="shared" si="187"/>
        <v>0</v>
      </c>
      <c r="AY164" s="460">
        <f t="shared" si="188"/>
        <v>0</v>
      </c>
      <c r="AZ164" s="463">
        <f t="shared" si="189"/>
        <v>0</v>
      </c>
      <c r="BA164" s="482"/>
      <c r="BB164" s="482"/>
    </row>
    <row r="165" s="425" customFormat="1" ht="39" customHeight="1" spans="1:54">
      <c r="A165" s="459">
        <v>160</v>
      </c>
      <c r="B165" s="460" t="s">
        <v>889</v>
      </c>
      <c r="C165" s="460" t="s">
        <v>404</v>
      </c>
      <c r="D165" s="487" t="s">
        <v>420</v>
      </c>
      <c r="E165" s="488" t="s">
        <v>998</v>
      </c>
      <c r="F165" s="463">
        <f t="shared" si="172"/>
        <v>7.71</v>
      </c>
      <c r="G165" s="463">
        <f t="shared" si="173"/>
        <v>7.71</v>
      </c>
      <c r="H165" s="460"/>
      <c r="I165" s="460"/>
      <c r="J165" s="460"/>
      <c r="K165" s="460">
        <v>7.71</v>
      </c>
      <c r="L165" s="460"/>
      <c r="M165" s="460"/>
      <c r="N165" s="460"/>
      <c r="O165" s="459">
        <f t="shared" si="174"/>
        <v>0</v>
      </c>
      <c r="P165" s="460"/>
      <c r="Q165" s="460"/>
      <c r="R165" s="460"/>
      <c r="S165" s="460"/>
      <c r="T165" s="460"/>
      <c r="U165" s="463"/>
      <c r="V165" s="460"/>
      <c r="W165" s="460"/>
      <c r="X165" s="463">
        <f t="shared" si="175"/>
        <v>-3</v>
      </c>
      <c r="Y165" s="463">
        <f t="shared" si="176"/>
        <v>-3</v>
      </c>
      <c r="Z165" s="460"/>
      <c r="AA165" s="460"/>
      <c r="AB165" s="460"/>
      <c r="AC165" s="460">
        <v>-3</v>
      </c>
      <c r="AD165" s="460"/>
      <c r="AE165" s="460"/>
      <c r="AF165" s="459">
        <f t="shared" si="177"/>
        <v>0</v>
      </c>
      <c r="AG165" s="460"/>
      <c r="AH165" s="460"/>
      <c r="AI165" s="460"/>
      <c r="AJ165" s="460"/>
      <c r="AK165" s="460"/>
      <c r="AL165" s="460"/>
      <c r="AM165" s="463">
        <f t="shared" si="178"/>
        <v>4.71</v>
      </c>
      <c r="AN165" s="463">
        <f t="shared" si="179"/>
        <v>4.71</v>
      </c>
      <c r="AO165" s="460">
        <f t="shared" si="180"/>
        <v>0</v>
      </c>
      <c r="AP165" s="460">
        <f t="shared" si="181"/>
        <v>0</v>
      </c>
      <c r="AQ165" s="460">
        <f t="shared" si="182"/>
        <v>0</v>
      </c>
      <c r="AR165" s="460">
        <f t="shared" si="183"/>
        <v>4.71</v>
      </c>
      <c r="AS165" s="460">
        <f t="shared" si="184"/>
        <v>0</v>
      </c>
      <c r="AT165" s="460">
        <f t="shared" si="185"/>
        <v>0</v>
      </c>
      <c r="AU165" s="463">
        <f t="shared" si="186"/>
        <v>0</v>
      </c>
      <c r="AV165" s="460">
        <f t="shared" si="150"/>
        <v>0</v>
      </c>
      <c r="AW165" s="460">
        <f t="shared" si="151"/>
        <v>0</v>
      </c>
      <c r="AX165" s="460">
        <f t="shared" si="187"/>
        <v>0</v>
      </c>
      <c r="AY165" s="460">
        <f t="shared" si="188"/>
        <v>0</v>
      </c>
      <c r="AZ165" s="463">
        <f t="shared" si="189"/>
        <v>0</v>
      </c>
      <c r="BA165" s="482"/>
      <c r="BB165" s="482"/>
    </row>
    <row r="166" s="425" customFormat="1" ht="39" customHeight="1" spans="1:54">
      <c r="A166" s="459">
        <v>161</v>
      </c>
      <c r="B166" s="460" t="s">
        <v>889</v>
      </c>
      <c r="C166" s="460" t="s">
        <v>404</v>
      </c>
      <c r="D166" s="487" t="s">
        <v>421</v>
      </c>
      <c r="E166" s="488" t="s">
        <v>991</v>
      </c>
      <c r="F166" s="463">
        <f t="shared" si="172"/>
        <v>4.35</v>
      </c>
      <c r="G166" s="463">
        <f t="shared" si="173"/>
        <v>4.35</v>
      </c>
      <c r="H166" s="460"/>
      <c r="I166" s="460"/>
      <c r="J166" s="460"/>
      <c r="K166" s="460">
        <v>4.35</v>
      </c>
      <c r="L166" s="460"/>
      <c r="M166" s="460"/>
      <c r="N166" s="460"/>
      <c r="O166" s="459">
        <f t="shared" si="174"/>
        <v>0</v>
      </c>
      <c r="P166" s="460"/>
      <c r="Q166" s="460"/>
      <c r="R166" s="460"/>
      <c r="S166" s="460"/>
      <c r="T166" s="460"/>
      <c r="U166" s="463"/>
      <c r="V166" s="460"/>
      <c r="W166" s="460"/>
      <c r="X166" s="463">
        <f t="shared" si="175"/>
        <v>-1.5</v>
      </c>
      <c r="Y166" s="463">
        <f t="shared" si="176"/>
        <v>-1.5</v>
      </c>
      <c r="Z166" s="460"/>
      <c r="AA166" s="460"/>
      <c r="AB166" s="460"/>
      <c r="AC166" s="460">
        <f>-0.15-1.35</f>
        <v>-1.5</v>
      </c>
      <c r="AD166" s="460"/>
      <c r="AE166" s="460"/>
      <c r="AF166" s="459">
        <f t="shared" si="177"/>
        <v>0</v>
      </c>
      <c r="AG166" s="460"/>
      <c r="AH166" s="460"/>
      <c r="AI166" s="460"/>
      <c r="AJ166" s="460"/>
      <c r="AK166" s="460"/>
      <c r="AL166" s="460"/>
      <c r="AM166" s="463">
        <f t="shared" si="178"/>
        <v>2.85</v>
      </c>
      <c r="AN166" s="463">
        <f t="shared" si="179"/>
        <v>2.85</v>
      </c>
      <c r="AO166" s="460">
        <f t="shared" si="180"/>
        <v>0</v>
      </c>
      <c r="AP166" s="460">
        <f t="shared" si="181"/>
        <v>0</v>
      </c>
      <c r="AQ166" s="460">
        <f t="shared" si="182"/>
        <v>0</v>
      </c>
      <c r="AR166" s="460">
        <f t="shared" si="183"/>
        <v>2.85</v>
      </c>
      <c r="AS166" s="460">
        <f t="shared" si="184"/>
        <v>0</v>
      </c>
      <c r="AT166" s="460">
        <f t="shared" si="185"/>
        <v>0</v>
      </c>
      <c r="AU166" s="463">
        <f t="shared" si="186"/>
        <v>0</v>
      </c>
      <c r="AV166" s="460">
        <f t="shared" si="150"/>
        <v>0</v>
      </c>
      <c r="AW166" s="460">
        <f t="shared" si="151"/>
        <v>0</v>
      </c>
      <c r="AX166" s="460">
        <f t="shared" si="187"/>
        <v>0</v>
      </c>
      <c r="AY166" s="460">
        <f t="shared" si="188"/>
        <v>0</v>
      </c>
      <c r="AZ166" s="463">
        <f t="shared" si="189"/>
        <v>0</v>
      </c>
      <c r="BA166" s="482"/>
      <c r="BB166" s="482"/>
    </row>
    <row r="167" s="425" customFormat="1" ht="39" customHeight="1" spans="1:54">
      <c r="A167" s="459">
        <v>162</v>
      </c>
      <c r="B167" s="460" t="s">
        <v>889</v>
      </c>
      <c r="C167" s="460" t="s">
        <v>400</v>
      </c>
      <c r="D167" s="487" t="s">
        <v>1001</v>
      </c>
      <c r="E167" s="488" t="s">
        <v>994</v>
      </c>
      <c r="F167" s="463">
        <f t="shared" si="172"/>
        <v>30.61</v>
      </c>
      <c r="G167" s="463">
        <f t="shared" si="173"/>
        <v>30.61</v>
      </c>
      <c r="H167" s="460"/>
      <c r="I167" s="460"/>
      <c r="J167" s="460"/>
      <c r="K167" s="460">
        <f>4.37+26.24</f>
        <v>30.61</v>
      </c>
      <c r="L167" s="460"/>
      <c r="M167" s="460"/>
      <c r="N167" s="460" t="s">
        <v>1002</v>
      </c>
      <c r="O167" s="459">
        <f t="shared" si="174"/>
        <v>0</v>
      </c>
      <c r="P167" s="460"/>
      <c r="Q167" s="460"/>
      <c r="R167" s="460"/>
      <c r="S167" s="460"/>
      <c r="T167" s="460"/>
      <c r="U167" s="463"/>
      <c r="V167" s="460"/>
      <c r="W167" s="460"/>
      <c r="X167" s="463">
        <f t="shared" si="175"/>
        <v>0</v>
      </c>
      <c r="Y167" s="463">
        <f t="shared" si="176"/>
        <v>0</v>
      </c>
      <c r="Z167" s="460"/>
      <c r="AA167" s="460"/>
      <c r="AB167" s="460"/>
      <c r="AC167" s="460"/>
      <c r="AD167" s="460"/>
      <c r="AE167" s="460"/>
      <c r="AF167" s="459">
        <f t="shared" si="177"/>
        <v>0</v>
      </c>
      <c r="AG167" s="460"/>
      <c r="AH167" s="460"/>
      <c r="AI167" s="460"/>
      <c r="AJ167" s="460"/>
      <c r="AK167" s="460"/>
      <c r="AL167" s="460"/>
      <c r="AM167" s="463">
        <f t="shared" si="178"/>
        <v>30.61</v>
      </c>
      <c r="AN167" s="463">
        <f t="shared" si="179"/>
        <v>30.61</v>
      </c>
      <c r="AO167" s="460">
        <f t="shared" si="180"/>
        <v>0</v>
      </c>
      <c r="AP167" s="460">
        <f t="shared" si="181"/>
        <v>0</v>
      </c>
      <c r="AQ167" s="460">
        <f t="shared" si="182"/>
        <v>0</v>
      </c>
      <c r="AR167" s="460">
        <f t="shared" si="183"/>
        <v>30.61</v>
      </c>
      <c r="AS167" s="460">
        <f t="shared" si="184"/>
        <v>0</v>
      </c>
      <c r="AT167" s="460">
        <f t="shared" si="185"/>
        <v>0</v>
      </c>
      <c r="AU167" s="463">
        <f t="shared" si="186"/>
        <v>0</v>
      </c>
      <c r="AV167" s="460">
        <f t="shared" si="150"/>
        <v>0</v>
      </c>
      <c r="AW167" s="460">
        <f t="shared" si="151"/>
        <v>0</v>
      </c>
      <c r="AX167" s="460">
        <f t="shared" si="187"/>
        <v>0</v>
      </c>
      <c r="AY167" s="460">
        <f t="shared" si="188"/>
        <v>0</v>
      </c>
      <c r="AZ167" s="463">
        <f t="shared" si="189"/>
        <v>0</v>
      </c>
      <c r="BA167" s="482"/>
      <c r="BB167" s="482"/>
    </row>
    <row r="168" s="425" customFormat="1" ht="39" customHeight="1" spans="1:54">
      <c r="A168" s="459">
        <v>163</v>
      </c>
      <c r="B168" s="460" t="s">
        <v>889</v>
      </c>
      <c r="C168" s="460" t="s">
        <v>404</v>
      </c>
      <c r="D168" s="487" t="s">
        <v>422</v>
      </c>
      <c r="E168" s="488" t="s">
        <v>998</v>
      </c>
      <c r="F168" s="463">
        <f t="shared" si="172"/>
        <v>8.33</v>
      </c>
      <c r="G168" s="463">
        <f t="shared" si="173"/>
        <v>8.33</v>
      </c>
      <c r="H168" s="460"/>
      <c r="I168" s="460"/>
      <c r="J168" s="460"/>
      <c r="K168" s="460">
        <v>8.33</v>
      </c>
      <c r="L168" s="460"/>
      <c r="M168" s="460"/>
      <c r="N168" s="460"/>
      <c r="O168" s="459">
        <f t="shared" si="174"/>
        <v>0</v>
      </c>
      <c r="P168" s="460"/>
      <c r="Q168" s="460"/>
      <c r="R168" s="460"/>
      <c r="S168" s="460"/>
      <c r="T168" s="460"/>
      <c r="U168" s="463"/>
      <c r="V168" s="460"/>
      <c r="W168" s="460"/>
      <c r="X168" s="463">
        <f t="shared" si="175"/>
        <v>-3</v>
      </c>
      <c r="Y168" s="463">
        <f t="shared" si="176"/>
        <v>-3</v>
      </c>
      <c r="Z168" s="460"/>
      <c r="AA168" s="460"/>
      <c r="AB168" s="460"/>
      <c r="AC168" s="460">
        <v>-3</v>
      </c>
      <c r="AD168" s="460"/>
      <c r="AE168" s="460"/>
      <c r="AF168" s="459">
        <f t="shared" si="177"/>
        <v>0</v>
      </c>
      <c r="AG168" s="460"/>
      <c r="AH168" s="460"/>
      <c r="AI168" s="460"/>
      <c r="AJ168" s="460"/>
      <c r="AK168" s="460"/>
      <c r="AL168" s="460"/>
      <c r="AM168" s="463">
        <f t="shared" si="178"/>
        <v>5.33</v>
      </c>
      <c r="AN168" s="463">
        <f t="shared" si="179"/>
        <v>5.33</v>
      </c>
      <c r="AO168" s="460">
        <f t="shared" si="180"/>
        <v>0</v>
      </c>
      <c r="AP168" s="460">
        <f t="shared" si="181"/>
        <v>0</v>
      </c>
      <c r="AQ168" s="460">
        <f t="shared" si="182"/>
        <v>0</v>
      </c>
      <c r="AR168" s="460">
        <f t="shared" si="183"/>
        <v>5.33</v>
      </c>
      <c r="AS168" s="460">
        <f t="shared" si="184"/>
        <v>0</v>
      </c>
      <c r="AT168" s="460">
        <f t="shared" si="185"/>
        <v>0</v>
      </c>
      <c r="AU168" s="463">
        <f t="shared" si="186"/>
        <v>0</v>
      </c>
      <c r="AV168" s="460">
        <f t="shared" si="150"/>
        <v>0</v>
      </c>
      <c r="AW168" s="460">
        <f t="shared" si="151"/>
        <v>0</v>
      </c>
      <c r="AX168" s="460">
        <f t="shared" si="187"/>
        <v>0</v>
      </c>
      <c r="AY168" s="460">
        <f t="shared" si="188"/>
        <v>0</v>
      </c>
      <c r="AZ168" s="463">
        <f t="shared" si="189"/>
        <v>0</v>
      </c>
      <c r="BA168" s="482"/>
      <c r="BB168" s="482"/>
    </row>
    <row r="169" s="425" customFormat="1" ht="39" customHeight="1" spans="1:54">
      <c r="A169" s="459">
        <v>164</v>
      </c>
      <c r="B169" s="460" t="s">
        <v>889</v>
      </c>
      <c r="C169" s="460" t="s">
        <v>404</v>
      </c>
      <c r="D169" s="487" t="s">
        <v>423</v>
      </c>
      <c r="E169" s="488" t="s">
        <v>998</v>
      </c>
      <c r="F169" s="463">
        <f t="shared" si="172"/>
        <v>10.61</v>
      </c>
      <c r="G169" s="463">
        <f t="shared" si="173"/>
        <v>10.61</v>
      </c>
      <c r="H169" s="460"/>
      <c r="I169" s="460"/>
      <c r="J169" s="460"/>
      <c r="K169" s="460">
        <v>10.61</v>
      </c>
      <c r="L169" s="460"/>
      <c r="M169" s="460"/>
      <c r="N169" s="460"/>
      <c r="O169" s="459">
        <f t="shared" si="174"/>
        <v>0</v>
      </c>
      <c r="P169" s="460"/>
      <c r="Q169" s="460"/>
      <c r="R169" s="460"/>
      <c r="S169" s="460"/>
      <c r="T169" s="460"/>
      <c r="U169" s="463"/>
      <c r="V169" s="460"/>
      <c r="W169" s="460"/>
      <c r="X169" s="463">
        <f t="shared" si="175"/>
        <v>-4.5</v>
      </c>
      <c r="Y169" s="463">
        <f t="shared" si="176"/>
        <v>-4.5</v>
      </c>
      <c r="Z169" s="460"/>
      <c r="AA169" s="460"/>
      <c r="AB169" s="460"/>
      <c r="AC169" s="460">
        <v>-4.5</v>
      </c>
      <c r="AD169" s="460"/>
      <c r="AE169" s="460"/>
      <c r="AF169" s="459">
        <f t="shared" si="177"/>
        <v>0</v>
      </c>
      <c r="AG169" s="460"/>
      <c r="AH169" s="460"/>
      <c r="AI169" s="460"/>
      <c r="AJ169" s="460"/>
      <c r="AK169" s="460"/>
      <c r="AL169" s="460"/>
      <c r="AM169" s="463">
        <f t="shared" si="178"/>
        <v>6.11</v>
      </c>
      <c r="AN169" s="463">
        <f t="shared" si="179"/>
        <v>6.11</v>
      </c>
      <c r="AO169" s="460">
        <f t="shared" si="180"/>
        <v>0</v>
      </c>
      <c r="AP169" s="460">
        <f t="shared" si="181"/>
        <v>0</v>
      </c>
      <c r="AQ169" s="460">
        <f t="shared" si="182"/>
        <v>0</v>
      </c>
      <c r="AR169" s="460">
        <f t="shared" si="183"/>
        <v>6.11</v>
      </c>
      <c r="AS169" s="460">
        <f t="shared" si="184"/>
        <v>0</v>
      </c>
      <c r="AT169" s="460">
        <f t="shared" si="185"/>
        <v>0</v>
      </c>
      <c r="AU169" s="463">
        <f t="shared" si="186"/>
        <v>0</v>
      </c>
      <c r="AV169" s="460">
        <f t="shared" si="150"/>
        <v>0</v>
      </c>
      <c r="AW169" s="460">
        <f t="shared" si="151"/>
        <v>0</v>
      </c>
      <c r="AX169" s="460">
        <f t="shared" si="187"/>
        <v>0</v>
      </c>
      <c r="AY169" s="460">
        <f t="shared" si="188"/>
        <v>0</v>
      </c>
      <c r="AZ169" s="463">
        <f t="shared" si="189"/>
        <v>0</v>
      </c>
      <c r="BA169" s="482"/>
      <c r="BB169" s="482"/>
    </row>
    <row r="170" s="425" customFormat="1" ht="39" customHeight="1" spans="1:54">
      <c r="A170" s="459">
        <v>165</v>
      </c>
      <c r="B170" s="460" t="s">
        <v>889</v>
      </c>
      <c r="C170" s="460" t="s">
        <v>404</v>
      </c>
      <c r="D170" s="487" t="s">
        <v>424</v>
      </c>
      <c r="E170" s="488" t="s">
        <v>991</v>
      </c>
      <c r="F170" s="463">
        <f t="shared" si="172"/>
        <v>2.73</v>
      </c>
      <c r="G170" s="463">
        <f t="shared" si="173"/>
        <v>2.73</v>
      </c>
      <c r="H170" s="460"/>
      <c r="I170" s="460"/>
      <c r="J170" s="460"/>
      <c r="K170" s="460">
        <v>2.73</v>
      </c>
      <c r="L170" s="460"/>
      <c r="M170" s="460"/>
      <c r="N170" s="460"/>
      <c r="O170" s="459">
        <f t="shared" si="174"/>
        <v>0</v>
      </c>
      <c r="P170" s="460"/>
      <c r="Q170" s="460"/>
      <c r="R170" s="460"/>
      <c r="S170" s="460"/>
      <c r="T170" s="460"/>
      <c r="U170" s="463"/>
      <c r="V170" s="460"/>
      <c r="W170" s="461"/>
      <c r="X170" s="463">
        <f t="shared" si="175"/>
        <v>-0.8</v>
      </c>
      <c r="Y170" s="463">
        <f t="shared" si="176"/>
        <v>-0.8</v>
      </c>
      <c r="Z170" s="460"/>
      <c r="AA170" s="460"/>
      <c r="AB170" s="460"/>
      <c r="AC170" s="460">
        <f>-0.6-0.2</f>
        <v>-0.8</v>
      </c>
      <c r="AD170" s="460"/>
      <c r="AE170" s="460"/>
      <c r="AF170" s="459">
        <f t="shared" si="177"/>
        <v>0</v>
      </c>
      <c r="AG170" s="460"/>
      <c r="AH170" s="460"/>
      <c r="AI170" s="460"/>
      <c r="AJ170" s="460"/>
      <c r="AK170" s="460"/>
      <c r="AL170" s="460"/>
      <c r="AM170" s="463">
        <f t="shared" si="178"/>
        <v>1.93</v>
      </c>
      <c r="AN170" s="463">
        <f t="shared" si="179"/>
        <v>1.93</v>
      </c>
      <c r="AO170" s="460">
        <f t="shared" si="180"/>
        <v>0</v>
      </c>
      <c r="AP170" s="460">
        <f t="shared" si="181"/>
        <v>0</v>
      </c>
      <c r="AQ170" s="460">
        <f t="shared" si="182"/>
        <v>0</v>
      </c>
      <c r="AR170" s="460">
        <f t="shared" si="183"/>
        <v>1.93</v>
      </c>
      <c r="AS170" s="460">
        <f t="shared" si="184"/>
        <v>0</v>
      </c>
      <c r="AT170" s="460">
        <f t="shared" si="185"/>
        <v>0</v>
      </c>
      <c r="AU170" s="463">
        <f t="shared" si="186"/>
        <v>0</v>
      </c>
      <c r="AV170" s="460">
        <f t="shared" si="150"/>
        <v>0</v>
      </c>
      <c r="AW170" s="460">
        <f t="shared" si="151"/>
        <v>0</v>
      </c>
      <c r="AX170" s="460">
        <f t="shared" si="187"/>
        <v>0</v>
      </c>
      <c r="AY170" s="460">
        <f t="shared" si="188"/>
        <v>0</v>
      </c>
      <c r="AZ170" s="463">
        <f t="shared" si="189"/>
        <v>0</v>
      </c>
      <c r="BA170" s="482"/>
      <c r="BB170" s="482"/>
    </row>
    <row r="171" s="425" customFormat="1" ht="39" customHeight="1" spans="1:54">
      <c r="A171" s="459">
        <v>166</v>
      </c>
      <c r="B171" s="460" t="s">
        <v>889</v>
      </c>
      <c r="C171" s="460" t="s">
        <v>400</v>
      </c>
      <c r="D171" s="487" t="s">
        <v>1003</v>
      </c>
      <c r="E171" s="488" t="s">
        <v>994</v>
      </c>
      <c r="F171" s="463">
        <f t="shared" si="172"/>
        <v>17.35</v>
      </c>
      <c r="G171" s="463">
        <f t="shared" si="173"/>
        <v>17.35</v>
      </c>
      <c r="H171" s="460"/>
      <c r="I171" s="460"/>
      <c r="J171" s="460"/>
      <c r="K171" s="460">
        <v>17.35</v>
      </c>
      <c r="L171" s="460"/>
      <c r="M171" s="460"/>
      <c r="N171" s="460" t="s">
        <v>1004</v>
      </c>
      <c r="O171" s="459">
        <f t="shared" si="174"/>
        <v>0</v>
      </c>
      <c r="P171" s="460"/>
      <c r="Q171" s="460"/>
      <c r="R171" s="460"/>
      <c r="S171" s="460"/>
      <c r="T171" s="460"/>
      <c r="U171" s="463"/>
      <c r="V171" s="460"/>
      <c r="W171" s="460"/>
      <c r="X171" s="463">
        <f t="shared" si="175"/>
        <v>0</v>
      </c>
      <c r="Y171" s="463">
        <f t="shared" si="176"/>
        <v>0</v>
      </c>
      <c r="Z171" s="460"/>
      <c r="AA171" s="460"/>
      <c r="AB171" s="460"/>
      <c r="AC171" s="460"/>
      <c r="AD171" s="460"/>
      <c r="AE171" s="460"/>
      <c r="AF171" s="459">
        <f t="shared" si="177"/>
        <v>0</v>
      </c>
      <c r="AG171" s="460"/>
      <c r="AH171" s="460"/>
      <c r="AI171" s="460"/>
      <c r="AJ171" s="460"/>
      <c r="AK171" s="460"/>
      <c r="AL171" s="460"/>
      <c r="AM171" s="463">
        <f t="shared" si="178"/>
        <v>17.35</v>
      </c>
      <c r="AN171" s="463">
        <f t="shared" si="179"/>
        <v>17.35</v>
      </c>
      <c r="AO171" s="460">
        <f t="shared" si="180"/>
        <v>0</v>
      </c>
      <c r="AP171" s="460">
        <f t="shared" si="181"/>
        <v>0</v>
      </c>
      <c r="AQ171" s="460">
        <f t="shared" si="182"/>
        <v>0</v>
      </c>
      <c r="AR171" s="460">
        <f t="shared" si="183"/>
        <v>17.35</v>
      </c>
      <c r="AS171" s="460">
        <f t="shared" si="184"/>
        <v>0</v>
      </c>
      <c r="AT171" s="460">
        <f t="shared" si="185"/>
        <v>0</v>
      </c>
      <c r="AU171" s="463">
        <f t="shared" si="186"/>
        <v>0</v>
      </c>
      <c r="AV171" s="460">
        <f t="shared" si="150"/>
        <v>0</v>
      </c>
      <c r="AW171" s="460">
        <f t="shared" si="151"/>
        <v>0</v>
      </c>
      <c r="AX171" s="460">
        <f t="shared" si="187"/>
        <v>0</v>
      </c>
      <c r="AY171" s="460">
        <f t="shared" si="188"/>
        <v>0</v>
      </c>
      <c r="AZ171" s="463">
        <f t="shared" si="189"/>
        <v>0</v>
      </c>
      <c r="BA171" s="482"/>
      <c r="BB171" s="482"/>
    </row>
    <row r="172" s="425" customFormat="1" ht="39" customHeight="1" spans="1:54">
      <c r="A172" s="459">
        <v>167</v>
      </c>
      <c r="B172" s="460" t="s">
        <v>889</v>
      </c>
      <c r="C172" s="460" t="s">
        <v>404</v>
      </c>
      <c r="D172" s="487" t="s">
        <v>425</v>
      </c>
      <c r="E172" s="488" t="s">
        <v>991</v>
      </c>
      <c r="F172" s="463">
        <f t="shared" si="172"/>
        <v>14.66</v>
      </c>
      <c r="G172" s="463">
        <f t="shared" si="173"/>
        <v>14.66</v>
      </c>
      <c r="H172" s="460"/>
      <c r="I172" s="460"/>
      <c r="J172" s="460"/>
      <c r="K172" s="460">
        <v>14.66</v>
      </c>
      <c r="L172" s="460"/>
      <c r="M172" s="460"/>
      <c r="N172" s="460"/>
      <c r="O172" s="459">
        <f t="shared" si="174"/>
        <v>0</v>
      </c>
      <c r="P172" s="460"/>
      <c r="Q172" s="460"/>
      <c r="R172" s="460"/>
      <c r="S172" s="460"/>
      <c r="T172" s="460"/>
      <c r="U172" s="463"/>
      <c r="V172" s="460"/>
      <c r="W172" s="460"/>
      <c r="X172" s="463">
        <f t="shared" si="175"/>
        <v>-2.56</v>
      </c>
      <c r="Y172" s="463">
        <f t="shared" si="176"/>
        <v>-2.56</v>
      </c>
      <c r="Z172" s="460"/>
      <c r="AA172" s="460"/>
      <c r="AB172" s="460"/>
      <c r="AC172" s="460">
        <v>-2.56</v>
      </c>
      <c r="AD172" s="460"/>
      <c r="AE172" s="460"/>
      <c r="AF172" s="459">
        <f t="shared" si="177"/>
        <v>0</v>
      </c>
      <c r="AG172" s="460"/>
      <c r="AH172" s="460"/>
      <c r="AI172" s="460"/>
      <c r="AJ172" s="460"/>
      <c r="AK172" s="460"/>
      <c r="AL172" s="460"/>
      <c r="AM172" s="463">
        <f t="shared" si="178"/>
        <v>12.1</v>
      </c>
      <c r="AN172" s="463">
        <f t="shared" si="179"/>
        <v>12.1</v>
      </c>
      <c r="AO172" s="460">
        <f t="shared" si="180"/>
        <v>0</v>
      </c>
      <c r="AP172" s="460">
        <f t="shared" si="181"/>
        <v>0</v>
      </c>
      <c r="AQ172" s="460">
        <f t="shared" si="182"/>
        <v>0</v>
      </c>
      <c r="AR172" s="460">
        <f t="shared" si="183"/>
        <v>12.1</v>
      </c>
      <c r="AS172" s="460">
        <f t="shared" si="184"/>
        <v>0</v>
      </c>
      <c r="AT172" s="460">
        <f t="shared" si="185"/>
        <v>0</v>
      </c>
      <c r="AU172" s="463">
        <f t="shared" si="186"/>
        <v>0</v>
      </c>
      <c r="AV172" s="460">
        <f t="shared" si="150"/>
        <v>0</v>
      </c>
      <c r="AW172" s="460">
        <f t="shared" si="151"/>
        <v>0</v>
      </c>
      <c r="AX172" s="460">
        <f t="shared" si="187"/>
        <v>0</v>
      </c>
      <c r="AY172" s="460">
        <f t="shared" si="188"/>
        <v>0</v>
      </c>
      <c r="AZ172" s="463">
        <f t="shared" si="189"/>
        <v>0</v>
      </c>
      <c r="BA172" s="482"/>
      <c r="BB172" s="482"/>
    </row>
    <row r="173" s="425" customFormat="1" ht="39" customHeight="1" spans="1:54">
      <c r="A173" s="459">
        <v>168</v>
      </c>
      <c r="B173" s="460" t="s">
        <v>889</v>
      </c>
      <c r="C173" s="460" t="s">
        <v>400</v>
      </c>
      <c r="D173" s="487" t="s">
        <v>1005</v>
      </c>
      <c r="E173" s="488" t="s">
        <v>994</v>
      </c>
      <c r="F173" s="463">
        <f t="shared" si="172"/>
        <v>75.49</v>
      </c>
      <c r="G173" s="463">
        <f t="shared" si="173"/>
        <v>75.49</v>
      </c>
      <c r="H173" s="460"/>
      <c r="I173" s="460"/>
      <c r="J173" s="460"/>
      <c r="K173" s="460">
        <v>75.49</v>
      </c>
      <c r="L173" s="460"/>
      <c r="M173" s="460"/>
      <c r="N173" s="460" t="s">
        <v>1006</v>
      </c>
      <c r="O173" s="459">
        <f t="shared" si="174"/>
        <v>0</v>
      </c>
      <c r="P173" s="460"/>
      <c r="Q173" s="460"/>
      <c r="R173" s="460"/>
      <c r="S173" s="460"/>
      <c r="T173" s="460"/>
      <c r="U173" s="463"/>
      <c r="V173" s="460"/>
      <c r="W173" s="460"/>
      <c r="X173" s="463">
        <f t="shared" si="175"/>
        <v>0</v>
      </c>
      <c r="Y173" s="463">
        <f t="shared" si="176"/>
        <v>0</v>
      </c>
      <c r="Z173" s="460"/>
      <c r="AA173" s="460"/>
      <c r="AB173" s="460"/>
      <c r="AC173" s="460"/>
      <c r="AD173" s="460"/>
      <c r="AE173" s="460"/>
      <c r="AF173" s="459">
        <f t="shared" si="177"/>
        <v>0</v>
      </c>
      <c r="AG173" s="460"/>
      <c r="AH173" s="460"/>
      <c r="AI173" s="460"/>
      <c r="AJ173" s="460"/>
      <c r="AK173" s="460"/>
      <c r="AL173" s="460"/>
      <c r="AM173" s="463">
        <f t="shared" si="178"/>
        <v>75.49</v>
      </c>
      <c r="AN173" s="463">
        <f t="shared" si="179"/>
        <v>75.49</v>
      </c>
      <c r="AO173" s="460">
        <f t="shared" si="180"/>
        <v>0</v>
      </c>
      <c r="AP173" s="460">
        <f t="shared" si="181"/>
        <v>0</v>
      </c>
      <c r="AQ173" s="460">
        <f t="shared" si="182"/>
        <v>0</v>
      </c>
      <c r="AR173" s="460">
        <f t="shared" si="183"/>
        <v>75.49</v>
      </c>
      <c r="AS173" s="460">
        <f t="shared" si="184"/>
        <v>0</v>
      </c>
      <c r="AT173" s="460">
        <f t="shared" si="185"/>
        <v>0</v>
      </c>
      <c r="AU173" s="463">
        <f t="shared" si="186"/>
        <v>0</v>
      </c>
      <c r="AV173" s="460">
        <f t="shared" si="150"/>
        <v>0</v>
      </c>
      <c r="AW173" s="460">
        <f t="shared" si="151"/>
        <v>0</v>
      </c>
      <c r="AX173" s="460">
        <f t="shared" si="187"/>
        <v>0</v>
      </c>
      <c r="AY173" s="460">
        <f t="shared" si="188"/>
        <v>0</v>
      </c>
      <c r="AZ173" s="463">
        <f t="shared" si="189"/>
        <v>0</v>
      </c>
      <c r="BA173" s="482"/>
      <c r="BB173" s="482"/>
    </row>
    <row r="174" s="425" customFormat="1" ht="39" customHeight="1" spans="1:54">
      <c r="A174" s="459">
        <v>169</v>
      </c>
      <c r="B174" s="460" t="s">
        <v>889</v>
      </c>
      <c r="C174" s="460" t="s">
        <v>404</v>
      </c>
      <c r="D174" s="487" t="s">
        <v>426</v>
      </c>
      <c r="E174" s="488" t="s">
        <v>991</v>
      </c>
      <c r="F174" s="463">
        <f t="shared" si="172"/>
        <v>17.82</v>
      </c>
      <c r="G174" s="463">
        <f t="shared" si="173"/>
        <v>17.82</v>
      </c>
      <c r="H174" s="460"/>
      <c r="I174" s="460"/>
      <c r="J174" s="460"/>
      <c r="K174" s="460">
        <v>17.82</v>
      </c>
      <c r="L174" s="460"/>
      <c r="M174" s="460"/>
      <c r="N174" s="460"/>
      <c r="O174" s="459">
        <f t="shared" si="174"/>
        <v>0</v>
      </c>
      <c r="P174" s="460"/>
      <c r="Q174" s="460"/>
      <c r="R174" s="460"/>
      <c r="S174" s="460"/>
      <c r="T174" s="460"/>
      <c r="U174" s="463"/>
      <c r="V174" s="460"/>
      <c r="W174" s="460"/>
      <c r="X174" s="463">
        <f t="shared" si="175"/>
        <v>0</v>
      </c>
      <c r="Y174" s="463">
        <f t="shared" si="176"/>
        <v>0</v>
      </c>
      <c r="Z174" s="460"/>
      <c r="AA174" s="460"/>
      <c r="AB174" s="460"/>
      <c r="AC174" s="460"/>
      <c r="AD174" s="460"/>
      <c r="AE174" s="460"/>
      <c r="AF174" s="459">
        <f t="shared" si="177"/>
        <v>0</v>
      </c>
      <c r="AG174" s="460"/>
      <c r="AH174" s="460"/>
      <c r="AI174" s="460"/>
      <c r="AJ174" s="460"/>
      <c r="AK174" s="460"/>
      <c r="AL174" s="460"/>
      <c r="AM174" s="463">
        <f t="shared" si="178"/>
        <v>17.82</v>
      </c>
      <c r="AN174" s="463">
        <f t="shared" si="179"/>
        <v>17.82</v>
      </c>
      <c r="AO174" s="460">
        <f t="shared" si="180"/>
        <v>0</v>
      </c>
      <c r="AP174" s="460">
        <f t="shared" si="181"/>
        <v>0</v>
      </c>
      <c r="AQ174" s="460">
        <f t="shared" si="182"/>
        <v>0</v>
      </c>
      <c r="AR174" s="460">
        <f t="shared" si="183"/>
        <v>17.82</v>
      </c>
      <c r="AS174" s="460">
        <f t="shared" si="184"/>
        <v>0</v>
      </c>
      <c r="AT174" s="460">
        <f t="shared" si="185"/>
        <v>0</v>
      </c>
      <c r="AU174" s="463">
        <f t="shared" si="186"/>
        <v>0</v>
      </c>
      <c r="AV174" s="460">
        <f t="shared" si="150"/>
        <v>0</v>
      </c>
      <c r="AW174" s="460">
        <f t="shared" si="151"/>
        <v>0</v>
      </c>
      <c r="AX174" s="460">
        <f t="shared" si="187"/>
        <v>0</v>
      </c>
      <c r="AY174" s="460">
        <f t="shared" si="188"/>
        <v>0</v>
      </c>
      <c r="AZ174" s="463">
        <f t="shared" si="189"/>
        <v>0</v>
      </c>
      <c r="BA174" s="482"/>
      <c r="BB174" s="482"/>
    </row>
    <row r="175" s="425" customFormat="1" ht="39" customHeight="1" spans="1:54">
      <c r="A175" s="459">
        <v>170</v>
      </c>
      <c r="B175" s="460" t="s">
        <v>889</v>
      </c>
      <c r="C175" s="460" t="s">
        <v>400</v>
      </c>
      <c r="D175" s="487" t="s">
        <v>1007</v>
      </c>
      <c r="E175" s="488" t="s">
        <v>994</v>
      </c>
      <c r="F175" s="463">
        <f t="shared" si="172"/>
        <v>172.62</v>
      </c>
      <c r="G175" s="463">
        <f t="shared" si="173"/>
        <v>172.62</v>
      </c>
      <c r="H175" s="460"/>
      <c r="I175" s="460"/>
      <c r="J175" s="460"/>
      <c r="K175" s="460">
        <v>172.62</v>
      </c>
      <c r="L175" s="460"/>
      <c r="M175" s="460"/>
      <c r="N175" s="460" t="s">
        <v>1008</v>
      </c>
      <c r="O175" s="459">
        <f t="shared" si="174"/>
        <v>0</v>
      </c>
      <c r="P175" s="460"/>
      <c r="Q175" s="460"/>
      <c r="R175" s="460"/>
      <c r="S175" s="460"/>
      <c r="T175" s="460"/>
      <c r="U175" s="463"/>
      <c r="V175" s="460"/>
      <c r="W175" s="460"/>
      <c r="X175" s="463">
        <f t="shared" si="175"/>
        <v>0</v>
      </c>
      <c r="Y175" s="463">
        <f t="shared" si="176"/>
        <v>0</v>
      </c>
      <c r="Z175" s="460"/>
      <c r="AA175" s="460"/>
      <c r="AB175" s="460"/>
      <c r="AC175" s="460"/>
      <c r="AD175" s="460"/>
      <c r="AE175" s="460"/>
      <c r="AF175" s="459">
        <f t="shared" si="177"/>
        <v>0</v>
      </c>
      <c r="AG175" s="460"/>
      <c r="AH175" s="460"/>
      <c r="AI175" s="460"/>
      <c r="AJ175" s="460"/>
      <c r="AK175" s="460"/>
      <c r="AL175" s="460"/>
      <c r="AM175" s="463">
        <f t="shared" si="178"/>
        <v>172.62</v>
      </c>
      <c r="AN175" s="463">
        <f t="shared" si="179"/>
        <v>172.62</v>
      </c>
      <c r="AO175" s="460">
        <f t="shared" si="180"/>
        <v>0</v>
      </c>
      <c r="AP175" s="460">
        <f t="shared" si="181"/>
        <v>0</v>
      </c>
      <c r="AQ175" s="460">
        <f t="shared" si="182"/>
        <v>0</v>
      </c>
      <c r="AR175" s="460">
        <f t="shared" si="183"/>
        <v>172.62</v>
      </c>
      <c r="AS175" s="460">
        <f t="shared" si="184"/>
        <v>0</v>
      </c>
      <c r="AT175" s="460">
        <f t="shared" si="185"/>
        <v>0</v>
      </c>
      <c r="AU175" s="463">
        <f t="shared" si="186"/>
        <v>0</v>
      </c>
      <c r="AV175" s="460">
        <f t="shared" si="150"/>
        <v>0</v>
      </c>
      <c r="AW175" s="460">
        <f t="shared" si="151"/>
        <v>0</v>
      </c>
      <c r="AX175" s="460">
        <f t="shared" si="187"/>
        <v>0</v>
      </c>
      <c r="AY175" s="460">
        <f t="shared" si="188"/>
        <v>0</v>
      </c>
      <c r="AZ175" s="463">
        <f t="shared" si="189"/>
        <v>0</v>
      </c>
      <c r="BA175" s="482"/>
      <c r="BB175" s="482"/>
    </row>
    <row r="176" s="425" customFormat="1" ht="39" customHeight="1" spans="1:54">
      <c r="A176" s="459">
        <v>171</v>
      </c>
      <c r="B176" s="460" t="s">
        <v>889</v>
      </c>
      <c r="C176" s="460" t="s">
        <v>404</v>
      </c>
      <c r="D176" s="487" t="s">
        <v>427</v>
      </c>
      <c r="E176" s="488" t="s">
        <v>998</v>
      </c>
      <c r="F176" s="463">
        <f t="shared" si="172"/>
        <v>31.76</v>
      </c>
      <c r="G176" s="463">
        <f t="shared" si="173"/>
        <v>31.76</v>
      </c>
      <c r="H176" s="460"/>
      <c r="I176" s="460"/>
      <c r="J176" s="460"/>
      <c r="K176" s="460">
        <v>31.76</v>
      </c>
      <c r="L176" s="460"/>
      <c r="M176" s="460"/>
      <c r="N176" s="460" t="s">
        <v>1009</v>
      </c>
      <c r="O176" s="459">
        <f t="shared" si="174"/>
        <v>0</v>
      </c>
      <c r="P176" s="460"/>
      <c r="Q176" s="460"/>
      <c r="R176" s="460"/>
      <c r="S176" s="460"/>
      <c r="T176" s="460"/>
      <c r="U176" s="463"/>
      <c r="V176" s="460"/>
      <c r="W176" s="460"/>
      <c r="X176" s="463">
        <f t="shared" si="175"/>
        <v>-4.5</v>
      </c>
      <c r="Y176" s="463">
        <f t="shared" si="176"/>
        <v>-4.5</v>
      </c>
      <c r="Z176" s="460"/>
      <c r="AA176" s="460"/>
      <c r="AB176" s="460"/>
      <c r="AC176" s="460">
        <v>-4.5</v>
      </c>
      <c r="AD176" s="460"/>
      <c r="AE176" s="460"/>
      <c r="AF176" s="459">
        <f t="shared" si="177"/>
        <v>0</v>
      </c>
      <c r="AG176" s="460"/>
      <c r="AH176" s="460"/>
      <c r="AI176" s="460"/>
      <c r="AJ176" s="460"/>
      <c r="AK176" s="460"/>
      <c r="AL176" s="460"/>
      <c r="AM176" s="463">
        <f t="shared" si="178"/>
        <v>27.26</v>
      </c>
      <c r="AN176" s="463">
        <f t="shared" si="179"/>
        <v>27.26</v>
      </c>
      <c r="AO176" s="460">
        <f t="shared" si="180"/>
        <v>0</v>
      </c>
      <c r="AP176" s="460">
        <f t="shared" si="181"/>
        <v>0</v>
      </c>
      <c r="AQ176" s="460">
        <f t="shared" si="182"/>
        <v>0</v>
      </c>
      <c r="AR176" s="460">
        <f t="shared" si="183"/>
        <v>27.26</v>
      </c>
      <c r="AS176" s="460">
        <f t="shared" si="184"/>
        <v>0</v>
      </c>
      <c r="AT176" s="460">
        <f t="shared" si="185"/>
        <v>0</v>
      </c>
      <c r="AU176" s="463">
        <f t="shared" si="186"/>
        <v>0</v>
      </c>
      <c r="AV176" s="460">
        <f t="shared" si="150"/>
        <v>0</v>
      </c>
      <c r="AW176" s="460">
        <f t="shared" si="151"/>
        <v>0</v>
      </c>
      <c r="AX176" s="460">
        <f t="shared" si="187"/>
        <v>0</v>
      </c>
      <c r="AY176" s="460">
        <f t="shared" si="188"/>
        <v>0</v>
      </c>
      <c r="AZ176" s="463">
        <f t="shared" si="189"/>
        <v>0</v>
      </c>
      <c r="BA176" s="482"/>
      <c r="BB176" s="482"/>
    </row>
    <row r="177" s="425" customFormat="1" ht="39" customHeight="1" spans="1:54">
      <c r="A177" s="459">
        <v>172</v>
      </c>
      <c r="B177" s="460" t="s">
        <v>889</v>
      </c>
      <c r="C177" s="460" t="s">
        <v>404</v>
      </c>
      <c r="D177" s="487" t="s">
        <v>428</v>
      </c>
      <c r="E177" s="488" t="s">
        <v>998</v>
      </c>
      <c r="F177" s="463">
        <f t="shared" si="172"/>
        <v>15.49</v>
      </c>
      <c r="G177" s="463">
        <f t="shared" si="173"/>
        <v>15.49</v>
      </c>
      <c r="H177" s="460"/>
      <c r="I177" s="460"/>
      <c r="J177" s="460"/>
      <c r="K177" s="460">
        <v>15.49</v>
      </c>
      <c r="L177" s="460"/>
      <c r="M177" s="460"/>
      <c r="N177" s="460" t="s">
        <v>1010</v>
      </c>
      <c r="O177" s="459">
        <f t="shared" si="174"/>
        <v>0</v>
      </c>
      <c r="P177" s="460"/>
      <c r="Q177" s="460"/>
      <c r="R177" s="460"/>
      <c r="S177" s="460"/>
      <c r="T177" s="460"/>
      <c r="U177" s="463"/>
      <c r="V177" s="460"/>
      <c r="W177" s="460"/>
      <c r="X177" s="463">
        <f t="shared" si="175"/>
        <v>-3</v>
      </c>
      <c r="Y177" s="463">
        <f t="shared" si="176"/>
        <v>-3</v>
      </c>
      <c r="Z177" s="460"/>
      <c r="AA177" s="460"/>
      <c r="AB177" s="460"/>
      <c r="AC177" s="460">
        <v>-3</v>
      </c>
      <c r="AD177" s="460"/>
      <c r="AE177" s="460"/>
      <c r="AF177" s="459">
        <f t="shared" si="177"/>
        <v>0</v>
      </c>
      <c r="AG177" s="460"/>
      <c r="AH177" s="460"/>
      <c r="AI177" s="460"/>
      <c r="AJ177" s="460"/>
      <c r="AK177" s="460"/>
      <c r="AL177" s="460"/>
      <c r="AM177" s="463">
        <f t="shared" si="178"/>
        <v>12.49</v>
      </c>
      <c r="AN177" s="463">
        <f t="shared" si="179"/>
        <v>12.49</v>
      </c>
      <c r="AO177" s="460">
        <f t="shared" si="180"/>
        <v>0</v>
      </c>
      <c r="AP177" s="460">
        <f t="shared" si="181"/>
        <v>0</v>
      </c>
      <c r="AQ177" s="460">
        <f t="shared" si="182"/>
        <v>0</v>
      </c>
      <c r="AR177" s="460">
        <f t="shared" si="183"/>
        <v>12.49</v>
      </c>
      <c r="AS177" s="460">
        <f t="shared" si="184"/>
        <v>0</v>
      </c>
      <c r="AT177" s="460">
        <f t="shared" si="185"/>
        <v>0</v>
      </c>
      <c r="AU177" s="463">
        <f t="shared" si="186"/>
        <v>0</v>
      </c>
      <c r="AV177" s="460">
        <f t="shared" si="150"/>
        <v>0</v>
      </c>
      <c r="AW177" s="460">
        <f t="shared" si="151"/>
        <v>0</v>
      </c>
      <c r="AX177" s="460">
        <f t="shared" si="187"/>
        <v>0</v>
      </c>
      <c r="AY177" s="460">
        <f t="shared" si="188"/>
        <v>0</v>
      </c>
      <c r="AZ177" s="463">
        <f t="shared" si="189"/>
        <v>0</v>
      </c>
      <c r="BA177" s="482"/>
      <c r="BB177" s="482"/>
    </row>
    <row r="178" s="425" customFormat="1" ht="39" customHeight="1" spans="1:54">
      <c r="A178" s="459">
        <v>173</v>
      </c>
      <c r="B178" s="460" t="s">
        <v>889</v>
      </c>
      <c r="C178" s="460" t="s">
        <v>404</v>
      </c>
      <c r="D178" s="487" t="s">
        <v>1011</v>
      </c>
      <c r="E178" s="488" t="s">
        <v>998</v>
      </c>
      <c r="F178" s="463">
        <f t="shared" si="172"/>
        <v>23.18</v>
      </c>
      <c r="G178" s="463">
        <f t="shared" si="173"/>
        <v>23.18</v>
      </c>
      <c r="H178" s="460"/>
      <c r="I178" s="460"/>
      <c r="J178" s="460"/>
      <c r="K178" s="460">
        <v>23.18</v>
      </c>
      <c r="L178" s="460"/>
      <c r="M178" s="460"/>
      <c r="N178" s="460"/>
      <c r="O178" s="459">
        <f t="shared" si="174"/>
        <v>0</v>
      </c>
      <c r="P178" s="460"/>
      <c r="Q178" s="460"/>
      <c r="R178" s="460"/>
      <c r="S178" s="460"/>
      <c r="T178" s="460"/>
      <c r="U178" s="463"/>
      <c r="V178" s="460"/>
      <c r="W178" s="460"/>
      <c r="X178" s="463">
        <f t="shared" si="175"/>
        <v>-6</v>
      </c>
      <c r="Y178" s="463">
        <f t="shared" si="176"/>
        <v>-6</v>
      </c>
      <c r="Z178" s="460"/>
      <c r="AA178" s="460"/>
      <c r="AB178" s="460"/>
      <c r="AC178" s="460">
        <v>-6</v>
      </c>
      <c r="AD178" s="460"/>
      <c r="AE178" s="460"/>
      <c r="AF178" s="459">
        <f t="shared" si="177"/>
        <v>0</v>
      </c>
      <c r="AG178" s="460"/>
      <c r="AH178" s="460"/>
      <c r="AI178" s="460"/>
      <c r="AJ178" s="460"/>
      <c r="AK178" s="460"/>
      <c r="AL178" s="460"/>
      <c r="AM178" s="463">
        <f t="shared" si="178"/>
        <v>17.18</v>
      </c>
      <c r="AN178" s="463">
        <f t="shared" si="179"/>
        <v>17.18</v>
      </c>
      <c r="AO178" s="460">
        <f t="shared" si="180"/>
        <v>0</v>
      </c>
      <c r="AP178" s="460">
        <f t="shared" si="181"/>
        <v>0</v>
      </c>
      <c r="AQ178" s="460">
        <f t="shared" si="182"/>
        <v>0</v>
      </c>
      <c r="AR178" s="460">
        <f t="shared" si="183"/>
        <v>17.18</v>
      </c>
      <c r="AS178" s="460">
        <f t="shared" si="184"/>
        <v>0</v>
      </c>
      <c r="AT178" s="460">
        <f t="shared" si="185"/>
        <v>0</v>
      </c>
      <c r="AU178" s="463">
        <f t="shared" si="186"/>
        <v>0</v>
      </c>
      <c r="AV178" s="460">
        <f t="shared" si="150"/>
        <v>0</v>
      </c>
      <c r="AW178" s="460">
        <f t="shared" si="151"/>
        <v>0</v>
      </c>
      <c r="AX178" s="460">
        <f t="shared" si="187"/>
        <v>0</v>
      </c>
      <c r="AY178" s="460">
        <f t="shared" si="188"/>
        <v>0</v>
      </c>
      <c r="AZ178" s="463">
        <f t="shared" si="189"/>
        <v>0</v>
      </c>
      <c r="BA178" s="482"/>
      <c r="BB178" s="482"/>
    </row>
    <row r="179" s="425" customFormat="1" ht="39" customHeight="1" spans="1:54">
      <c r="A179" s="459">
        <v>174</v>
      </c>
      <c r="B179" s="460" t="s">
        <v>889</v>
      </c>
      <c r="C179" s="460" t="s">
        <v>404</v>
      </c>
      <c r="D179" s="487" t="s">
        <v>430</v>
      </c>
      <c r="E179" s="488" t="s">
        <v>991</v>
      </c>
      <c r="F179" s="463">
        <f t="shared" si="172"/>
        <v>19.18</v>
      </c>
      <c r="G179" s="463">
        <f t="shared" si="173"/>
        <v>19.18</v>
      </c>
      <c r="H179" s="460"/>
      <c r="I179" s="460"/>
      <c r="J179" s="460"/>
      <c r="K179" s="460">
        <v>19.18</v>
      </c>
      <c r="L179" s="460"/>
      <c r="M179" s="460"/>
      <c r="N179" s="460"/>
      <c r="O179" s="459">
        <f t="shared" si="174"/>
        <v>0</v>
      </c>
      <c r="P179" s="460"/>
      <c r="Q179" s="460"/>
      <c r="R179" s="460"/>
      <c r="S179" s="460"/>
      <c r="T179" s="460"/>
      <c r="U179" s="463"/>
      <c r="V179" s="460"/>
      <c r="W179" s="460"/>
      <c r="X179" s="463">
        <f t="shared" si="175"/>
        <v>-6</v>
      </c>
      <c r="Y179" s="463">
        <f t="shared" si="176"/>
        <v>-6</v>
      </c>
      <c r="Z179" s="460"/>
      <c r="AA179" s="460"/>
      <c r="AB179" s="460"/>
      <c r="AC179" s="460">
        <v>-6</v>
      </c>
      <c r="AD179" s="460"/>
      <c r="AE179" s="460"/>
      <c r="AF179" s="459">
        <f t="shared" si="177"/>
        <v>0</v>
      </c>
      <c r="AG179" s="460"/>
      <c r="AH179" s="460"/>
      <c r="AI179" s="460"/>
      <c r="AJ179" s="460"/>
      <c r="AK179" s="460"/>
      <c r="AL179" s="460"/>
      <c r="AM179" s="463">
        <f t="shared" si="178"/>
        <v>13.18</v>
      </c>
      <c r="AN179" s="463">
        <f t="shared" si="179"/>
        <v>13.18</v>
      </c>
      <c r="AO179" s="460">
        <f t="shared" si="180"/>
        <v>0</v>
      </c>
      <c r="AP179" s="460">
        <f t="shared" si="181"/>
        <v>0</v>
      </c>
      <c r="AQ179" s="460">
        <f t="shared" si="182"/>
        <v>0</v>
      </c>
      <c r="AR179" s="460">
        <f t="shared" si="183"/>
        <v>13.18</v>
      </c>
      <c r="AS179" s="460">
        <f t="shared" si="184"/>
        <v>0</v>
      </c>
      <c r="AT179" s="460">
        <f t="shared" si="185"/>
        <v>0</v>
      </c>
      <c r="AU179" s="463">
        <f t="shared" si="186"/>
        <v>0</v>
      </c>
      <c r="AV179" s="460">
        <f t="shared" si="150"/>
        <v>0</v>
      </c>
      <c r="AW179" s="460">
        <f t="shared" si="151"/>
        <v>0</v>
      </c>
      <c r="AX179" s="460">
        <f t="shared" si="187"/>
        <v>0</v>
      </c>
      <c r="AY179" s="460">
        <f t="shared" si="188"/>
        <v>0</v>
      </c>
      <c r="AZ179" s="463">
        <f t="shared" si="189"/>
        <v>0</v>
      </c>
      <c r="BA179" s="482"/>
      <c r="BB179" s="482"/>
    </row>
    <row r="180" s="425" customFormat="1" ht="39" customHeight="1" spans="1:54">
      <c r="A180" s="459">
        <v>175</v>
      </c>
      <c r="B180" s="460" t="s">
        <v>889</v>
      </c>
      <c r="C180" s="460" t="s">
        <v>400</v>
      </c>
      <c r="D180" s="487" t="s">
        <v>1012</v>
      </c>
      <c r="E180" s="488" t="s">
        <v>994</v>
      </c>
      <c r="F180" s="463">
        <f t="shared" si="172"/>
        <v>110.92</v>
      </c>
      <c r="G180" s="463">
        <f t="shared" si="173"/>
        <v>110.92</v>
      </c>
      <c r="H180" s="460"/>
      <c r="I180" s="460"/>
      <c r="J180" s="460"/>
      <c r="K180" s="460">
        <f>14.58+96.34</f>
        <v>110.92</v>
      </c>
      <c r="L180" s="460"/>
      <c r="M180" s="460"/>
      <c r="N180" s="460" t="s">
        <v>1013</v>
      </c>
      <c r="O180" s="459">
        <f t="shared" si="174"/>
        <v>0</v>
      </c>
      <c r="P180" s="460"/>
      <c r="Q180" s="460"/>
      <c r="R180" s="460"/>
      <c r="S180" s="460"/>
      <c r="T180" s="460"/>
      <c r="U180" s="463"/>
      <c r="V180" s="460"/>
      <c r="W180" s="460"/>
      <c r="X180" s="463">
        <f t="shared" si="175"/>
        <v>0</v>
      </c>
      <c r="Y180" s="463">
        <f t="shared" si="176"/>
        <v>0</v>
      </c>
      <c r="Z180" s="460"/>
      <c r="AA180" s="460"/>
      <c r="AB180" s="460"/>
      <c r="AC180" s="460"/>
      <c r="AD180" s="460"/>
      <c r="AE180" s="460"/>
      <c r="AF180" s="459">
        <f t="shared" si="177"/>
        <v>0</v>
      </c>
      <c r="AG180" s="460"/>
      <c r="AH180" s="460"/>
      <c r="AI180" s="460"/>
      <c r="AJ180" s="460"/>
      <c r="AK180" s="460"/>
      <c r="AL180" s="460"/>
      <c r="AM180" s="463">
        <f t="shared" si="178"/>
        <v>110.92</v>
      </c>
      <c r="AN180" s="463">
        <f t="shared" si="179"/>
        <v>110.92</v>
      </c>
      <c r="AO180" s="460">
        <f t="shared" si="180"/>
        <v>0</v>
      </c>
      <c r="AP180" s="460">
        <f t="shared" si="181"/>
        <v>0</v>
      </c>
      <c r="AQ180" s="460">
        <f t="shared" si="182"/>
        <v>0</v>
      </c>
      <c r="AR180" s="460">
        <f t="shared" si="183"/>
        <v>110.92</v>
      </c>
      <c r="AS180" s="460">
        <f t="shared" si="184"/>
        <v>0</v>
      </c>
      <c r="AT180" s="460">
        <f t="shared" si="185"/>
        <v>0</v>
      </c>
      <c r="AU180" s="463">
        <f t="shared" si="186"/>
        <v>0</v>
      </c>
      <c r="AV180" s="460">
        <f t="shared" si="150"/>
        <v>0</v>
      </c>
      <c r="AW180" s="460">
        <f t="shared" si="151"/>
        <v>0</v>
      </c>
      <c r="AX180" s="460">
        <f t="shared" si="187"/>
        <v>0</v>
      </c>
      <c r="AY180" s="460">
        <f t="shared" si="188"/>
        <v>0</v>
      </c>
      <c r="AZ180" s="463">
        <f t="shared" si="189"/>
        <v>0</v>
      </c>
      <c r="BA180" s="482"/>
      <c r="BB180" s="482"/>
    </row>
    <row r="181" s="425" customFormat="1" ht="39" customHeight="1" spans="1:54">
      <c r="A181" s="459">
        <v>176</v>
      </c>
      <c r="B181" s="460" t="s">
        <v>889</v>
      </c>
      <c r="C181" s="460" t="s">
        <v>404</v>
      </c>
      <c r="D181" s="487" t="s">
        <v>431</v>
      </c>
      <c r="E181" s="488" t="s">
        <v>998</v>
      </c>
      <c r="F181" s="463">
        <f t="shared" si="172"/>
        <v>14.79</v>
      </c>
      <c r="G181" s="463">
        <f t="shared" si="173"/>
        <v>14.79</v>
      </c>
      <c r="H181" s="460"/>
      <c r="I181" s="460"/>
      <c r="J181" s="460"/>
      <c r="K181" s="460">
        <v>14.79</v>
      </c>
      <c r="L181" s="460"/>
      <c r="M181" s="460"/>
      <c r="N181" s="460"/>
      <c r="O181" s="459">
        <f t="shared" si="174"/>
        <v>0</v>
      </c>
      <c r="P181" s="460"/>
      <c r="Q181" s="460"/>
      <c r="R181" s="460"/>
      <c r="S181" s="460"/>
      <c r="T181" s="460"/>
      <c r="U181" s="463"/>
      <c r="V181" s="460"/>
      <c r="W181" s="460"/>
      <c r="X181" s="463">
        <f t="shared" si="175"/>
        <v>-6</v>
      </c>
      <c r="Y181" s="463">
        <f t="shared" si="176"/>
        <v>-6</v>
      </c>
      <c r="Z181" s="460"/>
      <c r="AA181" s="460"/>
      <c r="AB181" s="460"/>
      <c r="AC181" s="460">
        <f>-1.75-4.25</f>
        <v>-6</v>
      </c>
      <c r="AD181" s="460"/>
      <c r="AE181" s="460"/>
      <c r="AF181" s="459">
        <f t="shared" si="177"/>
        <v>0</v>
      </c>
      <c r="AG181" s="460"/>
      <c r="AH181" s="460"/>
      <c r="AI181" s="460"/>
      <c r="AJ181" s="460"/>
      <c r="AK181" s="460"/>
      <c r="AL181" s="460"/>
      <c r="AM181" s="463">
        <f t="shared" si="178"/>
        <v>8.79</v>
      </c>
      <c r="AN181" s="463">
        <f t="shared" si="179"/>
        <v>8.79</v>
      </c>
      <c r="AO181" s="460">
        <f t="shared" si="180"/>
        <v>0</v>
      </c>
      <c r="AP181" s="460">
        <f t="shared" si="181"/>
        <v>0</v>
      </c>
      <c r="AQ181" s="460">
        <f t="shared" si="182"/>
        <v>0</v>
      </c>
      <c r="AR181" s="460">
        <f t="shared" si="183"/>
        <v>8.79</v>
      </c>
      <c r="AS181" s="460">
        <f t="shared" si="184"/>
        <v>0</v>
      </c>
      <c r="AT181" s="460">
        <f t="shared" si="185"/>
        <v>0</v>
      </c>
      <c r="AU181" s="463">
        <f t="shared" si="186"/>
        <v>0</v>
      </c>
      <c r="AV181" s="460">
        <f t="shared" si="150"/>
        <v>0</v>
      </c>
      <c r="AW181" s="460">
        <f t="shared" si="151"/>
        <v>0</v>
      </c>
      <c r="AX181" s="460">
        <f t="shared" si="187"/>
        <v>0</v>
      </c>
      <c r="AY181" s="460">
        <f t="shared" si="188"/>
        <v>0</v>
      </c>
      <c r="AZ181" s="463">
        <f t="shared" si="189"/>
        <v>0</v>
      </c>
      <c r="BA181" s="482"/>
      <c r="BB181" s="482"/>
    </row>
    <row r="182" s="425" customFormat="1" ht="39" customHeight="1" spans="1:54">
      <c r="A182" s="459">
        <v>177</v>
      </c>
      <c r="B182" s="460" t="s">
        <v>889</v>
      </c>
      <c r="C182" s="460" t="s">
        <v>404</v>
      </c>
      <c r="D182" s="487" t="s">
        <v>432</v>
      </c>
      <c r="E182" s="488" t="s">
        <v>998</v>
      </c>
      <c r="F182" s="463">
        <f t="shared" si="172"/>
        <v>11</v>
      </c>
      <c r="G182" s="463">
        <f t="shared" si="173"/>
        <v>11</v>
      </c>
      <c r="H182" s="460"/>
      <c r="I182" s="460"/>
      <c r="J182" s="460"/>
      <c r="K182" s="460">
        <v>11</v>
      </c>
      <c r="L182" s="460"/>
      <c r="M182" s="460"/>
      <c r="N182" s="460"/>
      <c r="O182" s="459">
        <f t="shared" si="174"/>
        <v>0</v>
      </c>
      <c r="P182" s="460"/>
      <c r="Q182" s="460"/>
      <c r="R182" s="460"/>
      <c r="S182" s="460"/>
      <c r="T182" s="460"/>
      <c r="U182" s="463"/>
      <c r="V182" s="460"/>
      <c r="W182" s="460"/>
      <c r="X182" s="463">
        <f t="shared" si="175"/>
        <v>-4.5</v>
      </c>
      <c r="Y182" s="463">
        <f t="shared" si="176"/>
        <v>-4.5</v>
      </c>
      <c r="Z182" s="460"/>
      <c r="AA182" s="460"/>
      <c r="AB182" s="460"/>
      <c r="AC182" s="460">
        <v>-4.5</v>
      </c>
      <c r="AD182" s="460"/>
      <c r="AE182" s="460"/>
      <c r="AF182" s="459">
        <f t="shared" si="177"/>
        <v>0</v>
      </c>
      <c r="AG182" s="460"/>
      <c r="AH182" s="460"/>
      <c r="AI182" s="460"/>
      <c r="AJ182" s="460"/>
      <c r="AK182" s="460"/>
      <c r="AL182" s="460"/>
      <c r="AM182" s="463">
        <f t="shared" si="178"/>
        <v>6.5</v>
      </c>
      <c r="AN182" s="463">
        <f t="shared" si="179"/>
        <v>6.5</v>
      </c>
      <c r="AO182" s="460">
        <f t="shared" si="180"/>
        <v>0</v>
      </c>
      <c r="AP182" s="460">
        <f t="shared" si="181"/>
        <v>0</v>
      </c>
      <c r="AQ182" s="460">
        <f t="shared" si="182"/>
        <v>0</v>
      </c>
      <c r="AR182" s="460">
        <f t="shared" si="183"/>
        <v>6.5</v>
      </c>
      <c r="AS182" s="460">
        <f t="shared" si="184"/>
        <v>0</v>
      </c>
      <c r="AT182" s="460">
        <f t="shared" si="185"/>
        <v>0</v>
      </c>
      <c r="AU182" s="463">
        <f t="shared" si="186"/>
        <v>0</v>
      </c>
      <c r="AV182" s="460">
        <f t="shared" si="150"/>
        <v>0</v>
      </c>
      <c r="AW182" s="460">
        <f t="shared" si="151"/>
        <v>0</v>
      </c>
      <c r="AX182" s="460">
        <f t="shared" si="187"/>
        <v>0</v>
      </c>
      <c r="AY182" s="460">
        <f t="shared" si="188"/>
        <v>0</v>
      </c>
      <c r="AZ182" s="463">
        <f t="shared" si="189"/>
        <v>0</v>
      </c>
      <c r="BA182" s="482"/>
      <c r="BB182" s="482"/>
    </row>
    <row r="183" s="425" customFormat="1" ht="39" customHeight="1" spans="1:54">
      <c r="A183" s="459">
        <v>178</v>
      </c>
      <c r="B183" s="460" t="s">
        <v>889</v>
      </c>
      <c r="C183" s="460" t="s">
        <v>404</v>
      </c>
      <c r="D183" s="487" t="s">
        <v>433</v>
      </c>
      <c r="E183" s="488" t="s">
        <v>991</v>
      </c>
      <c r="F183" s="463">
        <f t="shared" si="172"/>
        <v>10.21</v>
      </c>
      <c r="G183" s="463">
        <f t="shared" si="173"/>
        <v>10.21</v>
      </c>
      <c r="H183" s="460"/>
      <c r="I183" s="460"/>
      <c r="J183" s="460"/>
      <c r="K183" s="460">
        <v>10.21</v>
      </c>
      <c r="L183" s="460"/>
      <c r="M183" s="460"/>
      <c r="N183" s="460"/>
      <c r="O183" s="459">
        <f t="shared" si="174"/>
        <v>0</v>
      </c>
      <c r="P183" s="460"/>
      <c r="Q183" s="460"/>
      <c r="R183" s="460"/>
      <c r="S183" s="460"/>
      <c r="T183" s="460"/>
      <c r="U183" s="463"/>
      <c r="V183" s="460"/>
      <c r="W183" s="460"/>
      <c r="X183" s="463">
        <f t="shared" si="175"/>
        <v>-3</v>
      </c>
      <c r="Y183" s="463">
        <f t="shared" si="176"/>
        <v>-3</v>
      </c>
      <c r="Z183" s="460"/>
      <c r="AA183" s="460"/>
      <c r="AB183" s="460"/>
      <c r="AC183" s="460">
        <v>-3</v>
      </c>
      <c r="AD183" s="460"/>
      <c r="AE183" s="460"/>
      <c r="AF183" s="459">
        <f t="shared" si="177"/>
        <v>0</v>
      </c>
      <c r="AG183" s="460"/>
      <c r="AH183" s="460"/>
      <c r="AI183" s="460"/>
      <c r="AJ183" s="460"/>
      <c r="AK183" s="460"/>
      <c r="AL183" s="460"/>
      <c r="AM183" s="463">
        <f t="shared" si="178"/>
        <v>7.21</v>
      </c>
      <c r="AN183" s="463">
        <f t="shared" si="179"/>
        <v>7.21</v>
      </c>
      <c r="AO183" s="460">
        <f t="shared" si="180"/>
        <v>0</v>
      </c>
      <c r="AP183" s="460">
        <f t="shared" si="181"/>
        <v>0</v>
      </c>
      <c r="AQ183" s="460">
        <f t="shared" si="182"/>
        <v>0</v>
      </c>
      <c r="AR183" s="460">
        <f t="shared" si="183"/>
        <v>7.21</v>
      </c>
      <c r="AS183" s="460">
        <f t="shared" si="184"/>
        <v>0</v>
      </c>
      <c r="AT183" s="460">
        <f t="shared" si="185"/>
        <v>0</v>
      </c>
      <c r="AU183" s="463">
        <f t="shared" si="186"/>
        <v>0</v>
      </c>
      <c r="AV183" s="460">
        <f t="shared" si="150"/>
        <v>0</v>
      </c>
      <c r="AW183" s="460">
        <f t="shared" si="151"/>
        <v>0</v>
      </c>
      <c r="AX183" s="460">
        <f t="shared" si="187"/>
        <v>0</v>
      </c>
      <c r="AY183" s="460">
        <f t="shared" si="188"/>
        <v>0</v>
      </c>
      <c r="AZ183" s="463">
        <f t="shared" si="189"/>
        <v>0</v>
      </c>
      <c r="BA183" s="482"/>
      <c r="BB183" s="482"/>
    </row>
    <row r="184" s="425" customFormat="1" ht="39" customHeight="1" spans="1:54">
      <c r="A184" s="459">
        <v>179</v>
      </c>
      <c r="B184" s="460" t="s">
        <v>889</v>
      </c>
      <c r="C184" s="460" t="s">
        <v>400</v>
      </c>
      <c r="D184" s="487" t="s">
        <v>1014</v>
      </c>
      <c r="E184" s="488" t="s">
        <v>994</v>
      </c>
      <c r="F184" s="463">
        <f t="shared" si="172"/>
        <v>49.83</v>
      </c>
      <c r="G184" s="463">
        <f t="shared" si="173"/>
        <v>49.83</v>
      </c>
      <c r="H184" s="460"/>
      <c r="I184" s="460"/>
      <c r="J184" s="460"/>
      <c r="K184" s="460">
        <v>49.83</v>
      </c>
      <c r="L184" s="460"/>
      <c r="M184" s="460"/>
      <c r="N184" s="460" t="s">
        <v>1015</v>
      </c>
      <c r="O184" s="459">
        <f t="shared" si="174"/>
        <v>0</v>
      </c>
      <c r="P184" s="460"/>
      <c r="Q184" s="460"/>
      <c r="R184" s="460"/>
      <c r="S184" s="460"/>
      <c r="T184" s="460"/>
      <c r="U184" s="463"/>
      <c r="V184" s="460"/>
      <c r="W184" s="460"/>
      <c r="X184" s="463">
        <f t="shared" si="175"/>
        <v>0</v>
      </c>
      <c r="Y184" s="463">
        <f t="shared" si="176"/>
        <v>0</v>
      </c>
      <c r="Z184" s="460"/>
      <c r="AA184" s="460"/>
      <c r="AB184" s="460"/>
      <c r="AC184" s="460"/>
      <c r="AD184" s="460"/>
      <c r="AE184" s="460"/>
      <c r="AF184" s="459">
        <f t="shared" si="177"/>
        <v>0</v>
      </c>
      <c r="AG184" s="460"/>
      <c r="AH184" s="460"/>
      <c r="AI184" s="460"/>
      <c r="AJ184" s="460"/>
      <c r="AK184" s="460"/>
      <c r="AL184" s="460"/>
      <c r="AM184" s="463">
        <f t="shared" si="178"/>
        <v>49.83</v>
      </c>
      <c r="AN184" s="463">
        <f t="shared" si="179"/>
        <v>49.83</v>
      </c>
      <c r="AO184" s="460">
        <f t="shared" si="180"/>
        <v>0</v>
      </c>
      <c r="AP184" s="460">
        <f t="shared" si="181"/>
        <v>0</v>
      </c>
      <c r="AQ184" s="460">
        <f t="shared" si="182"/>
        <v>0</v>
      </c>
      <c r="AR184" s="460">
        <f t="shared" si="183"/>
        <v>49.83</v>
      </c>
      <c r="AS184" s="460">
        <f t="shared" si="184"/>
        <v>0</v>
      </c>
      <c r="AT184" s="460">
        <f t="shared" si="185"/>
        <v>0</v>
      </c>
      <c r="AU184" s="463">
        <f t="shared" si="186"/>
        <v>0</v>
      </c>
      <c r="AV184" s="460">
        <f t="shared" si="150"/>
        <v>0</v>
      </c>
      <c r="AW184" s="460">
        <f t="shared" si="151"/>
        <v>0</v>
      </c>
      <c r="AX184" s="460">
        <f t="shared" si="187"/>
        <v>0</v>
      </c>
      <c r="AY184" s="460">
        <f t="shared" si="188"/>
        <v>0</v>
      </c>
      <c r="AZ184" s="463">
        <f t="shared" si="189"/>
        <v>0</v>
      </c>
      <c r="BA184" s="482"/>
      <c r="BB184" s="482"/>
    </row>
    <row r="185" s="425" customFormat="1" ht="39" customHeight="1" spans="1:54">
      <c r="A185" s="459">
        <v>180</v>
      </c>
      <c r="B185" s="460" t="s">
        <v>889</v>
      </c>
      <c r="C185" s="460" t="s">
        <v>404</v>
      </c>
      <c r="D185" s="487" t="s">
        <v>434</v>
      </c>
      <c r="E185" s="488" t="s">
        <v>991</v>
      </c>
      <c r="F185" s="463">
        <f t="shared" si="172"/>
        <v>21.61</v>
      </c>
      <c r="G185" s="463">
        <f t="shared" si="173"/>
        <v>21.61</v>
      </c>
      <c r="H185" s="460"/>
      <c r="I185" s="460"/>
      <c r="J185" s="460"/>
      <c r="K185" s="460">
        <v>21.61</v>
      </c>
      <c r="L185" s="460"/>
      <c r="M185" s="460"/>
      <c r="N185" s="460"/>
      <c r="O185" s="459">
        <f t="shared" si="174"/>
        <v>0</v>
      </c>
      <c r="P185" s="460"/>
      <c r="Q185" s="460"/>
      <c r="R185" s="460"/>
      <c r="S185" s="460"/>
      <c r="T185" s="460"/>
      <c r="U185" s="463"/>
      <c r="V185" s="460"/>
      <c r="W185" s="460"/>
      <c r="X185" s="463">
        <f t="shared" si="175"/>
        <v>0</v>
      </c>
      <c r="Y185" s="463">
        <f t="shared" si="176"/>
        <v>0</v>
      </c>
      <c r="Z185" s="460"/>
      <c r="AA185" s="460"/>
      <c r="AB185" s="460"/>
      <c r="AC185" s="460"/>
      <c r="AD185" s="460"/>
      <c r="AE185" s="460"/>
      <c r="AF185" s="459">
        <f t="shared" si="177"/>
        <v>0</v>
      </c>
      <c r="AG185" s="460"/>
      <c r="AH185" s="460"/>
      <c r="AI185" s="460"/>
      <c r="AJ185" s="460"/>
      <c r="AK185" s="460"/>
      <c r="AL185" s="460"/>
      <c r="AM185" s="463">
        <f t="shared" si="178"/>
        <v>21.61</v>
      </c>
      <c r="AN185" s="463">
        <f t="shared" si="179"/>
        <v>21.61</v>
      </c>
      <c r="AO185" s="460">
        <f t="shared" si="180"/>
        <v>0</v>
      </c>
      <c r="AP185" s="460">
        <f t="shared" si="181"/>
        <v>0</v>
      </c>
      <c r="AQ185" s="460">
        <f t="shared" si="182"/>
        <v>0</v>
      </c>
      <c r="AR185" s="460">
        <f t="shared" si="183"/>
        <v>21.61</v>
      </c>
      <c r="AS185" s="460">
        <f t="shared" si="184"/>
        <v>0</v>
      </c>
      <c r="AT185" s="460">
        <f t="shared" si="185"/>
        <v>0</v>
      </c>
      <c r="AU185" s="463">
        <f t="shared" si="186"/>
        <v>0</v>
      </c>
      <c r="AV185" s="460">
        <f t="shared" si="150"/>
        <v>0</v>
      </c>
      <c r="AW185" s="460">
        <f t="shared" si="151"/>
        <v>0</v>
      </c>
      <c r="AX185" s="460">
        <f t="shared" si="187"/>
        <v>0</v>
      </c>
      <c r="AY185" s="460">
        <f t="shared" si="188"/>
        <v>0</v>
      </c>
      <c r="AZ185" s="463">
        <f t="shared" si="189"/>
        <v>0</v>
      </c>
      <c r="BA185" s="482"/>
      <c r="BB185" s="482"/>
    </row>
    <row r="186" s="425" customFormat="1" ht="39" customHeight="1" spans="1:54">
      <c r="A186" s="459">
        <v>181</v>
      </c>
      <c r="B186" s="460" t="s">
        <v>889</v>
      </c>
      <c r="C186" s="460" t="s">
        <v>400</v>
      </c>
      <c r="D186" s="487" t="s">
        <v>1016</v>
      </c>
      <c r="E186" s="488" t="s">
        <v>994</v>
      </c>
      <c r="F186" s="463">
        <f t="shared" si="172"/>
        <v>201.11</v>
      </c>
      <c r="G186" s="463">
        <f t="shared" ref="G186:G223" si="190">SUM(H186:M186)</f>
        <v>201.11</v>
      </c>
      <c r="H186" s="460"/>
      <c r="I186" s="460"/>
      <c r="J186" s="460"/>
      <c r="K186" s="460">
        <v>201.11</v>
      </c>
      <c r="L186" s="460"/>
      <c r="M186" s="460"/>
      <c r="N186" s="460" t="s">
        <v>1017</v>
      </c>
      <c r="O186" s="459">
        <f t="shared" si="174"/>
        <v>0</v>
      </c>
      <c r="P186" s="460"/>
      <c r="Q186" s="460"/>
      <c r="R186" s="460"/>
      <c r="S186" s="460"/>
      <c r="T186" s="460"/>
      <c r="U186" s="463"/>
      <c r="V186" s="460"/>
      <c r="W186" s="460"/>
      <c r="X186" s="463">
        <f t="shared" si="175"/>
        <v>0</v>
      </c>
      <c r="Y186" s="463">
        <f t="shared" si="176"/>
        <v>0</v>
      </c>
      <c r="Z186" s="460"/>
      <c r="AA186" s="460"/>
      <c r="AB186" s="460"/>
      <c r="AC186" s="460"/>
      <c r="AD186" s="460"/>
      <c r="AE186" s="460"/>
      <c r="AF186" s="459">
        <f t="shared" si="177"/>
        <v>0</v>
      </c>
      <c r="AG186" s="460"/>
      <c r="AH186" s="460"/>
      <c r="AI186" s="460"/>
      <c r="AJ186" s="460"/>
      <c r="AK186" s="460"/>
      <c r="AL186" s="460"/>
      <c r="AM186" s="463">
        <f t="shared" si="178"/>
        <v>201.11</v>
      </c>
      <c r="AN186" s="463">
        <f t="shared" si="179"/>
        <v>201.11</v>
      </c>
      <c r="AO186" s="460">
        <f t="shared" si="180"/>
        <v>0</v>
      </c>
      <c r="AP186" s="460">
        <f t="shared" si="181"/>
        <v>0</v>
      </c>
      <c r="AQ186" s="460">
        <f t="shared" si="182"/>
        <v>0</v>
      </c>
      <c r="AR186" s="460">
        <f t="shared" si="183"/>
        <v>201.11</v>
      </c>
      <c r="AS186" s="460">
        <f t="shared" si="184"/>
        <v>0</v>
      </c>
      <c r="AT186" s="460">
        <f t="shared" si="185"/>
        <v>0</v>
      </c>
      <c r="AU186" s="463">
        <f t="shared" si="186"/>
        <v>0</v>
      </c>
      <c r="AV186" s="460">
        <f t="shared" si="150"/>
        <v>0</v>
      </c>
      <c r="AW186" s="460">
        <f t="shared" si="151"/>
        <v>0</v>
      </c>
      <c r="AX186" s="460">
        <f t="shared" si="187"/>
        <v>0</v>
      </c>
      <c r="AY186" s="460">
        <f t="shared" si="188"/>
        <v>0</v>
      </c>
      <c r="AZ186" s="463">
        <f t="shared" si="189"/>
        <v>0</v>
      </c>
      <c r="BA186" s="482"/>
      <c r="BB186" s="482"/>
    </row>
    <row r="187" s="425" customFormat="1" ht="39" customHeight="1" spans="1:54">
      <c r="A187" s="459">
        <v>182</v>
      </c>
      <c r="B187" s="460" t="s">
        <v>889</v>
      </c>
      <c r="C187" s="460" t="s">
        <v>404</v>
      </c>
      <c r="D187" s="487" t="s">
        <v>435</v>
      </c>
      <c r="E187" s="488" t="s">
        <v>991</v>
      </c>
      <c r="F187" s="463">
        <f t="shared" ref="F187:F250" si="191">G187+O187+U187</f>
        <v>25.22</v>
      </c>
      <c r="G187" s="463">
        <f t="shared" si="190"/>
        <v>25.22</v>
      </c>
      <c r="H187" s="460"/>
      <c r="I187" s="460"/>
      <c r="J187" s="460"/>
      <c r="K187" s="460">
        <v>25.22</v>
      </c>
      <c r="L187" s="460"/>
      <c r="M187" s="460"/>
      <c r="N187" s="460"/>
      <c r="O187" s="459">
        <f t="shared" si="174"/>
        <v>0</v>
      </c>
      <c r="P187" s="460"/>
      <c r="Q187" s="460"/>
      <c r="R187" s="460"/>
      <c r="S187" s="460"/>
      <c r="T187" s="460"/>
      <c r="U187" s="463"/>
      <c r="V187" s="460"/>
      <c r="W187" s="460"/>
      <c r="X187" s="463">
        <f t="shared" ref="X187:X219" si="192">Y187+AF187+AK187</f>
        <v>0</v>
      </c>
      <c r="Y187" s="463">
        <f t="shared" ref="Y187:Y219" si="193">SUM(Z187:AE187)</f>
        <v>0</v>
      </c>
      <c r="Z187" s="460"/>
      <c r="AA187" s="460"/>
      <c r="AB187" s="460"/>
      <c r="AC187" s="460"/>
      <c r="AD187" s="460"/>
      <c r="AE187" s="460"/>
      <c r="AF187" s="459">
        <f t="shared" ref="AF187:AF219" si="194">SUM(AG187:AJ187)</f>
        <v>0</v>
      </c>
      <c r="AG187" s="460"/>
      <c r="AH187" s="460"/>
      <c r="AI187" s="460"/>
      <c r="AJ187" s="460"/>
      <c r="AK187" s="460"/>
      <c r="AL187" s="460"/>
      <c r="AM187" s="463">
        <f t="shared" si="178"/>
        <v>25.22</v>
      </c>
      <c r="AN187" s="463">
        <f t="shared" si="179"/>
        <v>25.22</v>
      </c>
      <c r="AO187" s="460">
        <f t="shared" si="180"/>
        <v>0</v>
      </c>
      <c r="AP187" s="460">
        <f t="shared" si="181"/>
        <v>0</v>
      </c>
      <c r="AQ187" s="460">
        <f t="shared" si="182"/>
        <v>0</v>
      </c>
      <c r="AR187" s="460">
        <f t="shared" si="183"/>
        <v>25.22</v>
      </c>
      <c r="AS187" s="460">
        <f t="shared" si="184"/>
        <v>0</v>
      </c>
      <c r="AT187" s="460">
        <f t="shared" si="185"/>
        <v>0</v>
      </c>
      <c r="AU187" s="463">
        <f t="shared" si="186"/>
        <v>0</v>
      </c>
      <c r="AV187" s="460">
        <f t="shared" si="150"/>
        <v>0</v>
      </c>
      <c r="AW187" s="460">
        <f t="shared" si="151"/>
        <v>0</v>
      </c>
      <c r="AX187" s="460">
        <f t="shared" si="187"/>
        <v>0</v>
      </c>
      <c r="AY187" s="460">
        <f t="shared" si="188"/>
        <v>0</v>
      </c>
      <c r="AZ187" s="463">
        <f t="shared" si="189"/>
        <v>0</v>
      </c>
      <c r="BA187" s="482"/>
      <c r="BB187" s="482"/>
    </row>
    <row r="188" s="425" customFormat="1" ht="39" customHeight="1" spans="1:54">
      <c r="A188" s="459">
        <v>183</v>
      </c>
      <c r="B188" s="460" t="s">
        <v>889</v>
      </c>
      <c r="C188" s="460" t="s">
        <v>404</v>
      </c>
      <c r="D188" s="487" t="s">
        <v>436</v>
      </c>
      <c r="E188" s="488" t="s">
        <v>998</v>
      </c>
      <c r="F188" s="463">
        <f t="shared" si="191"/>
        <v>10.29</v>
      </c>
      <c r="G188" s="463">
        <f t="shared" si="190"/>
        <v>10.29</v>
      </c>
      <c r="H188" s="460"/>
      <c r="I188" s="460"/>
      <c r="J188" s="460"/>
      <c r="K188" s="460">
        <v>10.29</v>
      </c>
      <c r="L188" s="460"/>
      <c r="M188" s="460"/>
      <c r="N188" s="460"/>
      <c r="O188" s="459">
        <f t="shared" si="174"/>
        <v>0</v>
      </c>
      <c r="P188" s="460"/>
      <c r="Q188" s="460"/>
      <c r="R188" s="460"/>
      <c r="S188" s="460"/>
      <c r="T188" s="460"/>
      <c r="U188" s="463"/>
      <c r="V188" s="460"/>
      <c r="W188" s="460"/>
      <c r="X188" s="463">
        <f t="shared" si="192"/>
        <v>-4.5</v>
      </c>
      <c r="Y188" s="463">
        <f t="shared" si="193"/>
        <v>-4.5</v>
      </c>
      <c r="Z188" s="460"/>
      <c r="AA188" s="460"/>
      <c r="AB188" s="460"/>
      <c r="AC188" s="460">
        <v>-4.5</v>
      </c>
      <c r="AD188" s="460"/>
      <c r="AE188" s="460"/>
      <c r="AF188" s="459">
        <f t="shared" si="194"/>
        <v>0</v>
      </c>
      <c r="AG188" s="460"/>
      <c r="AH188" s="460"/>
      <c r="AI188" s="460"/>
      <c r="AJ188" s="460"/>
      <c r="AK188" s="460"/>
      <c r="AL188" s="460"/>
      <c r="AM188" s="463">
        <f t="shared" si="178"/>
        <v>5.79</v>
      </c>
      <c r="AN188" s="463">
        <f t="shared" si="179"/>
        <v>5.79</v>
      </c>
      <c r="AO188" s="460">
        <f t="shared" si="180"/>
        <v>0</v>
      </c>
      <c r="AP188" s="460">
        <f t="shared" si="181"/>
        <v>0</v>
      </c>
      <c r="AQ188" s="460">
        <f t="shared" si="182"/>
        <v>0</v>
      </c>
      <c r="AR188" s="460">
        <f t="shared" si="183"/>
        <v>5.79</v>
      </c>
      <c r="AS188" s="460">
        <f t="shared" si="184"/>
        <v>0</v>
      </c>
      <c r="AT188" s="460">
        <f t="shared" si="185"/>
        <v>0</v>
      </c>
      <c r="AU188" s="463">
        <f t="shared" si="186"/>
        <v>0</v>
      </c>
      <c r="AV188" s="460">
        <f t="shared" si="150"/>
        <v>0</v>
      </c>
      <c r="AW188" s="460">
        <f t="shared" si="151"/>
        <v>0</v>
      </c>
      <c r="AX188" s="460">
        <f t="shared" si="187"/>
        <v>0</v>
      </c>
      <c r="AY188" s="460">
        <f t="shared" si="188"/>
        <v>0</v>
      </c>
      <c r="AZ188" s="463">
        <f t="shared" si="189"/>
        <v>0</v>
      </c>
      <c r="BA188" s="482"/>
      <c r="BB188" s="482"/>
    </row>
    <row r="189" s="425" customFormat="1" ht="39" customHeight="1" spans="1:54">
      <c r="A189" s="459">
        <v>184</v>
      </c>
      <c r="B189" s="460" t="s">
        <v>889</v>
      </c>
      <c r="C189" s="460" t="s">
        <v>404</v>
      </c>
      <c r="D189" s="487" t="s">
        <v>437</v>
      </c>
      <c r="E189" s="488" t="s">
        <v>991</v>
      </c>
      <c r="F189" s="463">
        <f t="shared" si="191"/>
        <v>6.79</v>
      </c>
      <c r="G189" s="463">
        <f t="shared" si="190"/>
        <v>6.79</v>
      </c>
      <c r="H189" s="460"/>
      <c r="I189" s="460"/>
      <c r="J189" s="460"/>
      <c r="K189" s="460">
        <v>6.79</v>
      </c>
      <c r="L189" s="460"/>
      <c r="M189" s="460"/>
      <c r="N189" s="460"/>
      <c r="O189" s="459">
        <f t="shared" si="174"/>
        <v>0</v>
      </c>
      <c r="P189" s="460"/>
      <c r="Q189" s="460"/>
      <c r="R189" s="460"/>
      <c r="S189" s="460"/>
      <c r="T189" s="460"/>
      <c r="U189" s="463"/>
      <c r="V189" s="460"/>
      <c r="W189" s="460"/>
      <c r="X189" s="463">
        <f t="shared" si="192"/>
        <v>0</v>
      </c>
      <c r="Y189" s="463">
        <f t="shared" si="193"/>
        <v>0</v>
      </c>
      <c r="Z189" s="460"/>
      <c r="AA189" s="460"/>
      <c r="AB189" s="460"/>
      <c r="AC189" s="460"/>
      <c r="AD189" s="460"/>
      <c r="AE189" s="460"/>
      <c r="AF189" s="459">
        <f t="shared" si="194"/>
        <v>0</v>
      </c>
      <c r="AG189" s="460"/>
      <c r="AH189" s="460"/>
      <c r="AI189" s="460"/>
      <c r="AJ189" s="460"/>
      <c r="AK189" s="460"/>
      <c r="AL189" s="460"/>
      <c r="AM189" s="463">
        <f t="shared" si="178"/>
        <v>6.79</v>
      </c>
      <c r="AN189" s="463">
        <f t="shared" si="179"/>
        <v>6.79</v>
      </c>
      <c r="AO189" s="460">
        <f t="shared" si="180"/>
        <v>0</v>
      </c>
      <c r="AP189" s="460">
        <f t="shared" si="181"/>
        <v>0</v>
      </c>
      <c r="AQ189" s="460">
        <f t="shared" si="182"/>
        <v>0</v>
      </c>
      <c r="AR189" s="460">
        <f t="shared" si="183"/>
        <v>6.79</v>
      </c>
      <c r="AS189" s="460">
        <f t="shared" si="184"/>
        <v>0</v>
      </c>
      <c r="AT189" s="460">
        <f t="shared" si="185"/>
        <v>0</v>
      </c>
      <c r="AU189" s="463">
        <f t="shared" si="186"/>
        <v>0</v>
      </c>
      <c r="AV189" s="460">
        <f t="shared" si="150"/>
        <v>0</v>
      </c>
      <c r="AW189" s="460">
        <f t="shared" si="151"/>
        <v>0</v>
      </c>
      <c r="AX189" s="460">
        <f t="shared" si="187"/>
        <v>0</v>
      </c>
      <c r="AY189" s="460">
        <f t="shared" si="188"/>
        <v>0</v>
      </c>
      <c r="AZ189" s="463">
        <f t="shared" si="189"/>
        <v>0</v>
      </c>
      <c r="BA189" s="482"/>
      <c r="BB189" s="482"/>
    </row>
    <row r="190" s="425" customFormat="1" ht="39" customHeight="1" spans="1:54">
      <c r="A190" s="459">
        <v>185</v>
      </c>
      <c r="B190" s="460" t="s">
        <v>889</v>
      </c>
      <c r="C190" s="460" t="s">
        <v>400</v>
      </c>
      <c r="D190" s="487" t="s">
        <v>1018</v>
      </c>
      <c r="E190" s="488" t="s">
        <v>994</v>
      </c>
      <c r="F190" s="463">
        <f t="shared" si="191"/>
        <v>95.65</v>
      </c>
      <c r="G190" s="463">
        <f t="shared" si="190"/>
        <v>95.65</v>
      </c>
      <c r="H190" s="460"/>
      <c r="I190" s="460"/>
      <c r="J190" s="460"/>
      <c r="K190" s="460">
        <v>95.65</v>
      </c>
      <c r="L190" s="460"/>
      <c r="M190" s="460"/>
      <c r="N190" s="460" t="s">
        <v>1019</v>
      </c>
      <c r="O190" s="459">
        <f t="shared" si="174"/>
        <v>0</v>
      </c>
      <c r="P190" s="460"/>
      <c r="Q190" s="460"/>
      <c r="R190" s="460"/>
      <c r="S190" s="460"/>
      <c r="T190" s="460"/>
      <c r="U190" s="463"/>
      <c r="V190" s="460"/>
      <c r="W190" s="460"/>
      <c r="X190" s="463">
        <f t="shared" si="192"/>
        <v>0</v>
      </c>
      <c r="Y190" s="463">
        <f t="shared" si="193"/>
        <v>0</v>
      </c>
      <c r="Z190" s="460"/>
      <c r="AA190" s="460"/>
      <c r="AB190" s="460"/>
      <c r="AC190" s="460"/>
      <c r="AD190" s="460"/>
      <c r="AE190" s="460"/>
      <c r="AF190" s="459">
        <f t="shared" si="194"/>
        <v>0</v>
      </c>
      <c r="AG190" s="460"/>
      <c r="AH190" s="460"/>
      <c r="AI190" s="460"/>
      <c r="AJ190" s="460"/>
      <c r="AK190" s="460"/>
      <c r="AL190" s="460"/>
      <c r="AM190" s="463">
        <f t="shared" si="178"/>
        <v>95.65</v>
      </c>
      <c r="AN190" s="463">
        <f t="shared" si="179"/>
        <v>95.65</v>
      </c>
      <c r="AO190" s="460">
        <f t="shared" si="180"/>
        <v>0</v>
      </c>
      <c r="AP190" s="460">
        <f t="shared" si="181"/>
        <v>0</v>
      </c>
      <c r="AQ190" s="460">
        <f t="shared" si="182"/>
        <v>0</v>
      </c>
      <c r="AR190" s="460">
        <f t="shared" si="183"/>
        <v>95.65</v>
      </c>
      <c r="AS190" s="460">
        <f t="shared" si="184"/>
        <v>0</v>
      </c>
      <c r="AT190" s="460">
        <f t="shared" si="185"/>
        <v>0</v>
      </c>
      <c r="AU190" s="463">
        <f t="shared" si="186"/>
        <v>0</v>
      </c>
      <c r="AV190" s="460">
        <f t="shared" si="150"/>
        <v>0</v>
      </c>
      <c r="AW190" s="460">
        <f t="shared" si="151"/>
        <v>0</v>
      </c>
      <c r="AX190" s="460">
        <f t="shared" si="187"/>
        <v>0</v>
      </c>
      <c r="AY190" s="460">
        <f t="shared" si="188"/>
        <v>0</v>
      </c>
      <c r="AZ190" s="463">
        <f t="shared" si="189"/>
        <v>0</v>
      </c>
      <c r="BA190" s="482"/>
      <c r="BB190" s="482"/>
    </row>
    <row r="191" s="425" customFormat="1" ht="39" customHeight="1" spans="1:54">
      <c r="A191" s="459">
        <v>186</v>
      </c>
      <c r="B191" s="460" t="s">
        <v>889</v>
      </c>
      <c r="C191" s="460" t="s">
        <v>404</v>
      </c>
      <c r="D191" s="487" t="s">
        <v>438</v>
      </c>
      <c r="E191" s="488" t="s">
        <v>998</v>
      </c>
      <c r="F191" s="463">
        <f t="shared" si="191"/>
        <v>13.82</v>
      </c>
      <c r="G191" s="463">
        <f t="shared" si="190"/>
        <v>13.82</v>
      </c>
      <c r="H191" s="460"/>
      <c r="I191" s="460"/>
      <c r="J191" s="460"/>
      <c r="K191" s="460">
        <v>13.82</v>
      </c>
      <c r="L191" s="460"/>
      <c r="M191" s="460"/>
      <c r="N191" s="460"/>
      <c r="O191" s="459">
        <f t="shared" si="174"/>
        <v>0</v>
      </c>
      <c r="P191" s="460"/>
      <c r="Q191" s="460"/>
      <c r="R191" s="460"/>
      <c r="S191" s="460"/>
      <c r="T191" s="460"/>
      <c r="U191" s="463"/>
      <c r="V191" s="460"/>
      <c r="W191" s="460"/>
      <c r="X191" s="463">
        <f t="shared" si="192"/>
        <v>-6</v>
      </c>
      <c r="Y191" s="463">
        <f t="shared" si="193"/>
        <v>-6</v>
      </c>
      <c r="Z191" s="460"/>
      <c r="AA191" s="460"/>
      <c r="AB191" s="460"/>
      <c r="AC191" s="460">
        <v>-6</v>
      </c>
      <c r="AD191" s="460"/>
      <c r="AE191" s="460"/>
      <c r="AF191" s="459">
        <f t="shared" si="194"/>
        <v>0</v>
      </c>
      <c r="AG191" s="460"/>
      <c r="AH191" s="460"/>
      <c r="AI191" s="460"/>
      <c r="AJ191" s="460"/>
      <c r="AK191" s="460"/>
      <c r="AL191" s="460"/>
      <c r="AM191" s="463">
        <f t="shared" si="178"/>
        <v>7.82</v>
      </c>
      <c r="AN191" s="463">
        <f t="shared" si="179"/>
        <v>7.82</v>
      </c>
      <c r="AO191" s="460">
        <f t="shared" si="180"/>
        <v>0</v>
      </c>
      <c r="AP191" s="460">
        <f t="shared" si="181"/>
        <v>0</v>
      </c>
      <c r="AQ191" s="460">
        <f t="shared" si="182"/>
        <v>0</v>
      </c>
      <c r="AR191" s="460">
        <f t="shared" si="183"/>
        <v>7.82</v>
      </c>
      <c r="AS191" s="460">
        <f t="shared" si="184"/>
        <v>0</v>
      </c>
      <c r="AT191" s="460">
        <f t="shared" si="185"/>
        <v>0</v>
      </c>
      <c r="AU191" s="463">
        <f t="shared" si="186"/>
        <v>0</v>
      </c>
      <c r="AV191" s="460">
        <f t="shared" si="150"/>
        <v>0</v>
      </c>
      <c r="AW191" s="460">
        <f t="shared" si="151"/>
        <v>0</v>
      </c>
      <c r="AX191" s="460">
        <f t="shared" si="187"/>
        <v>0</v>
      </c>
      <c r="AY191" s="460">
        <f t="shared" si="188"/>
        <v>0</v>
      </c>
      <c r="AZ191" s="463">
        <f t="shared" si="189"/>
        <v>0</v>
      </c>
      <c r="BA191" s="482"/>
      <c r="BB191" s="482"/>
    </row>
    <row r="192" s="425" customFormat="1" ht="39" customHeight="1" spans="1:54">
      <c r="A192" s="459">
        <v>187</v>
      </c>
      <c r="B192" s="460" t="s">
        <v>889</v>
      </c>
      <c r="C192" s="460" t="s">
        <v>404</v>
      </c>
      <c r="D192" s="487" t="s">
        <v>439</v>
      </c>
      <c r="E192" s="488" t="s">
        <v>991</v>
      </c>
      <c r="F192" s="463">
        <f t="shared" si="191"/>
        <v>9.93</v>
      </c>
      <c r="G192" s="463">
        <f t="shared" si="190"/>
        <v>9.93</v>
      </c>
      <c r="H192" s="460"/>
      <c r="I192" s="460"/>
      <c r="J192" s="460"/>
      <c r="K192" s="460">
        <v>9.93</v>
      </c>
      <c r="L192" s="460"/>
      <c r="M192" s="460"/>
      <c r="N192" s="460"/>
      <c r="O192" s="459">
        <f t="shared" si="174"/>
        <v>0</v>
      </c>
      <c r="P192" s="460"/>
      <c r="Q192" s="460"/>
      <c r="R192" s="460"/>
      <c r="S192" s="460"/>
      <c r="T192" s="460"/>
      <c r="U192" s="463"/>
      <c r="V192" s="460"/>
      <c r="W192" s="460"/>
      <c r="X192" s="463">
        <f t="shared" si="192"/>
        <v>0</v>
      </c>
      <c r="Y192" s="463">
        <f t="shared" si="193"/>
        <v>0</v>
      </c>
      <c r="Z192" s="460"/>
      <c r="AA192" s="460"/>
      <c r="AB192" s="460"/>
      <c r="AC192" s="460"/>
      <c r="AD192" s="460"/>
      <c r="AE192" s="460"/>
      <c r="AF192" s="459">
        <f t="shared" si="194"/>
        <v>0</v>
      </c>
      <c r="AG192" s="460"/>
      <c r="AH192" s="460"/>
      <c r="AI192" s="460"/>
      <c r="AJ192" s="460"/>
      <c r="AK192" s="460"/>
      <c r="AL192" s="460"/>
      <c r="AM192" s="463">
        <f t="shared" si="178"/>
        <v>9.93</v>
      </c>
      <c r="AN192" s="463">
        <f t="shared" si="179"/>
        <v>9.93</v>
      </c>
      <c r="AO192" s="460">
        <f t="shared" si="180"/>
        <v>0</v>
      </c>
      <c r="AP192" s="460">
        <f t="shared" si="181"/>
        <v>0</v>
      </c>
      <c r="AQ192" s="460">
        <f t="shared" si="182"/>
        <v>0</v>
      </c>
      <c r="AR192" s="460">
        <f t="shared" si="183"/>
        <v>9.93</v>
      </c>
      <c r="AS192" s="460">
        <f t="shared" si="184"/>
        <v>0</v>
      </c>
      <c r="AT192" s="460">
        <f t="shared" si="185"/>
        <v>0</v>
      </c>
      <c r="AU192" s="463">
        <f t="shared" si="186"/>
        <v>0</v>
      </c>
      <c r="AV192" s="460">
        <f t="shared" si="150"/>
        <v>0</v>
      </c>
      <c r="AW192" s="460">
        <f t="shared" si="151"/>
        <v>0</v>
      </c>
      <c r="AX192" s="460">
        <f t="shared" si="187"/>
        <v>0</v>
      </c>
      <c r="AY192" s="460">
        <f t="shared" si="188"/>
        <v>0</v>
      </c>
      <c r="AZ192" s="463">
        <f t="shared" si="189"/>
        <v>0</v>
      </c>
      <c r="BA192" s="482"/>
      <c r="BB192" s="482"/>
    </row>
    <row r="193" s="425" customFormat="1" ht="39" customHeight="1" spans="1:54">
      <c r="A193" s="459">
        <v>188</v>
      </c>
      <c r="B193" s="460" t="s">
        <v>889</v>
      </c>
      <c r="C193" s="460" t="s">
        <v>400</v>
      </c>
      <c r="D193" s="487" t="s">
        <v>1020</v>
      </c>
      <c r="E193" s="488" t="s">
        <v>994</v>
      </c>
      <c r="F193" s="463">
        <f t="shared" si="191"/>
        <v>64.73</v>
      </c>
      <c r="G193" s="463">
        <f t="shared" si="190"/>
        <v>64.73</v>
      </c>
      <c r="H193" s="460"/>
      <c r="I193" s="460"/>
      <c r="J193" s="460"/>
      <c r="K193" s="460">
        <v>64.73</v>
      </c>
      <c r="L193" s="460"/>
      <c r="M193" s="460"/>
      <c r="N193" s="460" t="s">
        <v>1021</v>
      </c>
      <c r="O193" s="459">
        <f t="shared" si="174"/>
        <v>0</v>
      </c>
      <c r="P193" s="460"/>
      <c r="Q193" s="460"/>
      <c r="R193" s="460"/>
      <c r="S193" s="460"/>
      <c r="T193" s="460"/>
      <c r="U193" s="463"/>
      <c r="V193" s="460"/>
      <c r="W193" s="460"/>
      <c r="X193" s="463">
        <f t="shared" si="192"/>
        <v>0</v>
      </c>
      <c r="Y193" s="463">
        <f t="shared" si="193"/>
        <v>0</v>
      </c>
      <c r="Z193" s="460"/>
      <c r="AA193" s="460"/>
      <c r="AB193" s="460"/>
      <c r="AC193" s="460"/>
      <c r="AD193" s="460"/>
      <c r="AE193" s="460"/>
      <c r="AF193" s="459">
        <f t="shared" si="194"/>
        <v>0</v>
      </c>
      <c r="AG193" s="460"/>
      <c r="AH193" s="460"/>
      <c r="AI193" s="460"/>
      <c r="AJ193" s="460"/>
      <c r="AK193" s="460"/>
      <c r="AL193" s="460"/>
      <c r="AM193" s="463">
        <f t="shared" si="178"/>
        <v>64.73</v>
      </c>
      <c r="AN193" s="463">
        <f t="shared" si="179"/>
        <v>64.73</v>
      </c>
      <c r="AO193" s="460">
        <f t="shared" si="180"/>
        <v>0</v>
      </c>
      <c r="AP193" s="460">
        <f t="shared" si="181"/>
        <v>0</v>
      </c>
      <c r="AQ193" s="460">
        <f t="shared" si="182"/>
        <v>0</v>
      </c>
      <c r="AR193" s="460">
        <f t="shared" si="183"/>
        <v>64.73</v>
      </c>
      <c r="AS193" s="460">
        <f t="shared" si="184"/>
        <v>0</v>
      </c>
      <c r="AT193" s="460">
        <f t="shared" si="185"/>
        <v>0</v>
      </c>
      <c r="AU193" s="463">
        <f t="shared" si="186"/>
        <v>0</v>
      </c>
      <c r="AV193" s="460">
        <f t="shared" si="150"/>
        <v>0</v>
      </c>
      <c r="AW193" s="460">
        <f t="shared" si="151"/>
        <v>0</v>
      </c>
      <c r="AX193" s="460">
        <f t="shared" si="187"/>
        <v>0</v>
      </c>
      <c r="AY193" s="460">
        <f t="shared" si="188"/>
        <v>0</v>
      </c>
      <c r="AZ193" s="463">
        <f t="shared" si="189"/>
        <v>0</v>
      </c>
      <c r="BA193" s="482"/>
      <c r="BB193" s="482"/>
    </row>
    <row r="194" s="425" customFormat="1" ht="39" customHeight="1" spans="1:54">
      <c r="A194" s="459">
        <v>189</v>
      </c>
      <c r="B194" s="460" t="s">
        <v>889</v>
      </c>
      <c r="C194" s="460" t="s">
        <v>400</v>
      </c>
      <c r="D194" s="487" t="s">
        <v>440</v>
      </c>
      <c r="E194" s="487" t="s">
        <v>994</v>
      </c>
      <c r="F194" s="463">
        <f t="shared" si="191"/>
        <v>431.23</v>
      </c>
      <c r="G194" s="463">
        <f t="shared" si="190"/>
        <v>431.23</v>
      </c>
      <c r="H194" s="460"/>
      <c r="I194" s="460"/>
      <c r="J194" s="460"/>
      <c r="K194" s="460">
        <v>431.23</v>
      </c>
      <c r="L194" s="460"/>
      <c r="M194" s="460"/>
      <c r="N194" s="460" t="s">
        <v>1022</v>
      </c>
      <c r="O194" s="459">
        <f t="shared" si="174"/>
        <v>0</v>
      </c>
      <c r="P194" s="460"/>
      <c r="Q194" s="460"/>
      <c r="R194" s="460"/>
      <c r="S194" s="460"/>
      <c r="T194" s="460"/>
      <c r="U194" s="463"/>
      <c r="V194" s="460"/>
      <c r="W194" s="460"/>
      <c r="X194" s="463">
        <f t="shared" si="192"/>
        <v>0</v>
      </c>
      <c r="Y194" s="463">
        <f t="shared" si="193"/>
        <v>0</v>
      </c>
      <c r="Z194" s="460"/>
      <c r="AA194" s="460"/>
      <c r="AB194" s="460"/>
      <c r="AC194" s="460"/>
      <c r="AD194" s="460"/>
      <c r="AE194" s="460"/>
      <c r="AF194" s="459">
        <f t="shared" si="194"/>
        <v>0</v>
      </c>
      <c r="AG194" s="460"/>
      <c r="AH194" s="460"/>
      <c r="AI194" s="460"/>
      <c r="AJ194" s="460"/>
      <c r="AK194" s="460"/>
      <c r="AL194" s="460"/>
      <c r="AM194" s="463">
        <f t="shared" si="178"/>
        <v>431.23</v>
      </c>
      <c r="AN194" s="463">
        <f t="shared" si="179"/>
        <v>431.23</v>
      </c>
      <c r="AO194" s="460">
        <f t="shared" si="180"/>
        <v>0</v>
      </c>
      <c r="AP194" s="460">
        <f t="shared" si="181"/>
        <v>0</v>
      </c>
      <c r="AQ194" s="460">
        <f t="shared" si="182"/>
        <v>0</v>
      </c>
      <c r="AR194" s="460">
        <f t="shared" si="183"/>
        <v>431.23</v>
      </c>
      <c r="AS194" s="460">
        <f t="shared" si="184"/>
        <v>0</v>
      </c>
      <c r="AT194" s="460">
        <f t="shared" si="185"/>
        <v>0</v>
      </c>
      <c r="AU194" s="463">
        <f t="shared" si="186"/>
        <v>0</v>
      </c>
      <c r="AV194" s="460">
        <f t="shared" si="150"/>
        <v>0</v>
      </c>
      <c r="AW194" s="460">
        <f t="shared" si="151"/>
        <v>0</v>
      </c>
      <c r="AX194" s="460">
        <f t="shared" si="187"/>
        <v>0</v>
      </c>
      <c r="AY194" s="460">
        <f t="shared" si="188"/>
        <v>0</v>
      </c>
      <c r="AZ194" s="463">
        <f t="shared" si="189"/>
        <v>0</v>
      </c>
      <c r="BA194" s="482"/>
      <c r="BB194" s="482"/>
    </row>
    <row r="195" s="425" customFormat="1" ht="39" customHeight="1" spans="1:54">
      <c r="A195" s="459">
        <v>190</v>
      </c>
      <c r="B195" s="460" t="s">
        <v>889</v>
      </c>
      <c r="C195" s="460" t="s">
        <v>404</v>
      </c>
      <c r="D195" s="487" t="s">
        <v>442</v>
      </c>
      <c r="E195" s="488" t="s">
        <v>998</v>
      </c>
      <c r="F195" s="463">
        <f t="shared" si="191"/>
        <v>33.73</v>
      </c>
      <c r="G195" s="463">
        <f t="shared" si="190"/>
        <v>33.73</v>
      </c>
      <c r="H195" s="460"/>
      <c r="I195" s="460"/>
      <c r="J195" s="460"/>
      <c r="K195" s="460">
        <v>33.73</v>
      </c>
      <c r="L195" s="460"/>
      <c r="M195" s="460"/>
      <c r="N195" s="460"/>
      <c r="O195" s="459">
        <f t="shared" si="174"/>
        <v>0</v>
      </c>
      <c r="P195" s="460"/>
      <c r="Q195" s="460"/>
      <c r="R195" s="460"/>
      <c r="S195" s="460"/>
      <c r="T195" s="460"/>
      <c r="U195" s="463"/>
      <c r="V195" s="460"/>
      <c r="W195" s="460"/>
      <c r="X195" s="463">
        <f t="shared" si="192"/>
        <v>0</v>
      </c>
      <c r="Y195" s="463">
        <f t="shared" si="193"/>
        <v>0</v>
      </c>
      <c r="Z195" s="460"/>
      <c r="AA195" s="460"/>
      <c r="AB195" s="460"/>
      <c r="AC195" s="460"/>
      <c r="AD195" s="460"/>
      <c r="AE195" s="460"/>
      <c r="AF195" s="459">
        <f t="shared" si="194"/>
        <v>0</v>
      </c>
      <c r="AG195" s="460"/>
      <c r="AH195" s="460"/>
      <c r="AI195" s="460"/>
      <c r="AJ195" s="460"/>
      <c r="AK195" s="460"/>
      <c r="AL195" s="460"/>
      <c r="AM195" s="463">
        <f t="shared" si="178"/>
        <v>33.73</v>
      </c>
      <c r="AN195" s="463">
        <f t="shared" si="179"/>
        <v>33.73</v>
      </c>
      <c r="AO195" s="460">
        <f t="shared" si="180"/>
        <v>0</v>
      </c>
      <c r="AP195" s="460">
        <f t="shared" si="181"/>
        <v>0</v>
      </c>
      <c r="AQ195" s="460">
        <f t="shared" si="182"/>
        <v>0</v>
      </c>
      <c r="AR195" s="460">
        <f t="shared" si="183"/>
        <v>33.73</v>
      </c>
      <c r="AS195" s="460">
        <f t="shared" si="184"/>
        <v>0</v>
      </c>
      <c r="AT195" s="460">
        <f t="shared" si="185"/>
        <v>0</v>
      </c>
      <c r="AU195" s="463">
        <f t="shared" si="186"/>
        <v>0</v>
      </c>
      <c r="AV195" s="460">
        <f t="shared" si="150"/>
        <v>0</v>
      </c>
      <c r="AW195" s="460">
        <f t="shared" si="151"/>
        <v>0</v>
      </c>
      <c r="AX195" s="460">
        <f t="shared" si="187"/>
        <v>0</v>
      </c>
      <c r="AY195" s="460">
        <f t="shared" si="188"/>
        <v>0</v>
      </c>
      <c r="AZ195" s="463">
        <f t="shared" si="189"/>
        <v>0</v>
      </c>
      <c r="BA195" s="482"/>
      <c r="BB195" s="482"/>
    </row>
    <row r="196" s="425" customFormat="1" ht="39" customHeight="1" spans="1:54">
      <c r="A196" s="459">
        <v>191</v>
      </c>
      <c r="B196" s="460" t="s">
        <v>889</v>
      </c>
      <c r="C196" s="460" t="s">
        <v>404</v>
      </c>
      <c r="D196" s="487" t="s">
        <v>443</v>
      </c>
      <c r="E196" s="488" t="s">
        <v>991</v>
      </c>
      <c r="F196" s="463">
        <f t="shared" si="191"/>
        <v>8.82</v>
      </c>
      <c r="G196" s="463">
        <f t="shared" si="190"/>
        <v>8.82</v>
      </c>
      <c r="H196" s="460"/>
      <c r="I196" s="460"/>
      <c r="J196" s="460"/>
      <c r="K196" s="460">
        <v>8.82</v>
      </c>
      <c r="L196" s="460"/>
      <c r="M196" s="460"/>
      <c r="N196" s="460"/>
      <c r="O196" s="459">
        <f t="shared" si="174"/>
        <v>0</v>
      </c>
      <c r="P196" s="460"/>
      <c r="Q196" s="460"/>
      <c r="R196" s="460"/>
      <c r="S196" s="460"/>
      <c r="T196" s="460"/>
      <c r="U196" s="463"/>
      <c r="V196" s="460"/>
      <c r="W196" s="460"/>
      <c r="X196" s="463">
        <f t="shared" si="192"/>
        <v>-3</v>
      </c>
      <c r="Y196" s="463">
        <f t="shared" si="193"/>
        <v>-3</v>
      </c>
      <c r="Z196" s="460"/>
      <c r="AA196" s="460"/>
      <c r="AB196" s="460"/>
      <c r="AC196" s="460">
        <v>-3</v>
      </c>
      <c r="AD196" s="460"/>
      <c r="AE196" s="460"/>
      <c r="AF196" s="459">
        <f t="shared" si="194"/>
        <v>0</v>
      </c>
      <c r="AG196" s="460"/>
      <c r="AH196" s="460"/>
      <c r="AI196" s="460"/>
      <c r="AJ196" s="460"/>
      <c r="AK196" s="460"/>
      <c r="AL196" s="460"/>
      <c r="AM196" s="463">
        <f t="shared" si="178"/>
        <v>5.82</v>
      </c>
      <c r="AN196" s="463">
        <f t="shared" si="179"/>
        <v>5.82</v>
      </c>
      <c r="AO196" s="460">
        <f t="shared" si="180"/>
        <v>0</v>
      </c>
      <c r="AP196" s="460">
        <f t="shared" si="181"/>
        <v>0</v>
      </c>
      <c r="AQ196" s="460">
        <f t="shared" si="182"/>
        <v>0</v>
      </c>
      <c r="AR196" s="460">
        <f t="shared" si="183"/>
        <v>5.82</v>
      </c>
      <c r="AS196" s="460">
        <f t="shared" si="184"/>
        <v>0</v>
      </c>
      <c r="AT196" s="460">
        <f t="shared" si="185"/>
        <v>0</v>
      </c>
      <c r="AU196" s="463">
        <f t="shared" si="186"/>
        <v>0</v>
      </c>
      <c r="AV196" s="460">
        <f t="shared" si="150"/>
        <v>0</v>
      </c>
      <c r="AW196" s="460">
        <f t="shared" si="151"/>
        <v>0</v>
      </c>
      <c r="AX196" s="460">
        <f t="shared" si="187"/>
        <v>0</v>
      </c>
      <c r="AY196" s="460">
        <f t="shared" si="188"/>
        <v>0</v>
      </c>
      <c r="AZ196" s="463">
        <f t="shared" si="189"/>
        <v>0</v>
      </c>
      <c r="BA196" s="482"/>
      <c r="BB196" s="482"/>
    </row>
    <row r="197" s="425" customFormat="1" ht="39" customHeight="1" spans="1:54">
      <c r="A197" s="459">
        <v>192</v>
      </c>
      <c r="B197" s="460" t="s">
        <v>889</v>
      </c>
      <c r="C197" s="460" t="s">
        <v>400</v>
      </c>
      <c r="D197" s="487" t="s">
        <v>1023</v>
      </c>
      <c r="E197" s="488" t="s">
        <v>994</v>
      </c>
      <c r="F197" s="463">
        <f t="shared" si="191"/>
        <v>53.44</v>
      </c>
      <c r="G197" s="463">
        <f t="shared" si="190"/>
        <v>53.44</v>
      </c>
      <c r="H197" s="460"/>
      <c r="I197" s="460"/>
      <c r="J197" s="460"/>
      <c r="K197" s="460">
        <v>53.44</v>
      </c>
      <c r="L197" s="460"/>
      <c r="M197" s="460"/>
      <c r="N197" s="460" t="s">
        <v>1024</v>
      </c>
      <c r="O197" s="459">
        <f t="shared" si="174"/>
        <v>0</v>
      </c>
      <c r="P197" s="460"/>
      <c r="Q197" s="460"/>
      <c r="R197" s="460"/>
      <c r="S197" s="460"/>
      <c r="T197" s="460"/>
      <c r="U197" s="463"/>
      <c r="V197" s="460"/>
      <c r="W197" s="460"/>
      <c r="X197" s="463">
        <f t="shared" si="192"/>
        <v>0</v>
      </c>
      <c r="Y197" s="463">
        <f t="shared" si="193"/>
        <v>0</v>
      </c>
      <c r="Z197" s="460"/>
      <c r="AA197" s="460"/>
      <c r="AB197" s="460"/>
      <c r="AC197" s="460"/>
      <c r="AD197" s="460"/>
      <c r="AE197" s="460"/>
      <c r="AF197" s="459">
        <f t="shared" si="194"/>
        <v>0</v>
      </c>
      <c r="AG197" s="460"/>
      <c r="AH197" s="460"/>
      <c r="AI197" s="460"/>
      <c r="AJ197" s="460"/>
      <c r="AK197" s="460"/>
      <c r="AL197" s="460"/>
      <c r="AM197" s="463">
        <f t="shared" si="178"/>
        <v>53.44</v>
      </c>
      <c r="AN197" s="463">
        <f t="shared" si="179"/>
        <v>53.44</v>
      </c>
      <c r="AO197" s="460">
        <f t="shared" si="180"/>
        <v>0</v>
      </c>
      <c r="AP197" s="460">
        <f t="shared" si="181"/>
        <v>0</v>
      </c>
      <c r="AQ197" s="460">
        <f t="shared" si="182"/>
        <v>0</v>
      </c>
      <c r="AR197" s="460">
        <f t="shared" si="183"/>
        <v>53.44</v>
      </c>
      <c r="AS197" s="460">
        <f t="shared" si="184"/>
        <v>0</v>
      </c>
      <c r="AT197" s="460">
        <f t="shared" si="185"/>
        <v>0</v>
      </c>
      <c r="AU197" s="463">
        <f t="shared" si="186"/>
        <v>0</v>
      </c>
      <c r="AV197" s="460">
        <f t="shared" si="150"/>
        <v>0</v>
      </c>
      <c r="AW197" s="460">
        <f t="shared" si="151"/>
        <v>0</v>
      </c>
      <c r="AX197" s="460">
        <f t="shared" si="187"/>
        <v>0</v>
      </c>
      <c r="AY197" s="460">
        <f t="shared" si="188"/>
        <v>0</v>
      </c>
      <c r="AZ197" s="463">
        <f t="shared" si="189"/>
        <v>0</v>
      </c>
      <c r="BA197" s="482"/>
      <c r="BB197" s="482"/>
    </row>
    <row r="198" s="425" customFormat="1" ht="39" customHeight="1" spans="1:54">
      <c r="A198" s="459">
        <v>193</v>
      </c>
      <c r="B198" s="460" t="s">
        <v>889</v>
      </c>
      <c r="C198" s="460" t="s">
        <v>404</v>
      </c>
      <c r="D198" s="487" t="s">
        <v>444</v>
      </c>
      <c r="E198" s="488" t="s">
        <v>991</v>
      </c>
      <c r="F198" s="463">
        <f t="shared" si="191"/>
        <v>8.38</v>
      </c>
      <c r="G198" s="463">
        <f t="shared" si="190"/>
        <v>8.38</v>
      </c>
      <c r="H198" s="460"/>
      <c r="I198" s="460"/>
      <c r="J198" s="460"/>
      <c r="K198" s="460">
        <v>8.38</v>
      </c>
      <c r="L198" s="460"/>
      <c r="M198" s="460"/>
      <c r="N198" s="460"/>
      <c r="O198" s="459">
        <f t="shared" si="174"/>
        <v>0</v>
      </c>
      <c r="P198" s="460"/>
      <c r="Q198" s="460"/>
      <c r="R198" s="460"/>
      <c r="S198" s="460"/>
      <c r="T198" s="460"/>
      <c r="U198" s="463"/>
      <c r="V198" s="460"/>
      <c r="W198" s="460"/>
      <c r="X198" s="463">
        <f t="shared" si="192"/>
        <v>-3</v>
      </c>
      <c r="Y198" s="463">
        <f t="shared" si="193"/>
        <v>-3</v>
      </c>
      <c r="Z198" s="460"/>
      <c r="AA198" s="460"/>
      <c r="AB198" s="460"/>
      <c r="AC198" s="460">
        <v>-3</v>
      </c>
      <c r="AD198" s="460"/>
      <c r="AE198" s="460"/>
      <c r="AF198" s="459">
        <f t="shared" si="194"/>
        <v>0</v>
      </c>
      <c r="AG198" s="460"/>
      <c r="AH198" s="460"/>
      <c r="AI198" s="460"/>
      <c r="AJ198" s="460"/>
      <c r="AK198" s="460"/>
      <c r="AL198" s="460"/>
      <c r="AM198" s="463">
        <f t="shared" si="178"/>
        <v>5.38</v>
      </c>
      <c r="AN198" s="463">
        <f t="shared" si="179"/>
        <v>5.38</v>
      </c>
      <c r="AO198" s="460">
        <f t="shared" si="180"/>
        <v>0</v>
      </c>
      <c r="AP198" s="460">
        <f t="shared" si="181"/>
        <v>0</v>
      </c>
      <c r="AQ198" s="460">
        <f t="shared" si="182"/>
        <v>0</v>
      </c>
      <c r="AR198" s="460">
        <f t="shared" si="183"/>
        <v>5.38</v>
      </c>
      <c r="AS198" s="460">
        <f t="shared" si="184"/>
        <v>0</v>
      </c>
      <c r="AT198" s="460">
        <f t="shared" si="185"/>
        <v>0</v>
      </c>
      <c r="AU198" s="463">
        <f t="shared" si="186"/>
        <v>0</v>
      </c>
      <c r="AV198" s="460">
        <f t="shared" si="150"/>
        <v>0</v>
      </c>
      <c r="AW198" s="460">
        <f t="shared" si="151"/>
        <v>0</v>
      </c>
      <c r="AX198" s="460">
        <f t="shared" si="187"/>
        <v>0</v>
      </c>
      <c r="AY198" s="460">
        <f t="shared" si="188"/>
        <v>0</v>
      </c>
      <c r="AZ198" s="463">
        <f t="shared" si="189"/>
        <v>0</v>
      </c>
      <c r="BA198" s="482"/>
      <c r="BB198" s="482"/>
    </row>
    <row r="199" s="425" customFormat="1" ht="39" customHeight="1" spans="1:54">
      <c r="A199" s="459">
        <v>194</v>
      </c>
      <c r="B199" s="460" t="s">
        <v>889</v>
      </c>
      <c r="C199" s="460" t="s">
        <v>400</v>
      </c>
      <c r="D199" s="487" t="s">
        <v>1025</v>
      </c>
      <c r="E199" s="488" t="s">
        <v>994</v>
      </c>
      <c r="F199" s="463">
        <f t="shared" si="191"/>
        <v>30.32</v>
      </c>
      <c r="G199" s="463">
        <f t="shared" si="190"/>
        <v>30.32</v>
      </c>
      <c r="H199" s="460"/>
      <c r="I199" s="460"/>
      <c r="J199" s="460"/>
      <c r="K199" s="460">
        <v>30.32</v>
      </c>
      <c r="L199" s="460"/>
      <c r="M199" s="460"/>
      <c r="N199" s="460" t="s">
        <v>1026</v>
      </c>
      <c r="O199" s="459">
        <f t="shared" si="174"/>
        <v>0</v>
      </c>
      <c r="P199" s="460"/>
      <c r="Q199" s="460"/>
      <c r="R199" s="460"/>
      <c r="S199" s="460"/>
      <c r="T199" s="460"/>
      <c r="U199" s="463"/>
      <c r="V199" s="460"/>
      <c r="W199" s="460"/>
      <c r="X199" s="463">
        <f t="shared" si="192"/>
        <v>0</v>
      </c>
      <c r="Y199" s="463">
        <f t="shared" si="193"/>
        <v>0</v>
      </c>
      <c r="Z199" s="460"/>
      <c r="AA199" s="460"/>
      <c r="AB199" s="460"/>
      <c r="AC199" s="460"/>
      <c r="AD199" s="460"/>
      <c r="AE199" s="460"/>
      <c r="AF199" s="459">
        <f t="shared" si="194"/>
        <v>0</v>
      </c>
      <c r="AG199" s="460"/>
      <c r="AH199" s="460"/>
      <c r="AI199" s="460"/>
      <c r="AJ199" s="460"/>
      <c r="AK199" s="460"/>
      <c r="AL199" s="460"/>
      <c r="AM199" s="463">
        <f t="shared" si="178"/>
        <v>30.32</v>
      </c>
      <c r="AN199" s="463">
        <f t="shared" si="179"/>
        <v>30.32</v>
      </c>
      <c r="AO199" s="460">
        <f t="shared" si="180"/>
        <v>0</v>
      </c>
      <c r="AP199" s="460">
        <f t="shared" si="181"/>
        <v>0</v>
      </c>
      <c r="AQ199" s="460">
        <f t="shared" si="182"/>
        <v>0</v>
      </c>
      <c r="AR199" s="460">
        <f t="shared" si="183"/>
        <v>30.32</v>
      </c>
      <c r="AS199" s="460">
        <f t="shared" si="184"/>
        <v>0</v>
      </c>
      <c r="AT199" s="460">
        <f t="shared" si="185"/>
        <v>0</v>
      </c>
      <c r="AU199" s="463">
        <f t="shared" si="186"/>
        <v>0</v>
      </c>
      <c r="AV199" s="460">
        <f t="shared" si="150"/>
        <v>0</v>
      </c>
      <c r="AW199" s="460">
        <f t="shared" si="151"/>
        <v>0</v>
      </c>
      <c r="AX199" s="460">
        <f t="shared" si="187"/>
        <v>0</v>
      </c>
      <c r="AY199" s="460">
        <f t="shared" si="188"/>
        <v>0</v>
      </c>
      <c r="AZ199" s="463">
        <f t="shared" si="189"/>
        <v>0</v>
      </c>
      <c r="BA199" s="482"/>
      <c r="BB199" s="482"/>
    </row>
    <row r="200" s="425" customFormat="1" ht="39" customHeight="1" spans="1:54">
      <c r="A200" s="459">
        <v>195</v>
      </c>
      <c r="B200" s="460" t="s">
        <v>889</v>
      </c>
      <c r="C200" s="460" t="s">
        <v>404</v>
      </c>
      <c r="D200" s="487" t="s">
        <v>445</v>
      </c>
      <c r="E200" s="488" t="s">
        <v>998</v>
      </c>
      <c r="F200" s="463">
        <f t="shared" si="191"/>
        <v>7.46</v>
      </c>
      <c r="G200" s="463">
        <f t="shared" si="190"/>
        <v>7.46</v>
      </c>
      <c r="H200" s="460"/>
      <c r="I200" s="460"/>
      <c r="J200" s="460"/>
      <c r="K200" s="460">
        <v>7.46</v>
      </c>
      <c r="L200" s="460"/>
      <c r="M200" s="460"/>
      <c r="N200" s="460"/>
      <c r="O200" s="459">
        <f t="shared" si="174"/>
        <v>0</v>
      </c>
      <c r="P200" s="460"/>
      <c r="Q200" s="460"/>
      <c r="R200" s="460"/>
      <c r="S200" s="460"/>
      <c r="T200" s="460"/>
      <c r="U200" s="463"/>
      <c r="V200" s="460"/>
      <c r="W200" s="460"/>
      <c r="X200" s="463">
        <f t="shared" si="192"/>
        <v>-2.06</v>
      </c>
      <c r="Y200" s="463">
        <f t="shared" si="193"/>
        <v>-2.06</v>
      </c>
      <c r="Z200" s="460"/>
      <c r="AA200" s="460"/>
      <c r="AB200" s="460"/>
      <c r="AC200" s="460">
        <v>-2.06</v>
      </c>
      <c r="AD200" s="460"/>
      <c r="AE200" s="460"/>
      <c r="AF200" s="459">
        <f t="shared" si="194"/>
        <v>0</v>
      </c>
      <c r="AG200" s="460"/>
      <c r="AH200" s="460"/>
      <c r="AI200" s="460"/>
      <c r="AJ200" s="460"/>
      <c r="AK200" s="460"/>
      <c r="AL200" s="460"/>
      <c r="AM200" s="463">
        <f t="shared" si="178"/>
        <v>5.4</v>
      </c>
      <c r="AN200" s="463">
        <f t="shared" si="179"/>
        <v>5.4</v>
      </c>
      <c r="AO200" s="460">
        <f t="shared" si="180"/>
        <v>0</v>
      </c>
      <c r="AP200" s="460">
        <f t="shared" si="181"/>
        <v>0</v>
      </c>
      <c r="AQ200" s="460">
        <f t="shared" si="182"/>
        <v>0</v>
      </c>
      <c r="AR200" s="460">
        <f t="shared" si="183"/>
        <v>5.4</v>
      </c>
      <c r="AS200" s="460">
        <f t="shared" si="184"/>
        <v>0</v>
      </c>
      <c r="AT200" s="460">
        <f t="shared" si="185"/>
        <v>0</v>
      </c>
      <c r="AU200" s="463">
        <f t="shared" si="186"/>
        <v>0</v>
      </c>
      <c r="AV200" s="460">
        <f t="shared" si="150"/>
        <v>0</v>
      </c>
      <c r="AW200" s="460">
        <f t="shared" si="151"/>
        <v>0</v>
      </c>
      <c r="AX200" s="460">
        <f t="shared" si="187"/>
        <v>0</v>
      </c>
      <c r="AY200" s="460">
        <f t="shared" si="188"/>
        <v>0</v>
      </c>
      <c r="AZ200" s="463">
        <f t="shared" si="189"/>
        <v>0</v>
      </c>
      <c r="BA200" s="482"/>
      <c r="BB200" s="482"/>
    </row>
    <row r="201" s="425" customFormat="1" ht="39" customHeight="1" spans="1:54">
      <c r="A201" s="459">
        <v>196</v>
      </c>
      <c r="B201" s="460" t="s">
        <v>889</v>
      </c>
      <c r="C201" s="460" t="s">
        <v>404</v>
      </c>
      <c r="D201" s="487" t="s">
        <v>446</v>
      </c>
      <c r="E201" s="488" t="s">
        <v>998</v>
      </c>
      <c r="F201" s="463">
        <f t="shared" si="191"/>
        <v>14.73</v>
      </c>
      <c r="G201" s="463">
        <f t="shared" si="190"/>
        <v>14.73</v>
      </c>
      <c r="H201" s="460"/>
      <c r="I201" s="460"/>
      <c r="J201" s="460"/>
      <c r="K201" s="460">
        <v>14.73</v>
      </c>
      <c r="L201" s="460"/>
      <c r="M201" s="460"/>
      <c r="N201" s="460"/>
      <c r="O201" s="459">
        <f t="shared" si="174"/>
        <v>0</v>
      </c>
      <c r="P201" s="460"/>
      <c r="Q201" s="460"/>
      <c r="R201" s="460"/>
      <c r="S201" s="460"/>
      <c r="T201" s="460"/>
      <c r="U201" s="463"/>
      <c r="V201" s="460"/>
      <c r="W201" s="460"/>
      <c r="X201" s="463">
        <f t="shared" si="192"/>
        <v>-6</v>
      </c>
      <c r="Y201" s="463">
        <f t="shared" si="193"/>
        <v>-6</v>
      </c>
      <c r="Z201" s="460"/>
      <c r="AA201" s="460"/>
      <c r="AB201" s="460"/>
      <c r="AC201" s="460">
        <v>-6</v>
      </c>
      <c r="AD201" s="460"/>
      <c r="AE201" s="460"/>
      <c r="AF201" s="459">
        <f t="shared" si="194"/>
        <v>0</v>
      </c>
      <c r="AG201" s="460"/>
      <c r="AH201" s="460"/>
      <c r="AI201" s="460"/>
      <c r="AJ201" s="460"/>
      <c r="AK201" s="460"/>
      <c r="AL201" s="460"/>
      <c r="AM201" s="463">
        <f t="shared" si="178"/>
        <v>8.73</v>
      </c>
      <c r="AN201" s="463">
        <f t="shared" si="179"/>
        <v>8.73</v>
      </c>
      <c r="AO201" s="460">
        <f t="shared" si="180"/>
        <v>0</v>
      </c>
      <c r="AP201" s="460">
        <f t="shared" si="181"/>
        <v>0</v>
      </c>
      <c r="AQ201" s="460">
        <f t="shared" si="182"/>
        <v>0</v>
      </c>
      <c r="AR201" s="460">
        <f t="shared" si="183"/>
        <v>8.73</v>
      </c>
      <c r="AS201" s="460">
        <f t="shared" si="184"/>
        <v>0</v>
      </c>
      <c r="AT201" s="460">
        <f t="shared" si="185"/>
        <v>0</v>
      </c>
      <c r="AU201" s="463">
        <f t="shared" si="186"/>
        <v>0</v>
      </c>
      <c r="AV201" s="460">
        <f t="shared" si="150"/>
        <v>0</v>
      </c>
      <c r="AW201" s="460">
        <f t="shared" si="151"/>
        <v>0</v>
      </c>
      <c r="AX201" s="460">
        <f t="shared" si="187"/>
        <v>0</v>
      </c>
      <c r="AY201" s="460">
        <f t="shared" si="188"/>
        <v>0</v>
      </c>
      <c r="AZ201" s="463">
        <f t="shared" si="189"/>
        <v>0</v>
      </c>
      <c r="BA201" s="482"/>
      <c r="BB201" s="482"/>
    </row>
    <row r="202" s="425" customFormat="1" ht="39" customHeight="1" spans="1:54">
      <c r="A202" s="459">
        <v>197</v>
      </c>
      <c r="B202" s="460" t="s">
        <v>889</v>
      </c>
      <c r="C202" s="460" t="s">
        <v>404</v>
      </c>
      <c r="D202" s="487" t="s">
        <v>447</v>
      </c>
      <c r="E202" s="488" t="s">
        <v>991</v>
      </c>
      <c r="F202" s="463">
        <f t="shared" si="191"/>
        <v>8.68</v>
      </c>
      <c r="G202" s="463">
        <f t="shared" si="190"/>
        <v>8.68</v>
      </c>
      <c r="H202" s="460"/>
      <c r="I202" s="460"/>
      <c r="J202" s="460"/>
      <c r="K202" s="460">
        <v>8.68</v>
      </c>
      <c r="L202" s="460"/>
      <c r="M202" s="460"/>
      <c r="N202" s="460"/>
      <c r="O202" s="459">
        <f t="shared" si="174"/>
        <v>0</v>
      </c>
      <c r="P202" s="460"/>
      <c r="Q202" s="460"/>
      <c r="R202" s="460"/>
      <c r="S202" s="460"/>
      <c r="T202" s="460"/>
      <c r="U202" s="463"/>
      <c r="V202" s="460"/>
      <c r="W202" s="460"/>
      <c r="X202" s="463">
        <f t="shared" si="192"/>
        <v>-1.5</v>
      </c>
      <c r="Y202" s="463">
        <f t="shared" si="193"/>
        <v>-1.5</v>
      </c>
      <c r="Z202" s="460"/>
      <c r="AA202" s="460"/>
      <c r="AB202" s="460"/>
      <c r="AC202" s="460">
        <v>-1.5</v>
      </c>
      <c r="AD202" s="460"/>
      <c r="AE202" s="460"/>
      <c r="AF202" s="459">
        <f t="shared" si="194"/>
        <v>0</v>
      </c>
      <c r="AG202" s="460"/>
      <c r="AH202" s="460"/>
      <c r="AI202" s="460"/>
      <c r="AJ202" s="460"/>
      <c r="AK202" s="460"/>
      <c r="AL202" s="460"/>
      <c r="AM202" s="463">
        <f t="shared" si="178"/>
        <v>7.18</v>
      </c>
      <c r="AN202" s="463">
        <f t="shared" si="179"/>
        <v>7.18</v>
      </c>
      <c r="AO202" s="460">
        <f t="shared" si="180"/>
        <v>0</v>
      </c>
      <c r="AP202" s="460">
        <f t="shared" si="181"/>
        <v>0</v>
      </c>
      <c r="AQ202" s="460">
        <f t="shared" si="182"/>
        <v>0</v>
      </c>
      <c r="AR202" s="460">
        <f t="shared" si="183"/>
        <v>7.18</v>
      </c>
      <c r="AS202" s="460">
        <f t="shared" si="184"/>
        <v>0</v>
      </c>
      <c r="AT202" s="460">
        <f t="shared" si="185"/>
        <v>0</v>
      </c>
      <c r="AU202" s="463">
        <f t="shared" si="186"/>
        <v>0</v>
      </c>
      <c r="AV202" s="460">
        <f t="shared" si="150"/>
        <v>0</v>
      </c>
      <c r="AW202" s="460">
        <f t="shared" si="151"/>
        <v>0</v>
      </c>
      <c r="AX202" s="460">
        <f t="shared" si="187"/>
        <v>0</v>
      </c>
      <c r="AY202" s="460">
        <f t="shared" si="188"/>
        <v>0</v>
      </c>
      <c r="AZ202" s="463">
        <f t="shared" si="189"/>
        <v>0</v>
      </c>
      <c r="BA202" s="482"/>
      <c r="BB202" s="482"/>
    </row>
    <row r="203" s="425" customFormat="1" ht="39" customHeight="1" spans="1:54">
      <c r="A203" s="459">
        <v>198</v>
      </c>
      <c r="B203" s="460" t="s">
        <v>889</v>
      </c>
      <c r="C203" s="460" t="s">
        <v>400</v>
      </c>
      <c r="D203" s="487" t="s">
        <v>1027</v>
      </c>
      <c r="E203" s="488" t="s">
        <v>994</v>
      </c>
      <c r="F203" s="463">
        <f t="shared" si="191"/>
        <v>92.36</v>
      </c>
      <c r="G203" s="463">
        <f t="shared" si="190"/>
        <v>92.36</v>
      </c>
      <c r="H203" s="460"/>
      <c r="I203" s="460"/>
      <c r="J203" s="460"/>
      <c r="K203" s="460">
        <v>92.36</v>
      </c>
      <c r="L203" s="460"/>
      <c r="M203" s="460"/>
      <c r="N203" s="460" t="s">
        <v>1028</v>
      </c>
      <c r="O203" s="459">
        <f t="shared" si="174"/>
        <v>0</v>
      </c>
      <c r="P203" s="460"/>
      <c r="Q203" s="460"/>
      <c r="R203" s="460"/>
      <c r="S203" s="460"/>
      <c r="T203" s="460"/>
      <c r="U203" s="463"/>
      <c r="V203" s="460"/>
      <c r="W203" s="460"/>
      <c r="X203" s="463">
        <f t="shared" si="192"/>
        <v>0</v>
      </c>
      <c r="Y203" s="463">
        <f t="shared" si="193"/>
        <v>0</v>
      </c>
      <c r="Z203" s="460"/>
      <c r="AA203" s="460"/>
      <c r="AB203" s="460"/>
      <c r="AC203" s="460"/>
      <c r="AD203" s="460"/>
      <c r="AE203" s="460"/>
      <c r="AF203" s="459">
        <f t="shared" si="194"/>
        <v>0</v>
      </c>
      <c r="AG203" s="460"/>
      <c r="AH203" s="460"/>
      <c r="AI203" s="460"/>
      <c r="AJ203" s="460"/>
      <c r="AK203" s="460"/>
      <c r="AL203" s="460"/>
      <c r="AM203" s="463">
        <f t="shared" si="178"/>
        <v>92.36</v>
      </c>
      <c r="AN203" s="463">
        <f t="shared" si="179"/>
        <v>92.36</v>
      </c>
      <c r="AO203" s="460">
        <f t="shared" si="180"/>
        <v>0</v>
      </c>
      <c r="AP203" s="460">
        <f t="shared" si="181"/>
        <v>0</v>
      </c>
      <c r="AQ203" s="460">
        <f t="shared" si="182"/>
        <v>0</v>
      </c>
      <c r="AR203" s="460">
        <f t="shared" si="183"/>
        <v>92.36</v>
      </c>
      <c r="AS203" s="460">
        <f t="shared" si="184"/>
        <v>0</v>
      </c>
      <c r="AT203" s="460">
        <f t="shared" si="185"/>
        <v>0</v>
      </c>
      <c r="AU203" s="463">
        <f t="shared" si="186"/>
        <v>0</v>
      </c>
      <c r="AV203" s="460">
        <f t="shared" si="150"/>
        <v>0</v>
      </c>
      <c r="AW203" s="460">
        <f t="shared" si="151"/>
        <v>0</v>
      </c>
      <c r="AX203" s="460">
        <f t="shared" si="187"/>
        <v>0</v>
      </c>
      <c r="AY203" s="460">
        <f t="shared" si="188"/>
        <v>0</v>
      </c>
      <c r="AZ203" s="463">
        <f t="shared" si="189"/>
        <v>0</v>
      </c>
      <c r="BA203" s="482"/>
      <c r="BB203" s="482"/>
    </row>
    <row r="204" s="425" customFormat="1" ht="39" customHeight="1" spans="1:54">
      <c r="A204" s="459">
        <v>199</v>
      </c>
      <c r="B204" s="460" t="s">
        <v>889</v>
      </c>
      <c r="C204" s="460" t="s">
        <v>404</v>
      </c>
      <c r="D204" s="487" t="s">
        <v>448</v>
      </c>
      <c r="E204" s="488" t="s">
        <v>998</v>
      </c>
      <c r="F204" s="463">
        <f t="shared" si="191"/>
        <v>9.95</v>
      </c>
      <c r="G204" s="463">
        <f t="shared" si="190"/>
        <v>9.95</v>
      </c>
      <c r="H204" s="460"/>
      <c r="I204" s="460"/>
      <c r="J204" s="460"/>
      <c r="K204" s="460">
        <v>9.95</v>
      </c>
      <c r="L204" s="460"/>
      <c r="M204" s="460"/>
      <c r="N204" s="460"/>
      <c r="O204" s="459">
        <f t="shared" si="174"/>
        <v>0</v>
      </c>
      <c r="P204" s="460"/>
      <c r="Q204" s="460"/>
      <c r="R204" s="460"/>
      <c r="S204" s="460"/>
      <c r="T204" s="460"/>
      <c r="U204" s="463"/>
      <c r="V204" s="460"/>
      <c r="W204" s="460"/>
      <c r="X204" s="463">
        <f t="shared" si="192"/>
        <v>-4.5</v>
      </c>
      <c r="Y204" s="463">
        <f t="shared" si="193"/>
        <v>-4.5</v>
      </c>
      <c r="Z204" s="460"/>
      <c r="AA204" s="460"/>
      <c r="AB204" s="460"/>
      <c r="AC204" s="460">
        <v>-4.5</v>
      </c>
      <c r="AD204" s="460"/>
      <c r="AE204" s="460"/>
      <c r="AF204" s="459">
        <f t="shared" si="194"/>
        <v>0</v>
      </c>
      <c r="AG204" s="460"/>
      <c r="AH204" s="460"/>
      <c r="AI204" s="460"/>
      <c r="AJ204" s="460"/>
      <c r="AK204" s="460"/>
      <c r="AL204" s="460"/>
      <c r="AM204" s="463">
        <f t="shared" si="178"/>
        <v>5.45</v>
      </c>
      <c r="AN204" s="463">
        <f t="shared" si="179"/>
        <v>5.45</v>
      </c>
      <c r="AO204" s="460">
        <f t="shared" si="180"/>
        <v>0</v>
      </c>
      <c r="AP204" s="460">
        <f t="shared" si="181"/>
        <v>0</v>
      </c>
      <c r="AQ204" s="460">
        <f t="shared" si="182"/>
        <v>0</v>
      </c>
      <c r="AR204" s="460">
        <f t="shared" si="183"/>
        <v>5.45</v>
      </c>
      <c r="AS204" s="460">
        <f t="shared" si="184"/>
        <v>0</v>
      </c>
      <c r="AT204" s="460">
        <f t="shared" si="185"/>
        <v>0</v>
      </c>
      <c r="AU204" s="463">
        <f t="shared" si="186"/>
        <v>0</v>
      </c>
      <c r="AV204" s="460">
        <f t="shared" si="150"/>
        <v>0</v>
      </c>
      <c r="AW204" s="460">
        <f t="shared" si="151"/>
        <v>0</v>
      </c>
      <c r="AX204" s="460">
        <f t="shared" si="187"/>
        <v>0</v>
      </c>
      <c r="AY204" s="460">
        <f t="shared" si="188"/>
        <v>0</v>
      </c>
      <c r="AZ204" s="463">
        <f t="shared" si="189"/>
        <v>0</v>
      </c>
      <c r="BA204" s="482"/>
      <c r="BB204" s="482"/>
    </row>
    <row r="205" s="425" customFormat="1" ht="39" customHeight="1" spans="1:54">
      <c r="A205" s="459">
        <v>200</v>
      </c>
      <c r="B205" s="460" t="s">
        <v>889</v>
      </c>
      <c r="C205" s="460" t="s">
        <v>404</v>
      </c>
      <c r="D205" s="487" t="s">
        <v>449</v>
      </c>
      <c r="E205" s="488" t="s">
        <v>991</v>
      </c>
      <c r="F205" s="463">
        <f t="shared" si="191"/>
        <v>9.68</v>
      </c>
      <c r="G205" s="463">
        <f t="shared" si="190"/>
        <v>9.68</v>
      </c>
      <c r="H205" s="460"/>
      <c r="I205" s="460"/>
      <c r="J205" s="460"/>
      <c r="K205" s="460">
        <v>9.68</v>
      </c>
      <c r="L205" s="460"/>
      <c r="M205" s="460"/>
      <c r="N205" s="460"/>
      <c r="O205" s="459">
        <f t="shared" si="174"/>
        <v>0</v>
      </c>
      <c r="P205" s="460"/>
      <c r="Q205" s="460"/>
      <c r="R205" s="460"/>
      <c r="S205" s="460"/>
      <c r="T205" s="460"/>
      <c r="U205" s="463"/>
      <c r="V205" s="460"/>
      <c r="W205" s="460"/>
      <c r="X205" s="463">
        <f t="shared" si="192"/>
        <v>-1.5</v>
      </c>
      <c r="Y205" s="463">
        <f t="shared" si="193"/>
        <v>-1.5</v>
      </c>
      <c r="Z205" s="460"/>
      <c r="AA205" s="460"/>
      <c r="AB205" s="460"/>
      <c r="AC205" s="460">
        <v>-1.5</v>
      </c>
      <c r="AD205" s="460"/>
      <c r="AE205" s="460"/>
      <c r="AF205" s="459">
        <f t="shared" si="194"/>
        <v>0</v>
      </c>
      <c r="AG205" s="460"/>
      <c r="AH205" s="460"/>
      <c r="AI205" s="460"/>
      <c r="AJ205" s="460"/>
      <c r="AK205" s="460"/>
      <c r="AL205" s="460"/>
      <c r="AM205" s="463">
        <f t="shared" si="178"/>
        <v>8.18</v>
      </c>
      <c r="AN205" s="463">
        <f t="shared" si="179"/>
        <v>8.18</v>
      </c>
      <c r="AO205" s="460">
        <f t="shared" si="180"/>
        <v>0</v>
      </c>
      <c r="AP205" s="460">
        <f t="shared" si="181"/>
        <v>0</v>
      </c>
      <c r="AQ205" s="460">
        <f t="shared" si="182"/>
        <v>0</v>
      </c>
      <c r="AR205" s="460">
        <f t="shared" si="183"/>
        <v>8.18</v>
      </c>
      <c r="AS205" s="460">
        <f t="shared" si="184"/>
        <v>0</v>
      </c>
      <c r="AT205" s="460">
        <f t="shared" si="185"/>
        <v>0</v>
      </c>
      <c r="AU205" s="463">
        <f t="shared" si="186"/>
        <v>0</v>
      </c>
      <c r="AV205" s="460">
        <f t="shared" si="150"/>
        <v>0</v>
      </c>
      <c r="AW205" s="460">
        <f t="shared" si="151"/>
        <v>0</v>
      </c>
      <c r="AX205" s="460">
        <f t="shared" si="187"/>
        <v>0</v>
      </c>
      <c r="AY205" s="460">
        <f t="shared" si="188"/>
        <v>0</v>
      </c>
      <c r="AZ205" s="463">
        <f t="shared" si="189"/>
        <v>0</v>
      </c>
      <c r="BA205" s="482"/>
      <c r="BB205" s="482"/>
    </row>
    <row r="206" s="425" customFormat="1" ht="39" customHeight="1" spans="1:54">
      <c r="A206" s="459">
        <v>201</v>
      </c>
      <c r="B206" s="460" t="s">
        <v>889</v>
      </c>
      <c r="C206" s="460" t="s">
        <v>400</v>
      </c>
      <c r="D206" s="487" t="s">
        <v>1029</v>
      </c>
      <c r="E206" s="488" t="s">
        <v>994</v>
      </c>
      <c r="F206" s="463">
        <f t="shared" si="191"/>
        <v>69.88</v>
      </c>
      <c r="G206" s="463">
        <f t="shared" si="190"/>
        <v>69.88</v>
      </c>
      <c r="H206" s="460"/>
      <c r="I206" s="460"/>
      <c r="J206" s="460"/>
      <c r="K206" s="460">
        <v>69.88</v>
      </c>
      <c r="L206" s="460"/>
      <c r="M206" s="460"/>
      <c r="N206" s="460" t="s">
        <v>1030</v>
      </c>
      <c r="O206" s="459">
        <f t="shared" si="174"/>
        <v>0</v>
      </c>
      <c r="P206" s="460"/>
      <c r="Q206" s="460"/>
      <c r="R206" s="460"/>
      <c r="S206" s="460"/>
      <c r="T206" s="460"/>
      <c r="U206" s="463"/>
      <c r="V206" s="460"/>
      <c r="W206" s="460"/>
      <c r="X206" s="463">
        <f t="shared" si="192"/>
        <v>0</v>
      </c>
      <c r="Y206" s="463">
        <f t="shared" si="193"/>
        <v>0</v>
      </c>
      <c r="Z206" s="460"/>
      <c r="AA206" s="460"/>
      <c r="AB206" s="460"/>
      <c r="AC206" s="460"/>
      <c r="AD206" s="460"/>
      <c r="AE206" s="460"/>
      <c r="AF206" s="459">
        <f t="shared" si="194"/>
        <v>0</v>
      </c>
      <c r="AG206" s="460"/>
      <c r="AH206" s="460"/>
      <c r="AI206" s="460"/>
      <c r="AJ206" s="460"/>
      <c r="AK206" s="460"/>
      <c r="AL206" s="460"/>
      <c r="AM206" s="463">
        <f t="shared" si="178"/>
        <v>69.88</v>
      </c>
      <c r="AN206" s="463">
        <f t="shared" si="179"/>
        <v>69.88</v>
      </c>
      <c r="AO206" s="460">
        <f t="shared" si="180"/>
        <v>0</v>
      </c>
      <c r="AP206" s="460">
        <f t="shared" si="181"/>
        <v>0</v>
      </c>
      <c r="AQ206" s="460">
        <f t="shared" si="182"/>
        <v>0</v>
      </c>
      <c r="AR206" s="460">
        <f t="shared" si="183"/>
        <v>69.88</v>
      </c>
      <c r="AS206" s="460">
        <f t="shared" si="184"/>
        <v>0</v>
      </c>
      <c r="AT206" s="460">
        <f t="shared" si="185"/>
        <v>0</v>
      </c>
      <c r="AU206" s="463">
        <f t="shared" si="186"/>
        <v>0</v>
      </c>
      <c r="AV206" s="460">
        <f t="shared" si="150"/>
        <v>0</v>
      </c>
      <c r="AW206" s="460">
        <f t="shared" si="151"/>
        <v>0</v>
      </c>
      <c r="AX206" s="460">
        <f t="shared" si="187"/>
        <v>0</v>
      </c>
      <c r="AY206" s="460">
        <f t="shared" si="188"/>
        <v>0</v>
      </c>
      <c r="AZ206" s="463">
        <f t="shared" si="189"/>
        <v>0</v>
      </c>
      <c r="BA206" s="482"/>
      <c r="BB206" s="482"/>
    </row>
    <row r="207" s="425" customFormat="1" ht="39" customHeight="1" spans="1:54">
      <c r="A207" s="459">
        <v>202</v>
      </c>
      <c r="B207" s="460" t="s">
        <v>889</v>
      </c>
      <c r="C207" s="460" t="s">
        <v>404</v>
      </c>
      <c r="D207" s="487" t="s">
        <v>450</v>
      </c>
      <c r="E207" s="488" t="s">
        <v>998</v>
      </c>
      <c r="F207" s="463">
        <f t="shared" si="191"/>
        <v>22.34</v>
      </c>
      <c r="G207" s="463">
        <f t="shared" si="190"/>
        <v>22.34</v>
      </c>
      <c r="H207" s="460"/>
      <c r="I207" s="460"/>
      <c r="J207" s="460"/>
      <c r="K207" s="460">
        <v>22.34</v>
      </c>
      <c r="L207" s="460"/>
      <c r="M207" s="460"/>
      <c r="N207" s="460"/>
      <c r="O207" s="459">
        <f t="shared" si="174"/>
        <v>0</v>
      </c>
      <c r="P207" s="460"/>
      <c r="Q207" s="460"/>
      <c r="R207" s="460"/>
      <c r="S207" s="460"/>
      <c r="T207" s="460"/>
      <c r="U207" s="463"/>
      <c r="V207" s="460"/>
      <c r="W207" s="460"/>
      <c r="X207" s="463">
        <f t="shared" si="192"/>
        <v>-6</v>
      </c>
      <c r="Y207" s="463">
        <f t="shared" si="193"/>
        <v>-6</v>
      </c>
      <c r="Z207" s="460"/>
      <c r="AA207" s="460"/>
      <c r="AB207" s="460"/>
      <c r="AC207" s="460">
        <v>-6</v>
      </c>
      <c r="AD207" s="460"/>
      <c r="AE207" s="460"/>
      <c r="AF207" s="459">
        <f t="shared" si="194"/>
        <v>0</v>
      </c>
      <c r="AG207" s="460"/>
      <c r="AH207" s="460"/>
      <c r="AI207" s="460"/>
      <c r="AJ207" s="460"/>
      <c r="AK207" s="460"/>
      <c r="AL207" s="460"/>
      <c r="AM207" s="463">
        <f t="shared" si="178"/>
        <v>16.34</v>
      </c>
      <c r="AN207" s="463">
        <f t="shared" si="179"/>
        <v>16.34</v>
      </c>
      <c r="AO207" s="460">
        <f t="shared" si="180"/>
        <v>0</v>
      </c>
      <c r="AP207" s="460">
        <f t="shared" si="181"/>
        <v>0</v>
      </c>
      <c r="AQ207" s="460">
        <f t="shared" si="182"/>
        <v>0</v>
      </c>
      <c r="AR207" s="460">
        <f t="shared" si="183"/>
        <v>16.34</v>
      </c>
      <c r="AS207" s="460">
        <f t="shared" si="184"/>
        <v>0</v>
      </c>
      <c r="AT207" s="460">
        <f t="shared" si="185"/>
        <v>0</v>
      </c>
      <c r="AU207" s="463">
        <f t="shared" si="186"/>
        <v>0</v>
      </c>
      <c r="AV207" s="460">
        <f t="shared" si="150"/>
        <v>0</v>
      </c>
      <c r="AW207" s="460">
        <f t="shared" si="151"/>
        <v>0</v>
      </c>
      <c r="AX207" s="460">
        <f t="shared" si="187"/>
        <v>0</v>
      </c>
      <c r="AY207" s="460">
        <f t="shared" si="188"/>
        <v>0</v>
      </c>
      <c r="AZ207" s="463">
        <f t="shared" si="189"/>
        <v>0</v>
      </c>
      <c r="BA207" s="482"/>
      <c r="BB207" s="482"/>
    </row>
    <row r="208" s="425" customFormat="1" ht="39" customHeight="1" spans="1:54">
      <c r="A208" s="459">
        <v>203</v>
      </c>
      <c r="B208" s="460" t="s">
        <v>889</v>
      </c>
      <c r="C208" s="460" t="s">
        <v>404</v>
      </c>
      <c r="D208" s="487" t="s">
        <v>451</v>
      </c>
      <c r="E208" s="488" t="s">
        <v>991</v>
      </c>
      <c r="F208" s="463">
        <f t="shared" si="191"/>
        <v>31.01</v>
      </c>
      <c r="G208" s="463">
        <f t="shared" si="190"/>
        <v>31.01</v>
      </c>
      <c r="H208" s="460"/>
      <c r="I208" s="460"/>
      <c r="J208" s="460"/>
      <c r="K208" s="460">
        <v>31.01</v>
      </c>
      <c r="L208" s="460"/>
      <c r="M208" s="460"/>
      <c r="N208" s="460"/>
      <c r="O208" s="459">
        <f t="shared" si="174"/>
        <v>0</v>
      </c>
      <c r="P208" s="460"/>
      <c r="Q208" s="460"/>
      <c r="R208" s="460"/>
      <c r="S208" s="460"/>
      <c r="T208" s="460"/>
      <c r="U208" s="463"/>
      <c r="V208" s="460"/>
      <c r="W208" s="460"/>
      <c r="X208" s="463">
        <f t="shared" si="192"/>
        <v>0</v>
      </c>
      <c r="Y208" s="463">
        <f t="shared" si="193"/>
        <v>0</v>
      </c>
      <c r="Z208" s="460"/>
      <c r="AA208" s="460"/>
      <c r="AB208" s="460"/>
      <c r="AC208" s="460"/>
      <c r="AD208" s="460"/>
      <c r="AE208" s="460"/>
      <c r="AF208" s="459">
        <f t="shared" si="194"/>
        <v>0</v>
      </c>
      <c r="AG208" s="460"/>
      <c r="AH208" s="460"/>
      <c r="AI208" s="460"/>
      <c r="AJ208" s="460"/>
      <c r="AK208" s="460"/>
      <c r="AL208" s="460"/>
      <c r="AM208" s="463">
        <f t="shared" si="178"/>
        <v>31.01</v>
      </c>
      <c r="AN208" s="463">
        <f t="shared" si="179"/>
        <v>31.01</v>
      </c>
      <c r="AO208" s="460">
        <f t="shared" si="180"/>
        <v>0</v>
      </c>
      <c r="AP208" s="460">
        <f t="shared" si="181"/>
        <v>0</v>
      </c>
      <c r="AQ208" s="460">
        <f t="shared" si="182"/>
        <v>0</v>
      </c>
      <c r="AR208" s="460">
        <f t="shared" si="183"/>
        <v>31.01</v>
      </c>
      <c r="AS208" s="460">
        <f t="shared" si="184"/>
        <v>0</v>
      </c>
      <c r="AT208" s="460">
        <f t="shared" si="185"/>
        <v>0</v>
      </c>
      <c r="AU208" s="463">
        <f t="shared" si="186"/>
        <v>0</v>
      </c>
      <c r="AV208" s="460">
        <f t="shared" si="150"/>
        <v>0</v>
      </c>
      <c r="AW208" s="460">
        <f t="shared" si="151"/>
        <v>0</v>
      </c>
      <c r="AX208" s="460">
        <f t="shared" si="187"/>
        <v>0</v>
      </c>
      <c r="AY208" s="460">
        <f t="shared" si="188"/>
        <v>0</v>
      </c>
      <c r="AZ208" s="463">
        <f t="shared" si="189"/>
        <v>0</v>
      </c>
      <c r="BA208" s="482"/>
      <c r="BB208" s="482"/>
    </row>
    <row r="209" s="425" customFormat="1" ht="39" customHeight="1" spans="1:54">
      <c r="A209" s="459">
        <v>204</v>
      </c>
      <c r="B209" s="460" t="s">
        <v>889</v>
      </c>
      <c r="C209" s="460" t="s">
        <v>400</v>
      </c>
      <c r="D209" s="487" t="s">
        <v>1031</v>
      </c>
      <c r="E209" s="488" t="s">
        <v>994</v>
      </c>
      <c r="F209" s="463">
        <f t="shared" si="191"/>
        <v>348.71</v>
      </c>
      <c r="G209" s="463">
        <f t="shared" si="190"/>
        <v>348.71</v>
      </c>
      <c r="H209" s="460"/>
      <c r="I209" s="460"/>
      <c r="J209" s="460"/>
      <c r="K209" s="460">
        <v>348.71</v>
      </c>
      <c r="L209" s="460"/>
      <c r="M209" s="460"/>
      <c r="N209" s="460" t="s">
        <v>1032</v>
      </c>
      <c r="O209" s="459">
        <f t="shared" si="174"/>
        <v>0</v>
      </c>
      <c r="P209" s="460"/>
      <c r="Q209" s="460"/>
      <c r="R209" s="460"/>
      <c r="S209" s="460"/>
      <c r="T209" s="460"/>
      <c r="U209" s="463"/>
      <c r="V209" s="460"/>
      <c r="W209" s="460"/>
      <c r="X209" s="463">
        <f t="shared" si="192"/>
        <v>-23.794</v>
      </c>
      <c r="Y209" s="463">
        <f t="shared" si="193"/>
        <v>-23.794</v>
      </c>
      <c r="Z209" s="460"/>
      <c r="AA209" s="460"/>
      <c r="AB209" s="460"/>
      <c r="AC209" s="495">
        <v>-23.794</v>
      </c>
      <c r="AD209" s="460"/>
      <c r="AE209" s="460"/>
      <c r="AF209" s="459">
        <f t="shared" si="194"/>
        <v>0</v>
      </c>
      <c r="AG209" s="460"/>
      <c r="AH209" s="460"/>
      <c r="AI209" s="460"/>
      <c r="AJ209" s="460"/>
      <c r="AK209" s="460"/>
      <c r="AL209" s="460"/>
      <c r="AM209" s="463">
        <f t="shared" si="178"/>
        <v>324.916</v>
      </c>
      <c r="AN209" s="463">
        <f t="shared" si="179"/>
        <v>324.916</v>
      </c>
      <c r="AO209" s="460">
        <f t="shared" si="180"/>
        <v>0</v>
      </c>
      <c r="AP209" s="460">
        <f t="shared" si="181"/>
        <v>0</v>
      </c>
      <c r="AQ209" s="460">
        <f t="shared" si="182"/>
        <v>0</v>
      </c>
      <c r="AR209" s="460">
        <f t="shared" si="183"/>
        <v>324.916</v>
      </c>
      <c r="AS209" s="460">
        <f t="shared" si="184"/>
        <v>0</v>
      </c>
      <c r="AT209" s="460">
        <f t="shared" si="185"/>
        <v>0</v>
      </c>
      <c r="AU209" s="463">
        <f t="shared" si="186"/>
        <v>0</v>
      </c>
      <c r="AV209" s="460">
        <f t="shared" si="150"/>
        <v>0</v>
      </c>
      <c r="AW209" s="460">
        <f t="shared" si="151"/>
        <v>0</v>
      </c>
      <c r="AX209" s="460">
        <f t="shared" si="187"/>
        <v>0</v>
      </c>
      <c r="AY209" s="460">
        <f t="shared" si="188"/>
        <v>0</v>
      </c>
      <c r="AZ209" s="463">
        <f t="shared" si="189"/>
        <v>0</v>
      </c>
      <c r="BA209" s="482"/>
      <c r="BB209" s="482"/>
    </row>
    <row r="210" s="425" customFormat="1" ht="39" customHeight="1" spans="1:54">
      <c r="A210" s="459">
        <v>205</v>
      </c>
      <c r="B210" s="460" t="s">
        <v>889</v>
      </c>
      <c r="C210" s="460" t="s">
        <v>404</v>
      </c>
      <c r="D210" s="487" t="s">
        <v>452</v>
      </c>
      <c r="E210" s="488" t="s">
        <v>1033</v>
      </c>
      <c r="F210" s="463">
        <f t="shared" si="191"/>
        <v>29</v>
      </c>
      <c r="G210" s="463">
        <f t="shared" si="190"/>
        <v>0</v>
      </c>
      <c r="H210" s="460"/>
      <c r="I210" s="460"/>
      <c r="J210" s="460"/>
      <c r="K210" s="460"/>
      <c r="L210" s="460"/>
      <c r="M210" s="460"/>
      <c r="N210" s="460"/>
      <c r="O210" s="459">
        <f t="shared" si="174"/>
        <v>29</v>
      </c>
      <c r="P210" s="460"/>
      <c r="Q210" s="460"/>
      <c r="R210" s="460"/>
      <c r="S210" s="460">
        <v>29</v>
      </c>
      <c r="T210" s="487" t="s">
        <v>1034</v>
      </c>
      <c r="U210" s="463"/>
      <c r="V210" s="460"/>
      <c r="W210" s="487"/>
      <c r="X210" s="463">
        <f t="shared" si="192"/>
        <v>31</v>
      </c>
      <c r="Y210" s="463">
        <f t="shared" si="193"/>
        <v>0</v>
      </c>
      <c r="Z210" s="460"/>
      <c r="AA210" s="460"/>
      <c r="AB210" s="460"/>
      <c r="AC210" s="460"/>
      <c r="AD210" s="460"/>
      <c r="AE210" s="460"/>
      <c r="AF210" s="459">
        <f t="shared" si="194"/>
        <v>31</v>
      </c>
      <c r="AG210" s="460"/>
      <c r="AH210" s="460"/>
      <c r="AI210" s="460"/>
      <c r="AJ210" s="460">
        <v>31</v>
      </c>
      <c r="AK210" s="460"/>
      <c r="AL210" s="460" t="s">
        <v>1035</v>
      </c>
      <c r="AM210" s="463">
        <f t="shared" si="178"/>
        <v>60</v>
      </c>
      <c r="AN210" s="463">
        <f t="shared" si="179"/>
        <v>0</v>
      </c>
      <c r="AO210" s="460">
        <f t="shared" si="180"/>
        <v>0</v>
      </c>
      <c r="AP210" s="460">
        <f t="shared" si="181"/>
        <v>0</v>
      </c>
      <c r="AQ210" s="460">
        <f t="shared" si="182"/>
        <v>0</v>
      </c>
      <c r="AR210" s="460">
        <f t="shared" si="183"/>
        <v>0</v>
      </c>
      <c r="AS210" s="460">
        <f t="shared" si="184"/>
        <v>0</v>
      </c>
      <c r="AT210" s="460">
        <f t="shared" si="185"/>
        <v>0</v>
      </c>
      <c r="AU210" s="463">
        <f t="shared" si="186"/>
        <v>60</v>
      </c>
      <c r="AV210" s="460">
        <f t="shared" si="150"/>
        <v>0</v>
      </c>
      <c r="AW210" s="460">
        <f t="shared" si="151"/>
        <v>0</v>
      </c>
      <c r="AX210" s="460">
        <f t="shared" si="187"/>
        <v>0</v>
      </c>
      <c r="AY210" s="460">
        <f t="shared" si="188"/>
        <v>60</v>
      </c>
      <c r="AZ210" s="463">
        <f t="shared" si="189"/>
        <v>0</v>
      </c>
      <c r="BA210" s="482"/>
      <c r="BB210" s="482"/>
    </row>
    <row r="211" s="425" customFormat="1" ht="39" customHeight="1" spans="1:54">
      <c r="A211" s="459">
        <v>206</v>
      </c>
      <c r="B211" s="460" t="s">
        <v>889</v>
      </c>
      <c r="C211" s="460" t="s">
        <v>404</v>
      </c>
      <c r="D211" s="487" t="s">
        <v>454</v>
      </c>
      <c r="E211" s="488" t="s">
        <v>998</v>
      </c>
      <c r="F211" s="463">
        <f t="shared" si="191"/>
        <v>26.31</v>
      </c>
      <c r="G211" s="463">
        <f t="shared" si="190"/>
        <v>26.31</v>
      </c>
      <c r="H211" s="460"/>
      <c r="I211" s="460"/>
      <c r="J211" s="460"/>
      <c r="K211" s="460">
        <v>26.31</v>
      </c>
      <c r="L211" s="460"/>
      <c r="M211" s="460"/>
      <c r="N211" s="460"/>
      <c r="O211" s="459">
        <f t="shared" si="174"/>
        <v>0</v>
      </c>
      <c r="P211" s="460"/>
      <c r="Q211" s="460"/>
      <c r="R211" s="460"/>
      <c r="S211" s="460"/>
      <c r="T211" s="460"/>
      <c r="U211" s="463"/>
      <c r="V211" s="460"/>
      <c r="W211" s="460"/>
      <c r="X211" s="463">
        <f t="shared" si="192"/>
        <v>0</v>
      </c>
      <c r="Y211" s="463">
        <f t="shared" si="193"/>
        <v>0</v>
      </c>
      <c r="Z211" s="460"/>
      <c r="AA211" s="460"/>
      <c r="AB211" s="460"/>
      <c r="AC211" s="460"/>
      <c r="AD211" s="460"/>
      <c r="AE211" s="460"/>
      <c r="AF211" s="459">
        <f t="shared" si="194"/>
        <v>0</v>
      </c>
      <c r="AG211" s="460"/>
      <c r="AH211" s="460"/>
      <c r="AI211" s="460"/>
      <c r="AJ211" s="460"/>
      <c r="AK211" s="460"/>
      <c r="AL211" s="460"/>
      <c r="AM211" s="463">
        <f t="shared" si="178"/>
        <v>26.31</v>
      </c>
      <c r="AN211" s="463">
        <f t="shared" si="179"/>
        <v>26.31</v>
      </c>
      <c r="AO211" s="460">
        <f t="shared" si="180"/>
        <v>0</v>
      </c>
      <c r="AP211" s="460">
        <f t="shared" si="181"/>
        <v>0</v>
      </c>
      <c r="AQ211" s="460">
        <f t="shared" si="182"/>
        <v>0</v>
      </c>
      <c r="AR211" s="460">
        <f t="shared" si="183"/>
        <v>26.31</v>
      </c>
      <c r="AS211" s="460">
        <f t="shared" si="184"/>
        <v>0</v>
      </c>
      <c r="AT211" s="460">
        <f t="shared" si="185"/>
        <v>0</v>
      </c>
      <c r="AU211" s="463">
        <f t="shared" si="186"/>
        <v>0</v>
      </c>
      <c r="AV211" s="460">
        <f t="shared" si="150"/>
        <v>0</v>
      </c>
      <c r="AW211" s="460">
        <f t="shared" si="151"/>
        <v>0</v>
      </c>
      <c r="AX211" s="460">
        <f t="shared" si="187"/>
        <v>0</v>
      </c>
      <c r="AY211" s="460">
        <f t="shared" si="188"/>
        <v>0</v>
      </c>
      <c r="AZ211" s="463">
        <f t="shared" si="189"/>
        <v>0</v>
      </c>
      <c r="BA211" s="482"/>
      <c r="BB211" s="482"/>
    </row>
    <row r="212" s="425" customFormat="1" ht="39" customHeight="1" spans="1:54">
      <c r="A212" s="459">
        <v>207</v>
      </c>
      <c r="B212" s="460" t="s">
        <v>889</v>
      </c>
      <c r="C212" s="460" t="s">
        <v>400</v>
      </c>
      <c r="D212" s="487" t="s">
        <v>455</v>
      </c>
      <c r="E212" s="488" t="s">
        <v>994</v>
      </c>
      <c r="F212" s="463">
        <f t="shared" si="191"/>
        <v>207.36</v>
      </c>
      <c r="G212" s="463">
        <f t="shared" si="190"/>
        <v>207.36</v>
      </c>
      <c r="H212" s="460"/>
      <c r="I212" s="460"/>
      <c r="J212" s="460"/>
      <c r="K212" s="460">
        <v>207.36</v>
      </c>
      <c r="L212" s="460"/>
      <c r="M212" s="460"/>
      <c r="N212" s="460" t="s">
        <v>1036</v>
      </c>
      <c r="O212" s="459">
        <f t="shared" si="174"/>
        <v>0</v>
      </c>
      <c r="P212" s="460"/>
      <c r="Q212" s="460"/>
      <c r="R212" s="460"/>
      <c r="S212" s="460"/>
      <c r="T212" s="460"/>
      <c r="U212" s="463"/>
      <c r="V212" s="460"/>
      <c r="W212" s="460"/>
      <c r="X212" s="463">
        <f t="shared" si="192"/>
        <v>0</v>
      </c>
      <c r="Y212" s="463">
        <f t="shared" si="193"/>
        <v>0</v>
      </c>
      <c r="Z212" s="460"/>
      <c r="AA212" s="460"/>
      <c r="AB212" s="460"/>
      <c r="AC212" s="460"/>
      <c r="AD212" s="460"/>
      <c r="AE212" s="460"/>
      <c r="AF212" s="459">
        <f t="shared" si="194"/>
        <v>0</v>
      </c>
      <c r="AG212" s="460"/>
      <c r="AH212" s="460"/>
      <c r="AI212" s="460"/>
      <c r="AJ212" s="460"/>
      <c r="AK212" s="460"/>
      <c r="AL212" s="460"/>
      <c r="AM212" s="463">
        <f t="shared" si="178"/>
        <v>207.36</v>
      </c>
      <c r="AN212" s="463">
        <f t="shared" si="179"/>
        <v>207.36</v>
      </c>
      <c r="AO212" s="460">
        <f t="shared" si="180"/>
        <v>0</v>
      </c>
      <c r="AP212" s="460">
        <f t="shared" si="181"/>
        <v>0</v>
      </c>
      <c r="AQ212" s="460">
        <f t="shared" si="182"/>
        <v>0</v>
      </c>
      <c r="AR212" s="460">
        <f t="shared" si="183"/>
        <v>207.36</v>
      </c>
      <c r="AS212" s="460">
        <f t="shared" si="184"/>
        <v>0</v>
      </c>
      <c r="AT212" s="460">
        <f t="shared" si="185"/>
        <v>0</v>
      </c>
      <c r="AU212" s="463">
        <f t="shared" si="186"/>
        <v>0</v>
      </c>
      <c r="AV212" s="460">
        <f t="shared" si="150"/>
        <v>0</v>
      </c>
      <c r="AW212" s="460">
        <f t="shared" si="151"/>
        <v>0</v>
      </c>
      <c r="AX212" s="460">
        <f t="shared" si="187"/>
        <v>0</v>
      </c>
      <c r="AY212" s="460">
        <f t="shared" si="188"/>
        <v>0</v>
      </c>
      <c r="AZ212" s="463">
        <f t="shared" si="189"/>
        <v>0</v>
      </c>
      <c r="BA212" s="482"/>
      <c r="BB212" s="482"/>
    </row>
    <row r="213" s="425" customFormat="1" ht="39" customHeight="1" spans="1:54">
      <c r="A213" s="459">
        <v>208</v>
      </c>
      <c r="B213" s="460" t="s">
        <v>889</v>
      </c>
      <c r="C213" s="460" t="s">
        <v>400</v>
      </c>
      <c r="D213" s="487" t="s">
        <v>456</v>
      </c>
      <c r="E213" s="488" t="s">
        <v>994</v>
      </c>
      <c r="F213" s="463">
        <f t="shared" si="191"/>
        <v>199.58</v>
      </c>
      <c r="G213" s="463">
        <f t="shared" si="190"/>
        <v>199.58</v>
      </c>
      <c r="H213" s="460"/>
      <c r="I213" s="460"/>
      <c r="J213" s="460"/>
      <c r="K213" s="460">
        <v>199.58</v>
      </c>
      <c r="L213" s="460"/>
      <c r="M213" s="460"/>
      <c r="N213" s="460" t="s">
        <v>1037</v>
      </c>
      <c r="O213" s="459">
        <f t="shared" si="174"/>
        <v>0</v>
      </c>
      <c r="P213" s="460"/>
      <c r="Q213" s="460"/>
      <c r="R213" s="460"/>
      <c r="S213" s="460"/>
      <c r="T213" s="460"/>
      <c r="U213" s="463"/>
      <c r="V213" s="460"/>
      <c r="W213" s="460"/>
      <c r="X213" s="463">
        <f t="shared" si="192"/>
        <v>0</v>
      </c>
      <c r="Y213" s="463">
        <f t="shared" si="193"/>
        <v>0</v>
      </c>
      <c r="Z213" s="460"/>
      <c r="AA213" s="460"/>
      <c r="AB213" s="460"/>
      <c r="AC213" s="460"/>
      <c r="AD213" s="460"/>
      <c r="AE213" s="460"/>
      <c r="AF213" s="459">
        <f t="shared" si="194"/>
        <v>0</v>
      </c>
      <c r="AG213" s="460"/>
      <c r="AH213" s="460"/>
      <c r="AI213" s="460"/>
      <c r="AJ213" s="460"/>
      <c r="AK213" s="460"/>
      <c r="AL213" s="460"/>
      <c r="AM213" s="463">
        <f t="shared" si="178"/>
        <v>199.58</v>
      </c>
      <c r="AN213" s="463">
        <f t="shared" si="179"/>
        <v>199.58</v>
      </c>
      <c r="AO213" s="460">
        <f t="shared" si="180"/>
        <v>0</v>
      </c>
      <c r="AP213" s="460">
        <f t="shared" si="181"/>
        <v>0</v>
      </c>
      <c r="AQ213" s="460">
        <f t="shared" si="182"/>
        <v>0</v>
      </c>
      <c r="AR213" s="460">
        <f t="shared" si="183"/>
        <v>199.58</v>
      </c>
      <c r="AS213" s="460">
        <f t="shared" si="184"/>
        <v>0</v>
      </c>
      <c r="AT213" s="460">
        <f t="shared" si="185"/>
        <v>0</v>
      </c>
      <c r="AU213" s="463">
        <f t="shared" si="186"/>
        <v>0</v>
      </c>
      <c r="AV213" s="460">
        <f t="shared" si="150"/>
        <v>0</v>
      </c>
      <c r="AW213" s="460">
        <f t="shared" si="151"/>
        <v>0</v>
      </c>
      <c r="AX213" s="460">
        <f t="shared" si="187"/>
        <v>0</v>
      </c>
      <c r="AY213" s="460">
        <f t="shared" si="188"/>
        <v>0</v>
      </c>
      <c r="AZ213" s="463">
        <f t="shared" si="189"/>
        <v>0</v>
      </c>
      <c r="BA213" s="482"/>
      <c r="BB213" s="482"/>
    </row>
    <row r="214" s="425" customFormat="1" ht="39" customHeight="1" spans="1:54">
      <c r="A214" s="459">
        <v>209</v>
      </c>
      <c r="B214" s="460" t="s">
        <v>889</v>
      </c>
      <c r="C214" s="460" t="s">
        <v>404</v>
      </c>
      <c r="D214" s="487" t="s">
        <v>457</v>
      </c>
      <c r="E214" s="488" t="s">
        <v>991</v>
      </c>
      <c r="F214" s="463">
        <f t="shared" si="191"/>
        <v>30.16</v>
      </c>
      <c r="G214" s="463">
        <f t="shared" si="190"/>
        <v>30.16</v>
      </c>
      <c r="H214" s="460"/>
      <c r="I214" s="460"/>
      <c r="J214" s="460"/>
      <c r="K214" s="460">
        <v>30.16</v>
      </c>
      <c r="L214" s="460"/>
      <c r="M214" s="460"/>
      <c r="N214" s="460"/>
      <c r="O214" s="459">
        <f t="shared" si="174"/>
        <v>0</v>
      </c>
      <c r="P214" s="460"/>
      <c r="Q214" s="460"/>
      <c r="R214" s="460"/>
      <c r="S214" s="460"/>
      <c r="T214" s="460"/>
      <c r="U214" s="463"/>
      <c r="V214" s="460"/>
      <c r="W214" s="460"/>
      <c r="X214" s="463">
        <f t="shared" si="192"/>
        <v>0</v>
      </c>
      <c r="Y214" s="463">
        <f t="shared" si="193"/>
        <v>0</v>
      </c>
      <c r="Z214" s="460"/>
      <c r="AA214" s="460"/>
      <c r="AB214" s="460"/>
      <c r="AC214" s="460"/>
      <c r="AD214" s="460"/>
      <c r="AE214" s="460"/>
      <c r="AF214" s="459">
        <f t="shared" si="194"/>
        <v>0</v>
      </c>
      <c r="AG214" s="460"/>
      <c r="AH214" s="460"/>
      <c r="AI214" s="460"/>
      <c r="AJ214" s="460"/>
      <c r="AK214" s="460"/>
      <c r="AL214" s="460"/>
      <c r="AM214" s="463">
        <f t="shared" si="178"/>
        <v>30.16</v>
      </c>
      <c r="AN214" s="463">
        <f t="shared" si="179"/>
        <v>30.16</v>
      </c>
      <c r="AO214" s="460">
        <f t="shared" si="180"/>
        <v>0</v>
      </c>
      <c r="AP214" s="460">
        <f t="shared" si="181"/>
        <v>0</v>
      </c>
      <c r="AQ214" s="460">
        <f t="shared" si="182"/>
        <v>0</v>
      </c>
      <c r="AR214" s="460">
        <f t="shared" si="183"/>
        <v>30.16</v>
      </c>
      <c r="AS214" s="460">
        <f t="shared" si="184"/>
        <v>0</v>
      </c>
      <c r="AT214" s="460">
        <f t="shared" si="185"/>
        <v>0</v>
      </c>
      <c r="AU214" s="463">
        <f t="shared" si="186"/>
        <v>0</v>
      </c>
      <c r="AV214" s="460">
        <f t="shared" si="150"/>
        <v>0</v>
      </c>
      <c r="AW214" s="460">
        <f t="shared" si="151"/>
        <v>0</v>
      </c>
      <c r="AX214" s="460">
        <f t="shared" si="187"/>
        <v>0</v>
      </c>
      <c r="AY214" s="460">
        <f t="shared" si="188"/>
        <v>0</v>
      </c>
      <c r="AZ214" s="463">
        <f t="shared" si="189"/>
        <v>0</v>
      </c>
      <c r="BA214" s="482"/>
      <c r="BB214" s="482"/>
    </row>
    <row r="215" s="425" customFormat="1" ht="39" customHeight="1" spans="1:54">
      <c r="A215" s="459">
        <v>210</v>
      </c>
      <c r="B215" s="460" t="s">
        <v>889</v>
      </c>
      <c r="C215" s="460" t="s">
        <v>400</v>
      </c>
      <c r="D215" s="487" t="s">
        <v>458</v>
      </c>
      <c r="E215" s="488" t="s">
        <v>994</v>
      </c>
      <c r="F215" s="463">
        <f t="shared" si="191"/>
        <v>213.46</v>
      </c>
      <c r="G215" s="463">
        <f t="shared" si="190"/>
        <v>213.46</v>
      </c>
      <c r="H215" s="460"/>
      <c r="I215" s="460"/>
      <c r="J215" s="460"/>
      <c r="K215" s="460">
        <f>18.09+195.37</f>
        <v>213.46</v>
      </c>
      <c r="L215" s="460"/>
      <c r="M215" s="460"/>
      <c r="N215" s="460" t="s">
        <v>1038</v>
      </c>
      <c r="O215" s="459">
        <f t="shared" si="174"/>
        <v>0</v>
      </c>
      <c r="P215" s="460"/>
      <c r="Q215" s="460"/>
      <c r="R215" s="460"/>
      <c r="S215" s="460"/>
      <c r="T215" s="460"/>
      <c r="U215" s="463"/>
      <c r="V215" s="460"/>
      <c r="W215" s="460"/>
      <c r="X215" s="463">
        <f t="shared" si="192"/>
        <v>6.842</v>
      </c>
      <c r="Y215" s="463">
        <f t="shared" si="193"/>
        <v>6.842</v>
      </c>
      <c r="Z215" s="460"/>
      <c r="AA215" s="460"/>
      <c r="AB215" s="460"/>
      <c r="AC215" s="495">
        <v>6.842</v>
      </c>
      <c r="AD215" s="460"/>
      <c r="AE215" s="460"/>
      <c r="AF215" s="459">
        <f t="shared" si="194"/>
        <v>0</v>
      </c>
      <c r="AG215" s="460"/>
      <c r="AH215" s="460"/>
      <c r="AI215" s="460"/>
      <c r="AJ215" s="460"/>
      <c r="AK215" s="460"/>
      <c r="AL215" s="460"/>
      <c r="AM215" s="463">
        <f t="shared" si="178"/>
        <v>220.302</v>
      </c>
      <c r="AN215" s="463">
        <f t="shared" si="179"/>
        <v>220.302</v>
      </c>
      <c r="AO215" s="460">
        <f t="shared" si="180"/>
        <v>0</v>
      </c>
      <c r="AP215" s="460">
        <f t="shared" si="181"/>
        <v>0</v>
      </c>
      <c r="AQ215" s="460">
        <f t="shared" si="182"/>
        <v>0</v>
      </c>
      <c r="AR215" s="460">
        <f t="shared" si="183"/>
        <v>220.302</v>
      </c>
      <c r="AS215" s="460">
        <f t="shared" si="184"/>
        <v>0</v>
      </c>
      <c r="AT215" s="460">
        <f t="shared" si="185"/>
        <v>0</v>
      </c>
      <c r="AU215" s="463">
        <f t="shared" si="186"/>
        <v>0</v>
      </c>
      <c r="AV215" s="460">
        <f t="shared" si="150"/>
        <v>0</v>
      </c>
      <c r="AW215" s="460">
        <f t="shared" si="151"/>
        <v>0</v>
      </c>
      <c r="AX215" s="460">
        <f t="shared" si="187"/>
        <v>0</v>
      </c>
      <c r="AY215" s="460">
        <f t="shared" si="188"/>
        <v>0</v>
      </c>
      <c r="AZ215" s="463">
        <f t="shared" si="189"/>
        <v>0</v>
      </c>
      <c r="BA215" s="482"/>
      <c r="BB215" s="482"/>
    </row>
    <row r="216" s="425" customFormat="1" ht="39" customHeight="1" spans="1:54">
      <c r="A216" s="459">
        <v>211</v>
      </c>
      <c r="B216" s="460" t="s">
        <v>889</v>
      </c>
      <c r="C216" s="460" t="s">
        <v>400</v>
      </c>
      <c r="D216" s="487" t="s">
        <v>459</v>
      </c>
      <c r="E216" s="488" t="s">
        <v>994</v>
      </c>
      <c r="F216" s="463">
        <f t="shared" si="191"/>
        <v>207.27</v>
      </c>
      <c r="G216" s="463">
        <f t="shared" si="190"/>
        <v>207.27</v>
      </c>
      <c r="H216" s="460"/>
      <c r="I216" s="460"/>
      <c r="J216" s="460"/>
      <c r="K216" s="460">
        <v>207.27</v>
      </c>
      <c r="L216" s="460"/>
      <c r="M216" s="460"/>
      <c r="N216" s="460" t="s">
        <v>1039</v>
      </c>
      <c r="O216" s="459">
        <f t="shared" si="174"/>
        <v>0</v>
      </c>
      <c r="P216" s="460"/>
      <c r="Q216" s="460"/>
      <c r="R216" s="460"/>
      <c r="S216" s="460"/>
      <c r="T216" s="460"/>
      <c r="U216" s="463"/>
      <c r="V216" s="460"/>
      <c r="W216" s="460"/>
      <c r="X216" s="463">
        <f t="shared" si="192"/>
        <v>0</v>
      </c>
      <c r="Y216" s="463">
        <f t="shared" si="193"/>
        <v>0</v>
      </c>
      <c r="Z216" s="460"/>
      <c r="AA216" s="460"/>
      <c r="AB216" s="460"/>
      <c r="AC216" s="460"/>
      <c r="AD216" s="460"/>
      <c r="AE216" s="460"/>
      <c r="AF216" s="459">
        <f t="shared" si="194"/>
        <v>0</v>
      </c>
      <c r="AG216" s="460"/>
      <c r="AH216" s="460"/>
      <c r="AI216" s="460"/>
      <c r="AJ216" s="460"/>
      <c r="AK216" s="460"/>
      <c r="AL216" s="460"/>
      <c r="AM216" s="463">
        <f t="shared" si="178"/>
        <v>207.27</v>
      </c>
      <c r="AN216" s="463">
        <f t="shared" si="179"/>
        <v>207.27</v>
      </c>
      <c r="AO216" s="460">
        <f t="shared" si="180"/>
        <v>0</v>
      </c>
      <c r="AP216" s="460">
        <f t="shared" si="181"/>
        <v>0</v>
      </c>
      <c r="AQ216" s="460">
        <f t="shared" si="182"/>
        <v>0</v>
      </c>
      <c r="AR216" s="460">
        <f t="shared" si="183"/>
        <v>207.27</v>
      </c>
      <c r="AS216" s="460">
        <f t="shared" si="184"/>
        <v>0</v>
      </c>
      <c r="AT216" s="460">
        <f t="shared" si="185"/>
        <v>0</v>
      </c>
      <c r="AU216" s="463">
        <f t="shared" si="186"/>
        <v>0</v>
      </c>
      <c r="AV216" s="460">
        <f t="shared" si="150"/>
        <v>0</v>
      </c>
      <c r="AW216" s="460">
        <f t="shared" si="151"/>
        <v>0</v>
      </c>
      <c r="AX216" s="460">
        <f t="shared" si="187"/>
        <v>0</v>
      </c>
      <c r="AY216" s="460">
        <f t="shared" si="188"/>
        <v>0</v>
      </c>
      <c r="AZ216" s="463">
        <f t="shared" si="189"/>
        <v>0</v>
      </c>
      <c r="BA216" s="482"/>
      <c r="BB216" s="482"/>
    </row>
    <row r="217" s="425" customFormat="1" ht="39" customHeight="1" spans="1:54">
      <c r="A217" s="459">
        <v>212</v>
      </c>
      <c r="B217" s="460" t="s">
        <v>889</v>
      </c>
      <c r="C217" s="460" t="s">
        <v>404</v>
      </c>
      <c r="D217" s="487" t="s">
        <v>460</v>
      </c>
      <c r="E217" s="487" t="s">
        <v>991</v>
      </c>
      <c r="F217" s="463">
        <f t="shared" si="191"/>
        <v>13.41</v>
      </c>
      <c r="G217" s="463">
        <f t="shared" si="190"/>
        <v>13.41</v>
      </c>
      <c r="H217" s="460"/>
      <c r="I217" s="460"/>
      <c r="J217" s="460"/>
      <c r="K217" s="460">
        <v>13.41</v>
      </c>
      <c r="L217" s="460"/>
      <c r="M217" s="460"/>
      <c r="N217" s="460"/>
      <c r="O217" s="459">
        <f t="shared" si="174"/>
        <v>0</v>
      </c>
      <c r="P217" s="460"/>
      <c r="Q217" s="460"/>
      <c r="R217" s="460"/>
      <c r="S217" s="460"/>
      <c r="T217" s="460"/>
      <c r="U217" s="463"/>
      <c r="V217" s="460"/>
      <c r="W217" s="460"/>
      <c r="X217" s="463">
        <f t="shared" si="192"/>
        <v>0</v>
      </c>
      <c r="Y217" s="463">
        <f t="shared" si="193"/>
        <v>0</v>
      </c>
      <c r="Z217" s="460"/>
      <c r="AA217" s="460"/>
      <c r="AB217" s="460"/>
      <c r="AC217" s="460"/>
      <c r="AD217" s="460"/>
      <c r="AE217" s="460"/>
      <c r="AF217" s="459">
        <f t="shared" si="194"/>
        <v>0</v>
      </c>
      <c r="AG217" s="460"/>
      <c r="AH217" s="460"/>
      <c r="AI217" s="460"/>
      <c r="AJ217" s="460"/>
      <c r="AK217" s="460"/>
      <c r="AL217" s="460"/>
      <c r="AM217" s="463">
        <f t="shared" si="178"/>
        <v>13.41</v>
      </c>
      <c r="AN217" s="463">
        <f t="shared" si="179"/>
        <v>13.41</v>
      </c>
      <c r="AO217" s="460">
        <f t="shared" si="180"/>
        <v>0</v>
      </c>
      <c r="AP217" s="460">
        <f t="shared" si="181"/>
        <v>0</v>
      </c>
      <c r="AQ217" s="460">
        <f t="shared" si="182"/>
        <v>0</v>
      </c>
      <c r="AR217" s="460">
        <f t="shared" si="183"/>
        <v>13.41</v>
      </c>
      <c r="AS217" s="460">
        <f t="shared" si="184"/>
        <v>0</v>
      </c>
      <c r="AT217" s="460">
        <f t="shared" si="185"/>
        <v>0</v>
      </c>
      <c r="AU217" s="463">
        <f t="shared" si="186"/>
        <v>0</v>
      </c>
      <c r="AV217" s="460">
        <f t="shared" ref="AV217:AV223" si="195">P217+AG217</f>
        <v>0</v>
      </c>
      <c r="AW217" s="460">
        <f t="shared" ref="AW217:AW223" si="196">Q217+AH217</f>
        <v>0</v>
      </c>
      <c r="AX217" s="460">
        <f t="shared" si="187"/>
        <v>0</v>
      </c>
      <c r="AY217" s="460">
        <f t="shared" si="188"/>
        <v>0</v>
      </c>
      <c r="AZ217" s="463">
        <f t="shared" si="189"/>
        <v>0</v>
      </c>
      <c r="BA217" s="482"/>
      <c r="BB217" s="482"/>
    </row>
    <row r="218" s="425" customFormat="1" ht="39" customHeight="1" spans="1:54">
      <c r="A218" s="459">
        <v>213</v>
      </c>
      <c r="B218" s="460" t="s">
        <v>889</v>
      </c>
      <c r="C218" s="460" t="s">
        <v>400</v>
      </c>
      <c r="D218" s="487" t="s">
        <v>461</v>
      </c>
      <c r="E218" s="488" t="s">
        <v>994</v>
      </c>
      <c r="F218" s="463">
        <f t="shared" si="191"/>
        <v>96.68</v>
      </c>
      <c r="G218" s="463">
        <f t="shared" si="190"/>
        <v>96.68</v>
      </c>
      <c r="H218" s="460"/>
      <c r="I218" s="460"/>
      <c r="J218" s="460"/>
      <c r="K218" s="460">
        <v>96.68</v>
      </c>
      <c r="L218" s="460"/>
      <c r="M218" s="460"/>
      <c r="N218" s="460" t="s">
        <v>1040</v>
      </c>
      <c r="O218" s="459">
        <f t="shared" si="174"/>
        <v>0</v>
      </c>
      <c r="P218" s="460"/>
      <c r="Q218" s="460"/>
      <c r="R218" s="460"/>
      <c r="S218" s="460"/>
      <c r="T218" s="460"/>
      <c r="U218" s="463"/>
      <c r="V218" s="460"/>
      <c r="W218" s="460"/>
      <c r="X218" s="463">
        <f t="shared" si="192"/>
        <v>0</v>
      </c>
      <c r="Y218" s="463">
        <f t="shared" si="193"/>
        <v>0</v>
      </c>
      <c r="Z218" s="460"/>
      <c r="AA218" s="460"/>
      <c r="AB218" s="460"/>
      <c r="AC218" s="460"/>
      <c r="AD218" s="460"/>
      <c r="AE218" s="460"/>
      <c r="AF218" s="459">
        <f t="shared" si="194"/>
        <v>0</v>
      </c>
      <c r="AG218" s="460"/>
      <c r="AH218" s="460"/>
      <c r="AI218" s="460"/>
      <c r="AJ218" s="460"/>
      <c r="AK218" s="460"/>
      <c r="AL218" s="460"/>
      <c r="AM218" s="463">
        <f t="shared" si="178"/>
        <v>96.68</v>
      </c>
      <c r="AN218" s="463">
        <f t="shared" si="179"/>
        <v>96.68</v>
      </c>
      <c r="AO218" s="460">
        <f t="shared" si="180"/>
        <v>0</v>
      </c>
      <c r="AP218" s="460">
        <f t="shared" si="181"/>
        <v>0</v>
      </c>
      <c r="AQ218" s="460">
        <f t="shared" si="182"/>
        <v>0</v>
      </c>
      <c r="AR218" s="460">
        <f t="shared" si="183"/>
        <v>96.68</v>
      </c>
      <c r="AS218" s="460">
        <f t="shared" si="184"/>
        <v>0</v>
      </c>
      <c r="AT218" s="460">
        <f t="shared" si="185"/>
        <v>0</v>
      </c>
      <c r="AU218" s="463">
        <f t="shared" si="186"/>
        <v>0</v>
      </c>
      <c r="AV218" s="460">
        <f t="shared" si="195"/>
        <v>0</v>
      </c>
      <c r="AW218" s="460">
        <f t="shared" si="196"/>
        <v>0</v>
      </c>
      <c r="AX218" s="460">
        <f t="shared" si="187"/>
        <v>0</v>
      </c>
      <c r="AY218" s="460">
        <f t="shared" si="188"/>
        <v>0</v>
      </c>
      <c r="AZ218" s="463">
        <f t="shared" si="189"/>
        <v>0</v>
      </c>
      <c r="BA218" s="482"/>
      <c r="BB218" s="482"/>
    </row>
    <row r="219" s="425" customFormat="1" ht="39" customHeight="1" spans="1:54">
      <c r="A219" s="459">
        <v>214</v>
      </c>
      <c r="B219" s="460" t="s">
        <v>889</v>
      </c>
      <c r="C219" s="460" t="s">
        <v>400</v>
      </c>
      <c r="D219" s="487" t="s">
        <v>462</v>
      </c>
      <c r="E219" s="488" t="s">
        <v>994</v>
      </c>
      <c r="F219" s="463">
        <f t="shared" si="191"/>
        <v>38.75</v>
      </c>
      <c r="G219" s="463">
        <f t="shared" si="190"/>
        <v>38.75</v>
      </c>
      <c r="H219" s="460"/>
      <c r="I219" s="460"/>
      <c r="J219" s="460"/>
      <c r="K219" s="460">
        <v>38.75</v>
      </c>
      <c r="L219" s="460"/>
      <c r="M219" s="460"/>
      <c r="N219" s="460" t="s">
        <v>1041</v>
      </c>
      <c r="O219" s="459">
        <f t="shared" si="174"/>
        <v>0</v>
      </c>
      <c r="P219" s="460"/>
      <c r="Q219" s="460"/>
      <c r="R219" s="460"/>
      <c r="S219" s="460"/>
      <c r="T219" s="460"/>
      <c r="U219" s="463"/>
      <c r="V219" s="460"/>
      <c r="W219" s="460"/>
      <c r="X219" s="463">
        <f t="shared" si="192"/>
        <v>0</v>
      </c>
      <c r="Y219" s="463">
        <f t="shared" si="193"/>
        <v>0</v>
      </c>
      <c r="Z219" s="460"/>
      <c r="AA219" s="460"/>
      <c r="AB219" s="460"/>
      <c r="AC219" s="460"/>
      <c r="AD219" s="460"/>
      <c r="AE219" s="460"/>
      <c r="AF219" s="459">
        <f t="shared" si="194"/>
        <v>0</v>
      </c>
      <c r="AG219" s="460"/>
      <c r="AH219" s="460"/>
      <c r="AI219" s="460"/>
      <c r="AJ219" s="460"/>
      <c r="AK219" s="460"/>
      <c r="AL219" s="460"/>
      <c r="AM219" s="463">
        <f t="shared" si="178"/>
        <v>38.75</v>
      </c>
      <c r="AN219" s="463">
        <f t="shared" si="179"/>
        <v>38.75</v>
      </c>
      <c r="AO219" s="460">
        <f t="shared" si="180"/>
        <v>0</v>
      </c>
      <c r="AP219" s="460">
        <f t="shared" si="181"/>
        <v>0</v>
      </c>
      <c r="AQ219" s="460">
        <f t="shared" si="182"/>
        <v>0</v>
      </c>
      <c r="AR219" s="460">
        <f t="shared" si="183"/>
        <v>38.75</v>
      </c>
      <c r="AS219" s="460">
        <f t="shared" si="184"/>
        <v>0</v>
      </c>
      <c r="AT219" s="460">
        <f t="shared" si="185"/>
        <v>0</v>
      </c>
      <c r="AU219" s="463">
        <f t="shared" si="186"/>
        <v>0</v>
      </c>
      <c r="AV219" s="460">
        <f t="shared" si="195"/>
        <v>0</v>
      </c>
      <c r="AW219" s="460">
        <f t="shared" si="196"/>
        <v>0</v>
      </c>
      <c r="AX219" s="460">
        <f t="shared" si="187"/>
        <v>0</v>
      </c>
      <c r="AY219" s="460">
        <f t="shared" si="188"/>
        <v>0</v>
      </c>
      <c r="AZ219" s="463">
        <f t="shared" si="189"/>
        <v>0</v>
      </c>
      <c r="BA219" s="482"/>
      <c r="BB219" s="482"/>
    </row>
    <row r="220" s="425" customFormat="1" ht="39" customHeight="1" spans="1:54">
      <c r="A220" s="459">
        <v>215</v>
      </c>
      <c r="B220" s="460" t="s">
        <v>889</v>
      </c>
      <c r="C220" s="460" t="s">
        <v>400</v>
      </c>
      <c r="D220" s="487" t="s">
        <v>463</v>
      </c>
      <c r="E220" s="488" t="s">
        <v>994</v>
      </c>
      <c r="F220" s="463">
        <f t="shared" si="191"/>
        <v>30.63</v>
      </c>
      <c r="G220" s="463">
        <f t="shared" si="190"/>
        <v>30.63</v>
      </c>
      <c r="H220" s="460"/>
      <c r="I220" s="460"/>
      <c r="J220" s="460"/>
      <c r="K220" s="460">
        <f>3.74+26.89</f>
        <v>30.63</v>
      </c>
      <c r="L220" s="460"/>
      <c r="M220" s="460"/>
      <c r="N220" s="460" t="s">
        <v>1042</v>
      </c>
      <c r="O220" s="459">
        <f t="shared" ref="O220:O226" si="197">SUM(P220:S220)</f>
        <v>0</v>
      </c>
      <c r="P220" s="460"/>
      <c r="Q220" s="460"/>
      <c r="R220" s="460"/>
      <c r="S220" s="460"/>
      <c r="T220" s="460"/>
      <c r="U220" s="463"/>
      <c r="V220" s="460"/>
      <c r="W220" s="460"/>
      <c r="X220" s="463">
        <f t="shared" ref="X220:X228" si="198">Y220+AF220+AK220</f>
        <v>0</v>
      </c>
      <c r="Y220" s="463">
        <f t="shared" ref="Y220:Y228" si="199">SUM(Z220:AE220)</f>
        <v>0</v>
      </c>
      <c r="Z220" s="460"/>
      <c r="AA220" s="460"/>
      <c r="AB220" s="460"/>
      <c r="AC220" s="460"/>
      <c r="AD220" s="460"/>
      <c r="AE220" s="460"/>
      <c r="AF220" s="459">
        <f t="shared" ref="AF220:AF228" si="200">SUM(AG220:AJ220)</f>
        <v>0</v>
      </c>
      <c r="AG220" s="460"/>
      <c r="AH220" s="460"/>
      <c r="AI220" s="460"/>
      <c r="AJ220" s="460"/>
      <c r="AK220" s="460"/>
      <c r="AL220" s="460"/>
      <c r="AM220" s="463">
        <f t="shared" ref="AM220:AM226" si="201">AN220+AU220+AZ220</f>
        <v>30.63</v>
      </c>
      <c r="AN220" s="463">
        <f t="shared" ref="AN220:AN226" si="202">SUM(AO220:AT220)</f>
        <v>30.63</v>
      </c>
      <c r="AO220" s="460">
        <f t="shared" ref="AO220:AO226" si="203">H220+Z220</f>
        <v>0</v>
      </c>
      <c r="AP220" s="460">
        <f t="shared" ref="AP220:AP226" si="204">I220+AA220</f>
        <v>0</v>
      </c>
      <c r="AQ220" s="460">
        <f t="shared" ref="AQ220:AQ226" si="205">J220+AB220</f>
        <v>0</v>
      </c>
      <c r="AR220" s="460">
        <f t="shared" ref="AR220:AR226" si="206">K220+AC220</f>
        <v>30.63</v>
      </c>
      <c r="AS220" s="460">
        <f t="shared" ref="AS220:AS226" si="207">L220+AD220</f>
        <v>0</v>
      </c>
      <c r="AT220" s="460">
        <f t="shared" ref="AT220:AT226" si="208">M220+AE220</f>
        <v>0</v>
      </c>
      <c r="AU220" s="463">
        <f t="shared" ref="AU220:AU226" si="209">SUM(AV220:AY220)</f>
        <v>0</v>
      </c>
      <c r="AV220" s="460">
        <f t="shared" si="195"/>
        <v>0</v>
      </c>
      <c r="AW220" s="460">
        <f t="shared" si="196"/>
        <v>0</v>
      </c>
      <c r="AX220" s="460">
        <f t="shared" ref="AX220:AX226" si="210">R220+AI220</f>
        <v>0</v>
      </c>
      <c r="AY220" s="460">
        <f t="shared" ref="AY220:AY226" si="211">S220+AJ220</f>
        <v>0</v>
      </c>
      <c r="AZ220" s="463">
        <f t="shared" ref="AZ220:AZ226" si="212">U220+AK220</f>
        <v>0</v>
      </c>
      <c r="BA220" s="482"/>
      <c r="BB220" s="482"/>
    </row>
    <row r="221" s="425" customFormat="1" ht="39" customHeight="1" spans="1:54">
      <c r="A221" s="459">
        <v>216</v>
      </c>
      <c r="B221" s="460" t="s">
        <v>889</v>
      </c>
      <c r="C221" s="460" t="s">
        <v>404</v>
      </c>
      <c r="D221" s="487" t="s">
        <v>464</v>
      </c>
      <c r="E221" s="488" t="s">
        <v>991</v>
      </c>
      <c r="F221" s="463">
        <f t="shared" si="191"/>
        <v>4.87</v>
      </c>
      <c r="G221" s="463">
        <f t="shared" si="190"/>
        <v>4.87</v>
      </c>
      <c r="H221" s="460"/>
      <c r="I221" s="460"/>
      <c r="J221" s="460"/>
      <c r="K221" s="460">
        <v>4.87</v>
      </c>
      <c r="L221" s="460"/>
      <c r="M221" s="460"/>
      <c r="N221" s="460"/>
      <c r="O221" s="459">
        <f t="shared" si="197"/>
        <v>0</v>
      </c>
      <c r="P221" s="460"/>
      <c r="Q221" s="460"/>
      <c r="R221" s="460"/>
      <c r="S221" s="460"/>
      <c r="T221" s="460"/>
      <c r="U221" s="463"/>
      <c r="V221" s="460"/>
      <c r="W221" s="460"/>
      <c r="X221" s="463">
        <f t="shared" si="198"/>
        <v>0</v>
      </c>
      <c r="Y221" s="463">
        <f t="shared" si="199"/>
        <v>0</v>
      </c>
      <c r="Z221" s="460"/>
      <c r="AA221" s="460"/>
      <c r="AB221" s="460"/>
      <c r="AC221" s="460"/>
      <c r="AD221" s="460"/>
      <c r="AE221" s="460"/>
      <c r="AF221" s="459">
        <f t="shared" si="200"/>
        <v>0</v>
      </c>
      <c r="AG221" s="460"/>
      <c r="AH221" s="460"/>
      <c r="AI221" s="460"/>
      <c r="AJ221" s="460"/>
      <c r="AK221" s="460"/>
      <c r="AL221" s="460"/>
      <c r="AM221" s="463">
        <f t="shared" si="201"/>
        <v>4.87</v>
      </c>
      <c r="AN221" s="463">
        <f t="shared" si="202"/>
        <v>4.87</v>
      </c>
      <c r="AO221" s="460">
        <f t="shared" si="203"/>
        <v>0</v>
      </c>
      <c r="AP221" s="460">
        <f t="shared" si="204"/>
        <v>0</v>
      </c>
      <c r="AQ221" s="460">
        <f t="shared" si="205"/>
        <v>0</v>
      </c>
      <c r="AR221" s="460">
        <f t="shared" si="206"/>
        <v>4.87</v>
      </c>
      <c r="AS221" s="460">
        <f t="shared" si="207"/>
        <v>0</v>
      </c>
      <c r="AT221" s="460">
        <f t="shared" si="208"/>
        <v>0</v>
      </c>
      <c r="AU221" s="463">
        <f t="shared" si="209"/>
        <v>0</v>
      </c>
      <c r="AV221" s="460">
        <f t="shared" si="195"/>
        <v>0</v>
      </c>
      <c r="AW221" s="460">
        <f t="shared" si="196"/>
        <v>0</v>
      </c>
      <c r="AX221" s="460">
        <f t="shared" si="210"/>
        <v>0</v>
      </c>
      <c r="AY221" s="460">
        <f t="shared" si="211"/>
        <v>0</v>
      </c>
      <c r="AZ221" s="463">
        <f t="shared" si="212"/>
        <v>0</v>
      </c>
      <c r="BA221" s="482"/>
      <c r="BB221" s="482"/>
    </row>
    <row r="222" s="425" customFormat="1" ht="39" customHeight="1" spans="1:54">
      <c r="A222" s="459">
        <v>217</v>
      </c>
      <c r="B222" s="460" t="s">
        <v>889</v>
      </c>
      <c r="C222" s="460" t="s">
        <v>400</v>
      </c>
      <c r="D222" s="487" t="s">
        <v>465</v>
      </c>
      <c r="E222" s="488" t="s">
        <v>994</v>
      </c>
      <c r="F222" s="463">
        <f t="shared" si="191"/>
        <v>110.34</v>
      </c>
      <c r="G222" s="463">
        <f t="shared" si="190"/>
        <v>110.34</v>
      </c>
      <c r="H222" s="460"/>
      <c r="I222" s="460"/>
      <c r="J222" s="460"/>
      <c r="K222" s="460">
        <v>110.34</v>
      </c>
      <c r="L222" s="460"/>
      <c r="M222" s="460"/>
      <c r="N222" s="460" t="s">
        <v>1043</v>
      </c>
      <c r="O222" s="459">
        <f t="shared" si="197"/>
        <v>0</v>
      </c>
      <c r="P222" s="460"/>
      <c r="Q222" s="460"/>
      <c r="R222" s="460"/>
      <c r="S222" s="460"/>
      <c r="T222" s="460"/>
      <c r="U222" s="463"/>
      <c r="V222" s="460"/>
      <c r="W222" s="460"/>
      <c r="X222" s="463">
        <f t="shared" si="198"/>
        <v>16.952</v>
      </c>
      <c r="Y222" s="463">
        <f t="shared" si="199"/>
        <v>16.952</v>
      </c>
      <c r="Z222" s="460"/>
      <c r="AA222" s="460"/>
      <c r="AB222" s="460"/>
      <c r="AC222" s="495">
        <v>16.952</v>
      </c>
      <c r="AD222" s="460"/>
      <c r="AE222" s="460"/>
      <c r="AF222" s="459">
        <f t="shared" si="200"/>
        <v>0</v>
      </c>
      <c r="AG222" s="460"/>
      <c r="AH222" s="460"/>
      <c r="AI222" s="460"/>
      <c r="AJ222" s="460"/>
      <c r="AK222" s="460"/>
      <c r="AL222" s="460"/>
      <c r="AM222" s="463">
        <f t="shared" si="201"/>
        <v>127.292</v>
      </c>
      <c r="AN222" s="463">
        <f t="shared" si="202"/>
        <v>127.292</v>
      </c>
      <c r="AO222" s="460">
        <f t="shared" si="203"/>
        <v>0</v>
      </c>
      <c r="AP222" s="460">
        <f t="shared" si="204"/>
        <v>0</v>
      </c>
      <c r="AQ222" s="460">
        <f t="shared" si="205"/>
        <v>0</v>
      </c>
      <c r="AR222" s="460">
        <f t="shared" si="206"/>
        <v>127.292</v>
      </c>
      <c r="AS222" s="460">
        <f t="shared" si="207"/>
        <v>0</v>
      </c>
      <c r="AT222" s="460">
        <f t="shared" si="208"/>
        <v>0</v>
      </c>
      <c r="AU222" s="463">
        <f t="shared" si="209"/>
        <v>0</v>
      </c>
      <c r="AV222" s="460">
        <f t="shared" si="195"/>
        <v>0</v>
      </c>
      <c r="AW222" s="460">
        <f t="shared" si="196"/>
        <v>0</v>
      </c>
      <c r="AX222" s="460">
        <f t="shared" si="210"/>
        <v>0</v>
      </c>
      <c r="AY222" s="460">
        <f t="shared" si="211"/>
        <v>0</v>
      </c>
      <c r="AZ222" s="463">
        <f t="shared" si="212"/>
        <v>0</v>
      </c>
      <c r="BA222" s="482"/>
      <c r="BB222" s="482"/>
    </row>
    <row r="223" s="425" customFormat="1" ht="39" customHeight="1" spans="1:54">
      <c r="A223" s="459">
        <v>218</v>
      </c>
      <c r="B223" s="460" t="s">
        <v>889</v>
      </c>
      <c r="C223" s="460" t="s">
        <v>203</v>
      </c>
      <c r="D223" s="461" t="s">
        <v>470</v>
      </c>
      <c r="E223" s="461" t="s">
        <v>1044</v>
      </c>
      <c r="F223" s="463">
        <f t="shared" si="191"/>
        <v>102.77</v>
      </c>
      <c r="G223" s="463">
        <f t="shared" si="190"/>
        <v>12.77</v>
      </c>
      <c r="H223" s="460">
        <v>10.2</v>
      </c>
      <c r="I223" s="460"/>
      <c r="J223" s="460">
        <v>2.57</v>
      </c>
      <c r="K223" s="460"/>
      <c r="L223" s="460"/>
      <c r="M223" s="460"/>
      <c r="N223" s="460"/>
      <c r="O223" s="459">
        <f t="shared" si="197"/>
        <v>0</v>
      </c>
      <c r="P223" s="460"/>
      <c r="Q223" s="460"/>
      <c r="R223" s="460"/>
      <c r="S223" s="460"/>
      <c r="T223" s="460"/>
      <c r="U223" s="463">
        <v>90</v>
      </c>
      <c r="V223" s="460" t="s">
        <v>838</v>
      </c>
      <c r="W223" s="460" t="s">
        <v>1045</v>
      </c>
      <c r="X223" s="463">
        <f t="shared" si="198"/>
        <v>-0.19</v>
      </c>
      <c r="Y223" s="463">
        <f t="shared" si="199"/>
        <v>-0.19</v>
      </c>
      <c r="Z223" s="460"/>
      <c r="AA223" s="460"/>
      <c r="AB223" s="460">
        <v>-0.19</v>
      </c>
      <c r="AC223" s="460"/>
      <c r="AD223" s="460"/>
      <c r="AE223" s="460"/>
      <c r="AF223" s="459">
        <f t="shared" si="200"/>
        <v>0</v>
      </c>
      <c r="AG223" s="460"/>
      <c r="AH223" s="460"/>
      <c r="AI223" s="460"/>
      <c r="AJ223" s="460"/>
      <c r="AK223" s="460"/>
      <c r="AL223" s="460"/>
      <c r="AM223" s="463">
        <f t="shared" si="201"/>
        <v>102.58</v>
      </c>
      <c r="AN223" s="463">
        <f t="shared" si="202"/>
        <v>12.58</v>
      </c>
      <c r="AO223" s="460">
        <f t="shared" si="203"/>
        <v>10.2</v>
      </c>
      <c r="AP223" s="460">
        <f t="shared" si="204"/>
        <v>0</v>
      </c>
      <c r="AQ223" s="460">
        <f t="shared" si="205"/>
        <v>2.38</v>
      </c>
      <c r="AR223" s="460">
        <f t="shared" si="206"/>
        <v>0</v>
      </c>
      <c r="AS223" s="460">
        <f t="shared" si="207"/>
        <v>0</v>
      </c>
      <c r="AT223" s="460">
        <f t="shared" si="208"/>
        <v>0</v>
      </c>
      <c r="AU223" s="463">
        <f t="shared" si="209"/>
        <v>0</v>
      </c>
      <c r="AV223" s="460">
        <f t="shared" si="195"/>
        <v>0</v>
      </c>
      <c r="AW223" s="460">
        <f t="shared" si="196"/>
        <v>0</v>
      </c>
      <c r="AX223" s="460">
        <f t="shared" si="210"/>
        <v>0</v>
      </c>
      <c r="AY223" s="460">
        <f t="shared" si="211"/>
        <v>0</v>
      </c>
      <c r="AZ223" s="463">
        <f t="shared" si="212"/>
        <v>90</v>
      </c>
      <c r="BA223" s="482"/>
      <c r="BB223" s="482"/>
    </row>
    <row r="224" s="426" customFormat="1" ht="39" customHeight="1" spans="1:54">
      <c r="A224" s="452">
        <v>219</v>
      </c>
      <c r="B224" s="485"/>
      <c r="C224" s="485"/>
      <c r="D224" s="490" t="s">
        <v>130</v>
      </c>
      <c r="E224" s="491">
        <v>206</v>
      </c>
      <c r="F224" s="468">
        <f t="shared" ref="F224:M224" si="213">SUM(F225:F228)</f>
        <v>62.86</v>
      </c>
      <c r="G224" s="468">
        <f t="shared" si="213"/>
        <v>5.88</v>
      </c>
      <c r="H224" s="468">
        <f t="shared" si="213"/>
        <v>0.6</v>
      </c>
      <c r="I224" s="468">
        <f t="shared" si="213"/>
        <v>0</v>
      </c>
      <c r="J224" s="468">
        <f t="shared" si="213"/>
        <v>5.28</v>
      </c>
      <c r="K224" s="468">
        <f t="shared" si="213"/>
        <v>0</v>
      </c>
      <c r="L224" s="468">
        <f t="shared" si="213"/>
        <v>0</v>
      </c>
      <c r="M224" s="468">
        <f t="shared" si="213"/>
        <v>0</v>
      </c>
      <c r="N224" s="456"/>
      <c r="O224" s="468">
        <f t="shared" ref="O224:S224" si="214">SUM(O225:O228)</f>
        <v>0.98</v>
      </c>
      <c r="P224" s="468">
        <f t="shared" si="214"/>
        <v>0.98</v>
      </c>
      <c r="Q224" s="468">
        <f t="shared" si="214"/>
        <v>0</v>
      </c>
      <c r="R224" s="468">
        <f t="shared" si="214"/>
        <v>0</v>
      </c>
      <c r="S224" s="468">
        <f t="shared" si="214"/>
        <v>0</v>
      </c>
      <c r="T224" s="456"/>
      <c r="U224" s="468">
        <f>SUM(U225:U228)</f>
        <v>56</v>
      </c>
      <c r="V224" s="456"/>
      <c r="W224" s="481"/>
      <c r="X224" s="468">
        <f>SUM(X225:X228)</f>
        <v>114.81</v>
      </c>
      <c r="Y224" s="468">
        <f t="shared" ref="Y224:AK224" si="215">SUM(Y225:Y228)</f>
        <v>39.77</v>
      </c>
      <c r="Z224" s="468">
        <f t="shared" si="215"/>
        <v>31.8</v>
      </c>
      <c r="AA224" s="468">
        <f t="shared" si="215"/>
        <v>0</v>
      </c>
      <c r="AB224" s="468">
        <f t="shared" si="215"/>
        <v>7.97</v>
      </c>
      <c r="AC224" s="468">
        <f t="shared" si="215"/>
        <v>0</v>
      </c>
      <c r="AD224" s="468">
        <f t="shared" si="215"/>
        <v>0</v>
      </c>
      <c r="AE224" s="468">
        <f t="shared" si="215"/>
        <v>0</v>
      </c>
      <c r="AF224" s="468">
        <f t="shared" si="215"/>
        <v>62.84</v>
      </c>
      <c r="AG224" s="468">
        <f t="shared" si="215"/>
        <v>62.84</v>
      </c>
      <c r="AH224" s="468">
        <f t="shared" si="215"/>
        <v>0</v>
      </c>
      <c r="AI224" s="468">
        <f t="shared" si="215"/>
        <v>0</v>
      </c>
      <c r="AJ224" s="468">
        <f t="shared" si="215"/>
        <v>0</v>
      </c>
      <c r="AK224" s="468">
        <f t="shared" si="215"/>
        <v>12.2</v>
      </c>
      <c r="AL224" s="456"/>
      <c r="AM224" s="468">
        <f t="shared" ref="AM224:AZ224" si="216">SUM(AM225:AM228)</f>
        <v>177.67</v>
      </c>
      <c r="AN224" s="468">
        <f t="shared" si="216"/>
        <v>45.65</v>
      </c>
      <c r="AO224" s="468">
        <f t="shared" si="216"/>
        <v>32.4</v>
      </c>
      <c r="AP224" s="468">
        <f t="shared" si="216"/>
        <v>0</v>
      </c>
      <c r="AQ224" s="468">
        <f t="shared" si="216"/>
        <v>13.25</v>
      </c>
      <c r="AR224" s="468">
        <f t="shared" si="216"/>
        <v>0</v>
      </c>
      <c r="AS224" s="468">
        <f t="shared" si="216"/>
        <v>0</v>
      </c>
      <c r="AT224" s="468">
        <f t="shared" si="216"/>
        <v>0</v>
      </c>
      <c r="AU224" s="468">
        <f t="shared" si="216"/>
        <v>63.82</v>
      </c>
      <c r="AV224" s="468">
        <f t="shared" si="216"/>
        <v>63.82</v>
      </c>
      <c r="AW224" s="468">
        <f t="shared" si="216"/>
        <v>0</v>
      </c>
      <c r="AX224" s="468">
        <f t="shared" si="216"/>
        <v>0</v>
      </c>
      <c r="AY224" s="468">
        <f t="shared" si="216"/>
        <v>0</v>
      </c>
      <c r="AZ224" s="468">
        <f t="shared" si="216"/>
        <v>68.2</v>
      </c>
      <c r="BA224" s="489"/>
      <c r="BB224" s="489"/>
    </row>
    <row r="225" s="425" customFormat="1" ht="39" customHeight="1" spans="1:54">
      <c r="A225" s="459">
        <v>220</v>
      </c>
      <c r="B225" s="460" t="s">
        <v>836</v>
      </c>
      <c r="C225" s="492" t="s">
        <v>203</v>
      </c>
      <c r="D225" s="487" t="s">
        <v>293</v>
      </c>
      <c r="E225" s="493" t="s">
        <v>1046</v>
      </c>
      <c r="F225" s="463">
        <f>G225+O225+U225</f>
        <v>0</v>
      </c>
      <c r="G225" s="463">
        <f>SUM(H225:M225)</f>
        <v>0</v>
      </c>
      <c r="H225" s="460"/>
      <c r="I225" s="460"/>
      <c r="J225" s="460"/>
      <c r="K225" s="487"/>
      <c r="L225" s="487"/>
      <c r="M225" s="487"/>
      <c r="N225" s="460"/>
      <c r="O225" s="459">
        <f t="shared" si="197"/>
        <v>0</v>
      </c>
      <c r="P225" s="460"/>
      <c r="Q225" s="460"/>
      <c r="R225" s="460"/>
      <c r="S225" s="460"/>
      <c r="T225" s="460"/>
      <c r="U225" s="463"/>
      <c r="V225" s="460"/>
      <c r="W225" s="460"/>
      <c r="X225" s="463">
        <f t="shared" si="198"/>
        <v>93.22</v>
      </c>
      <c r="Y225" s="463">
        <f t="shared" si="199"/>
        <v>18.22</v>
      </c>
      <c r="Z225" s="460">
        <v>9.6</v>
      </c>
      <c r="AA225" s="460"/>
      <c r="AB225" s="460">
        <f>10.7-2.08</f>
        <v>8.62</v>
      </c>
      <c r="AC225" s="460"/>
      <c r="AD225" s="460"/>
      <c r="AE225" s="460"/>
      <c r="AF225" s="459">
        <f t="shared" si="200"/>
        <v>62.8</v>
      </c>
      <c r="AG225" s="460">
        <f>12+50.8</f>
        <v>62.8</v>
      </c>
      <c r="AH225" s="460"/>
      <c r="AI225" s="460"/>
      <c r="AJ225" s="460"/>
      <c r="AK225" s="460">
        <f>10.7+1.5</f>
        <v>12.2</v>
      </c>
      <c r="AL225" s="460" t="s">
        <v>1047</v>
      </c>
      <c r="AM225" s="463">
        <f t="shared" si="201"/>
        <v>93.22</v>
      </c>
      <c r="AN225" s="463">
        <f t="shared" si="202"/>
        <v>18.22</v>
      </c>
      <c r="AO225" s="460">
        <f t="shared" si="203"/>
        <v>9.6</v>
      </c>
      <c r="AP225" s="460">
        <f t="shared" si="204"/>
        <v>0</v>
      </c>
      <c r="AQ225" s="460">
        <f t="shared" si="205"/>
        <v>8.62</v>
      </c>
      <c r="AR225" s="460">
        <f t="shared" si="206"/>
        <v>0</v>
      </c>
      <c r="AS225" s="460">
        <f t="shared" si="207"/>
        <v>0</v>
      </c>
      <c r="AT225" s="460">
        <f t="shared" si="208"/>
        <v>0</v>
      </c>
      <c r="AU225" s="463">
        <f t="shared" si="209"/>
        <v>62.8</v>
      </c>
      <c r="AV225" s="460">
        <f>P225+AG225</f>
        <v>62.8</v>
      </c>
      <c r="AW225" s="460">
        <f>Q225+AH225</f>
        <v>0</v>
      </c>
      <c r="AX225" s="460">
        <f t="shared" si="210"/>
        <v>0</v>
      </c>
      <c r="AY225" s="460">
        <f t="shared" si="211"/>
        <v>0</v>
      </c>
      <c r="AZ225" s="463">
        <f t="shared" si="212"/>
        <v>12.2</v>
      </c>
      <c r="BA225" s="482"/>
      <c r="BB225" s="482"/>
    </row>
    <row r="226" s="425" customFormat="1" ht="39" customHeight="1" spans="1:54">
      <c r="A226" s="459">
        <v>221</v>
      </c>
      <c r="B226" s="460" t="s">
        <v>836</v>
      </c>
      <c r="C226" s="492" t="s">
        <v>206</v>
      </c>
      <c r="D226" s="487" t="s">
        <v>296</v>
      </c>
      <c r="E226" s="493" t="s">
        <v>1048</v>
      </c>
      <c r="F226" s="463">
        <f>G226+O226+U226</f>
        <v>0</v>
      </c>
      <c r="G226" s="463">
        <f>SUM(H226:M226)</f>
        <v>0</v>
      </c>
      <c r="H226" s="460"/>
      <c r="I226" s="460"/>
      <c r="J226" s="460"/>
      <c r="K226" s="487"/>
      <c r="L226" s="487"/>
      <c r="M226" s="487"/>
      <c r="N226" s="460"/>
      <c r="O226" s="459">
        <f t="shared" si="197"/>
        <v>0</v>
      </c>
      <c r="P226" s="460"/>
      <c r="Q226" s="460"/>
      <c r="R226" s="460"/>
      <c r="S226" s="460"/>
      <c r="T226" s="460"/>
      <c r="U226" s="463"/>
      <c r="V226" s="460"/>
      <c r="W226" s="461"/>
      <c r="X226" s="463">
        <f t="shared" si="198"/>
        <v>22.2</v>
      </c>
      <c r="Y226" s="463">
        <f t="shared" si="199"/>
        <v>22.2</v>
      </c>
      <c r="Z226" s="460">
        <v>22.2</v>
      </c>
      <c r="AA226" s="460"/>
      <c r="AB226" s="460"/>
      <c r="AC226" s="460"/>
      <c r="AD226" s="460"/>
      <c r="AE226" s="460"/>
      <c r="AF226" s="459">
        <f t="shared" si="200"/>
        <v>0</v>
      </c>
      <c r="AG226" s="460"/>
      <c r="AH226" s="460"/>
      <c r="AI226" s="460"/>
      <c r="AJ226" s="460"/>
      <c r="AK226" s="460"/>
      <c r="AL226" s="460"/>
      <c r="AM226" s="463">
        <f t="shared" si="201"/>
        <v>22.2</v>
      </c>
      <c r="AN226" s="463">
        <f t="shared" si="202"/>
        <v>22.2</v>
      </c>
      <c r="AO226" s="460">
        <f t="shared" si="203"/>
        <v>22.2</v>
      </c>
      <c r="AP226" s="460">
        <f t="shared" si="204"/>
        <v>0</v>
      </c>
      <c r="AQ226" s="460">
        <f t="shared" si="205"/>
        <v>0</v>
      </c>
      <c r="AR226" s="460">
        <f t="shared" si="206"/>
        <v>0</v>
      </c>
      <c r="AS226" s="460">
        <f t="shared" si="207"/>
        <v>0</v>
      </c>
      <c r="AT226" s="460">
        <f t="shared" si="208"/>
        <v>0</v>
      </c>
      <c r="AU226" s="463">
        <f t="shared" si="209"/>
        <v>0</v>
      </c>
      <c r="AV226" s="460">
        <f>P226+AG226</f>
        <v>0</v>
      </c>
      <c r="AW226" s="460">
        <f>Q226+AH226</f>
        <v>0</v>
      </c>
      <c r="AX226" s="460">
        <f t="shared" si="210"/>
        <v>0</v>
      </c>
      <c r="AY226" s="460">
        <f t="shared" si="211"/>
        <v>0</v>
      </c>
      <c r="AZ226" s="463">
        <f t="shared" si="212"/>
        <v>0</v>
      </c>
      <c r="BA226" s="482"/>
      <c r="BB226" s="482"/>
    </row>
    <row r="227" s="425" customFormat="1" ht="39" customHeight="1" spans="1:54">
      <c r="A227" s="459">
        <v>222</v>
      </c>
      <c r="B227" s="460" t="s">
        <v>889</v>
      </c>
      <c r="C227" s="492" t="s">
        <v>206</v>
      </c>
      <c r="D227" s="487" t="s">
        <v>478</v>
      </c>
      <c r="E227" s="487" t="s">
        <v>1049</v>
      </c>
      <c r="F227" s="463">
        <f>G227+O227+U227</f>
        <v>0.6</v>
      </c>
      <c r="G227" s="463">
        <f>SUM(H227:M227)</f>
        <v>0.6</v>
      </c>
      <c r="H227" s="460">
        <v>0.6</v>
      </c>
      <c r="I227" s="460"/>
      <c r="J227" s="460"/>
      <c r="K227" s="487"/>
      <c r="L227" s="487"/>
      <c r="M227" s="487"/>
      <c r="N227" s="460"/>
      <c r="O227" s="459">
        <f t="shared" ref="O227:O275" si="217">SUM(P227:S227)</f>
        <v>0</v>
      </c>
      <c r="P227" s="460"/>
      <c r="Q227" s="460"/>
      <c r="R227" s="460"/>
      <c r="S227" s="460"/>
      <c r="T227" s="460"/>
      <c r="U227" s="463"/>
      <c r="V227" s="460"/>
      <c r="W227" s="460"/>
      <c r="X227" s="463">
        <f t="shared" si="198"/>
        <v>0</v>
      </c>
      <c r="Y227" s="463">
        <f t="shared" si="199"/>
        <v>0</v>
      </c>
      <c r="Z227" s="460"/>
      <c r="AA227" s="460"/>
      <c r="AB227" s="460"/>
      <c r="AC227" s="460"/>
      <c r="AD227" s="460"/>
      <c r="AE227" s="460"/>
      <c r="AF227" s="459">
        <f t="shared" si="200"/>
        <v>0</v>
      </c>
      <c r="AG227" s="460"/>
      <c r="AH227" s="460"/>
      <c r="AI227" s="460"/>
      <c r="AJ227" s="460"/>
      <c r="AK227" s="460"/>
      <c r="AL227" s="460"/>
      <c r="AM227" s="463">
        <f t="shared" ref="AM227:AM269" si="218">AN227+AU227+AZ227</f>
        <v>0.6</v>
      </c>
      <c r="AN227" s="463">
        <f t="shared" ref="AN227:AN269" si="219">SUM(AO227:AT227)</f>
        <v>0.6</v>
      </c>
      <c r="AO227" s="460">
        <f t="shared" ref="AO227:AO269" si="220">H227+Z227</f>
        <v>0.6</v>
      </c>
      <c r="AP227" s="460">
        <f t="shared" ref="AP227:AP269" si="221">I227+AA227</f>
        <v>0</v>
      </c>
      <c r="AQ227" s="460">
        <f t="shared" ref="AQ227:AQ269" si="222">J227+AB227</f>
        <v>0</v>
      </c>
      <c r="AR227" s="460">
        <f t="shared" ref="AR227:AR269" si="223">K227+AC227</f>
        <v>0</v>
      </c>
      <c r="AS227" s="460">
        <f t="shared" ref="AS227:AS269" si="224">L227+AD227</f>
        <v>0</v>
      </c>
      <c r="AT227" s="460">
        <f t="shared" ref="AT227:AT269" si="225">M227+AE227</f>
        <v>0</v>
      </c>
      <c r="AU227" s="463">
        <f t="shared" ref="AU227:AU269" si="226">SUM(AV227:AY227)</f>
        <v>0</v>
      </c>
      <c r="AV227" s="460">
        <f t="shared" ref="AV227:AV242" si="227">P227+AG227</f>
        <v>0</v>
      </c>
      <c r="AW227" s="460">
        <f>Q227+AH227</f>
        <v>0</v>
      </c>
      <c r="AX227" s="460">
        <f t="shared" ref="AX227:AX269" si="228">R227+AI227</f>
        <v>0</v>
      </c>
      <c r="AY227" s="460">
        <f t="shared" ref="AY227:AY269" si="229">S227+AJ227</f>
        <v>0</v>
      </c>
      <c r="AZ227" s="463">
        <f t="shared" ref="AZ227:AZ269" si="230">U227+AK227</f>
        <v>0</v>
      </c>
      <c r="BA227" s="482"/>
      <c r="BB227" s="482"/>
    </row>
    <row r="228" s="425" customFormat="1" ht="39" customHeight="1" spans="1:54">
      <c r="A228" s="459">
        <v>223</v>
      </c>
      <c r="B228" s="460" t="s">
        <v>889</v>
      </c>
      <c r="C228" s="492" t="s">
        <v>203</v>
      </c>
      <c r="D228" s="487" t="s">
        <v>1050</v>
      </c>
      <c r="E228" s="487" t="s">
        <v>1049</v>
      </c>
      <c r="F228" s="463">
        <f>G228+O228+U228</f>
        <v>62.26</v>
      </c>
      <c r="G228" s="463">
        <f>SUM(H228:M228)</f>
        <v>5.28</v>
      </c>
      <c r="H228" s="460">
        <v>0</v>
      </c>
      <c r="I228" s="460"/>
      <c r="J228" s="460">
        <v>5.28</v>
      </c>
      <c r="K228" s="487"/>
      <c r="L228" s="487"/>
      <c r="M228" s="487"/>
      <c r="N228" s="460"/>
      <c r="O228" s="459">
        <f t="shared" si="217"/>
        <v>0.98</v>
      </c>
      <c r="P228" s="460">
        <v>0.98</v>
      </c>
      <c r="Q228" s="460"/>
      <c r="R228" s="460"/>
      <c r="S228" s="460"/>
      <c r="T228" s="460"/>
      <c r="U228" s="463">
        <v>56</v>
      </c>
      <c r="V228" s="460" t="s">
        <v>838</v>
      </c>
      <c r="W228" s="461" t="s">
        <v>1051</v>
      </c>
      <c r="X228" s="463">
        <f t="shared" si="198"/>
        <v>-0.61</v>
      </c>
      <c r="Y228" s="463">
        <f t="shared" si="199"/>
        <v>-0.65</v>
      </c>
      <c r="Z228" s="460"/>
      <c r="AA228" s="460"/>
      <c r="AB228" s="460">
        <v>-0.65</v>
      </c>
      <c r="AC228" s="460"/>
      <c r="AD228" s="460"/>
      <c r="AE228" s="460"/>
      <c r="AF228" s="459">
        <f t="shared" si="200"/>
        <v>0.04</v>
      </c>
      <c r="AG228" s="460">
        <v>0.04</v>
      </c>
      <c r="AH228" s="460"/>
      <c r="AI228" s="460"/>
      <c r="AJ228" s="460"/>
      <c r="AK228" s="460"/>
      <c r="AL228" s="460"/>
      <c r="AM228" s="463">
        <f t="shared" si="218"/>
        <v>61.65</v>
      </c>
      <c r="AN228" s="463">
        <f t="shared" si="219"/>
        <v>4.63</v>
      </c>
      <c r="AO228" s="460">
        <f t="shared" si="220"/>
        <v>0</v>
      </c>
      <c r="AP228" s="460">
        <f t="shared" si="221"/>
        <v>0</v>
      </c>
      <c r="AQ228" s="460">
        <f t="shared" si="222"/>
        <v>4.63</v>
      </c>
      <c r="AR228" s="460">
        <f t="shared" si="223"/>
        <v>0</v>
      </c>
      <c r="AS228" s="460">
        <f t="shared" si="224"/>
        <v>0</v>
      </c>
      <c r="AT228" s="460">
        <f t="shared" si="225"/>
        <v>0</v>
      </c>
      <c r="AU228" s="463">
        <f t="shared" si="226"/>
        <v>1.02</v>
      </c>
      <c r="AV228" s="460">
        <f t="shared" si="227"/>
        <v>1.02</v>
      </c>
      <c r="AW228" s="460">
        <f>Q228+AH228</f>
        <v>0</v>
      </c>
      <c r="AX228" s="460">
        <f t="shared" si="228"/>
        <v>0</v>
      </c>
      <c r="AY228" s="460">
        <f t="shared" si="229"/>
        <v>0</v>
      </c>
      <c r="AZ228" s="463">
        <f t="shared" si="230"/>
        <v>56</v>
      </c>
      <c r="BA228" s="482"/>
      <c r="BB228" s="482"/>
    </row>
    <row r="229" s="426" customFormat="1" ht="24" spans="1:54">
      <c r="A229" s="452">
        <v>224</v>
      </c>
      <c r="B229" s="485"/>
      <c r="C229" s="494"/>
      <c r="D229" s="490" t="s">
        <v>131</v>
      </c>
      <c r="E229" s="491">
        <v>207</v>
      </c>
      <c r="F229" s="456">
        <f>SUM(F230:F242)</f>
        <v>728.44</v>
      </c>
      <c r="G229" s="456">
        <f t="shared" ref="G229:M229" si="231">SUM(G230:G242)</f>
        <v>93.94</v>
      </c>
      <c r="H229" s="456">
        <f t="shared" si="231"/>
        <v>81.6</v>
      </c>
      <c r="I229" s="456">
        <f t="shared" si="231"/>
        <v>4</v>
      </c>
      <c r="J229" s="456">
        <f t="shared" si="231"/>
        <v>8.34</v>
      </c>
      <c r="K229" s="456">
        <f t="shared" si="231"/>
        <v>0</v>
      </c>
      <c r="L229" s="456">
        <f t="shared" si="231"/>
        <v>0</v>
      </c>
      <c r="M229" s="456">
        <f t="shared" si="231"/>
        <v>0</v>
      </c>
      <c r="N229" s="456"/>
      <c r="O229" s="456">
        <f>SUM(O230:O242)</f>
        <v>7.5</v>
      </c>
      <c r="P229" s="456">
        <f>SUM(P230:P242)</f>
        <v>7.5</v>
      </c>
      <c r="Q229" s="456">
        <f>SUM(Q230:Q242)</f>
        <v>0</v>
      </c>
      <c r="R229" s="456">
        <f>SUM(R230:R242)</f>
        <v>0</v>
      </c>
      <c r="S229" s="456">
        <f>SUM(S230:S242)</f>
        <v>0</v>
      </c>
      <c r="T229" s="456"/>
      <c r="U229" s="456">
        <f>SUM(U230:U242)</f>
        <v>627</v>
      </c>
      <c r="V229" s="456"/>
      <c r="W229" s="481"/>
      <c r="X229" s="468">
        <f t="shared" ref="X229:AM229" si="232">SUM(X230:X242)</f>
        <v>265.99</v>
      </c>
      <c r="Y229" s="468">
        <f t="shared" si="232"/>
        <v>-0.99</v>
      </c>
      <c r="Z229" s="468">
        <f t="shared" si="232"/>
        <v>0</v>
      </c>
      <c r="AA229" s="468">
        <f t="shared" si="232"/>
        <v>0</v>
      </c>
      <c r="AB229" s="468">
        <f t="shared" si="232"/>
        <v>-0.99</v>
      </c>
      <c r="AC229" s="468">
        <f t="shared" si="232"/>
        <v>0</v>
      </c>
      <c r="AD229" s="468">
        <f t="shared" si="232"/>
        <v>0</v>
      </c>
      <c r="AE229" s="468">
        <f t="shared" si="232"/>
        <v>0</v>
      </c>
      <c r="AF229" s="468">
        <f t="shared" si="232"/>
        <v>23.48</v>
      </c>
      <c r="AG229" s="468">
        <f t="shared" si="232"/>
        <v>22.53</v>
      </c>
      <c r="AH229" s="468">
        <f t="shared" si="232"/>
        <v>0.95</v>
      </c>
      <c r="AI229" s="468">
        <f t="shared" si="232"/>
        <v>0</v>
      </c>
      <c r="AJ229" s="468">
        <f t="shared" si="232"/>
        <v>0</v>
      </c>
      <c r="AK229" s="468">
        <f t="shared" si="232"/>
        <v>243.5</v>
      </c>
      <c r="AL229" s="456"/>
      <c r="AM229" s="468">
        <f t="shared" ref="AL229:BA229" si="233">SUM(AM230:AM242)</f>
        <v>994.43</v>
      </c>
      <c r="AN229" s="468">
        <f t="shared" si="233"/>
        <v>92.95</v>
      </c>
      <c r="AO229" s="468">
        <f t="shared" si="233"/>
        <v>81.6</v>
      </c>
      <c r="AP229" s="468">
        <f t="shared" si="233"/>
        <v>4</v>
      </c>
      <c r="AQ229" s="468">
        <f t="shared" si="233"/>
        <v>7.35</v>
      </c>
      <c r="AR229" s="468">
        <f t="shared" si="233"/>
        <v>0</v>
      </c>
      <c r="AS229" s="468">
        <f t="shared" si="233"/>
        <v>0</v>
      </c>
      <c r="AT229" s="468">
        <f t="shared" si="233"/>
        <v>0</v>
      </c>
      <c r="AU229" s="468">
        <f t="shared" si="233"/>
        <v>30.98</v>
      </c>
      <c r="AV229" s="468">
        <f t="shared" si="233"/>
        <v>30.03</v>
      </c>
      <c r="AW229" s="468">
        <f t="shared" si="233"/>
        <v>0.95</v>
      </c>
      <c r="AX229" s="468">
        <f t="shared" si="233"/>
        <v>0</v>
      </c>
      <c r="AY229" s="468">
        <f t="shared" si="233"/>
        <v>0</v>
      </c>
      <c r="AZ229" s="468">
        <f t="shared" si="233"/>
        <v>870.5</v>
      </c>
      <c r="BA229" s="489"/>
      <c r="BB229" s="489"/>
    </row>
    <row r="230" s="425" customFormat="1" ht="39" customHeight="1" spans="1:54">
      <c r="A230" s="459">
        <v>225</v>
      </c>
      <c r="B230" s="460" t="s">
        <v>889</v>
      </c>
      <c r="C230" s="492" t="s">
        <v>203</v>
      </c>
      <c r="D230" s="487" t="s">
        <v>479</v>
      </c>
      <c r="E230" s="487" t="s">
        <v>1052</v>
      </c>
      <c r="F230" s="463">
        <f t="shared" ref="F230:F242" si="234">G230+O230+U230</f>
        <v>175.1</v>
      </c>
      <c r="G230" s="463">
        <f t="shared" ref="G230:G242" si="235">SUM(H230:M230)</f>
        <v>8.1</v>
      </c>
      <c r="H230" s="487">
        <v>3.6</v>
      </c>
      <c r="I230" s="487"/>
      <c r="J230" s="487">
        <v>4.5</v>
      </c>
      <c r="K230" s="487"/>
      <c r="L230" s="487"/>
      <c r="M230" s="492"/>
      <c r="N230" s="460"/>
      <c r="O230" s="459">
        <f t="shared" si="217"/>
        <v>5</v>
      </c>
      <c r="P230" s="460">
        <v>5</v>
      </c>
      <c r="Q230" s="460"/>
      <c r="R230" s="460"/>
      <c r="S230" s="460"/>
      <c r="T230" s="460"/>
      <c r="U230" s="463">
        <v>162</v>
      </c>
      <c r="V230" s="460" t="s">
        <v>838</v>
      </c>
      <c r="W230" s="460" t="s">
        <v>1053</v>
      </c>
      <c r="X230" s="463">
        <f>Y230+AF230+AK230</f>
        <v>19.13</v>
      </c>
      <c r="Y230" s="463">
        <f>SUM(Z230:AE230)</f>
        <v>-0.12</v>
      </c>
      <c r="Z230" s="460"/>
      <c r="AA230" s="460"/>
      <c r="AB230" s="460">
        <v>-0.12</v>
      </c>
      <c r="AC230" s="460"/>
      <c r="AD230" s="460"/>
      <c r="AE230" s="460"/>
      <c r="AF230" s="459">
        <f>SUM(AG230:AJ230)</f>
        <v>17.75</v>
      </c>
      <c r="AG230" s="460">
        <f>8+8.8</f>
        <v>16.8</v>
      </c>
      <c r="AH230" s="460">
        <v>0.95</v>
      </c>
      <c r="AI230" s="460"/>
      <c r="AJ230" s="460"/>
      <c r="AK230" s="460">
        <v>1.5</v>
      </c>
      <c r="AL230" s="460" t="s">
        <v>846</v>
      </c>
      <c r="AM230" s="463">
        <f t="shared" si="218"/>
        <v>194.23</v>
      </c>
      <c r="AN230" s="463">
        <f t="shared" si="219"/>
        <v>7.98</v>
      </c>
      <c r="AO230" s="460">
        <f t="shared" si="220"/>
        <v>3.6</v>
      </c>
      <c r="AP230" s="460">
        <f t="shared" si="221"/>
        <v>0</v>
      </c>
      <c r="AQ230" s="460">
        <f t="shared" si="222"/>
        <v>4.38</v>
      </c>
      <c r="AR230" s="460">
        <f t="shared" si="223"/>
        <v>0</v>
      </c>
      <c r="AS230" s="460">
        <f t="shared" si="224"/>
        <v>0</v>
      </c>
      <c r="AT230" s="460">
        <f t="shared" si="225"/>
        <v>0</v>
      </c>
      <c r="AU230" s="463">
        <f t="shared" si="226"/>
        <v>22.75</v>
      </c>
      <c r="AV230" s="460">
        <f t="shared" si="227"/>
        <v>21.8</v>
      </c>
      <c r="AW230" s="460">
        <f t="shared" ref="AW230:AW242" si="236">Q230+AH230</f>
        <v>0.95</v>
      </c>
      <c r="AX230" s="460">
        <f t="shared" si="228"/>
        <v>0</v>
      </c>
      <c r="AY230" s="460">
        <f t="shared" si="229"/>
        <v>0</v>
      </c>
      <c r="AZ230" s="463">
        <f t="shared" si="230"/>
        <v>163.5</v>
      </c>
      <c r="BA230" s="482"/>
      <c r="BB230" s="482"/>
    </row>
    <row r="231" s="425" customFormat="1" ht="48" spans="1:54">
      <c r="A231" s="459">
        <v>226</v>
      </c>
      <c r="B231" s="460" t="s">
        <v>889</v>
      </c>
      <c r="C231" s="492" t="s">
        <v>206</v>
      </c>
      <c r="D231" s="487" t="s">
        <v>481</v>
      </c>
      <c r="E231" s="487" t="s">
        <v>1054</v>
      </c>
      <c r="F231" s="463">
        <f t="shared" si="234"/>
        <v>67.2</v>
      </c>
      <c r="G231" s="463">
        <f t="shared" si="235"/>
        <v>4.2</v>
      </c>
      <c r="H231" s="487">
        <v>4.2</v>
      </c>
      <c r="I231" s="487"/>
      <c r="J231" s="487"/>
      <c r="K231" s="487"/>
      <c r="L231" s="487"/>
      <c r="M231" s="492"/>
      <c r="N231" s="460"/>
      <c r="O231" s="459">
        <f t="shared" si="217"/>
        <v>0</v>
      </c>
      <c r="P231" s="460"/>
      <c r="Q231" s="460"/>
      <c r="R231" s="460"/>
      <c r="S231" s="460"/>
      <c r="T231" s="460"/>
      <c r="U231" s="463">
        <v>63</v>
      </c>
      <c r="V231" s="460"/>
      <c r="W231" s="460" t="s">
        <v>1055</v>
      </c>
      <c r="X231" s="463">
        <f t="shared" ref="X231:X242" si="237">Y231+AF231+AK231</f>
        <v>200</v>
      </c>
      <c r="Y231" s="463">
        <f t="shared" ref="Y231:Y242" si="238">SUM(Z231:AE231)</f>
        <v>0</v>
      </c>
      <c r="Z231" s="460"/>
      <c r="AA231" s="460"/>
      <c r="AB231" s="460"/>
      <c r="AC231" s="460"/>
      <c r="AD231" s="460"/>
      <c r="AE231" s="460"/>
      <c r="AF231" s="459">
        <f t="shared" ref="AF231:AF242" si="239">SUM(AG231:AJ231)</f>
        <v>0</v>
      </c>
      <c r="AG231" s="460"/>
      <c r="AH231" s="460"/>
      <c r="AI231" s="460"/>
      <c r="AJ231" s="460"/>
      <c r="AK231" s="460">
        <v>200</v>
      </c>
      <c r="AL231" s="460" t="s">
        <v>1056</v>
      </c>
      <c r="AM231" s="463">
        <f t="shared" si="218"/>
        <v>267.2</v>
      </c>
      <c r="AN231" s="463">
        <f t="shared" si="219"/>
        <v>4.2</v>
      </c>
      <c r="AO231" s="460">
        <f t="shared" si="220"/>
        <v>4.2</v>
      </c>
      <c r="AP231" s="460">
        <f t="shared" si="221"/>
        <v>0</v>
      </c>
      <c r="AQ231" s="460">
        <f t="shared" si="222"/>
        <v>0</v>
      </c>
      <c r="AR231" s="460">
        <f t="shared" si="223"/>
        <v>0</v>
      </c>
      <c r="AS231" s="460">
        <f t="shared" si="224"/>
        <v>0</v>
      </c>
      <c r="AT231" s="460">
        <f t="shared" si="225"/>
        <v>0</v>
      </c>
      <c r="AU231" s="463">
        <f t="shared" si="226"/>
        <v>0</v>
      </c>
      <c r="AV231" s="460">
        <f t="shared" si="227"/>
        <v>0</v>
      </c>
      <c r="AW231" s="460">
        <f t="shared" si="236"/>
        <v>0</v>
      </c>
      <c r="AX231" s="460">
        <f t="shared" si="228"/>
        <v>0</v>
      </c>
      <c r="AY231" s="460">
        <f t="shared" si="229"/>
        <v>0</v>
      </c>
      <c r="AZ231" s="463">
        <f t="shared" si="230"/>
        <v>263</v>
      </c>
      <c r="BA231" s="482"/>
      <c r="BB231" s="482"/>
    </row>
    <row r="232" s="425" customFormat="1" ht="39" customHeight="1" spans="1:54">
      <c r="A232" s="459">
        <v>227</v>
      </c>
      <c r="B232" s="460" t="s">
        <v>889</v>
      </c>
      <c r="C232" s="492" t="s">
        <v>483</v>
      </c>
      <c r="D232" s="487" t="s">
        <v>484</v>
      </c>
      <c r="E232" s="487" t="s">
        <v>1057</v>
      </c>
      <c r="F232" s="463">
        <f t="shared" si="234"/>
        <v>67.6</v>
      </c>
      <c r="G232" s="463">
        <f t="shared" si="235"/>
        <v>9.6</v>
      </c>
      <c r="H232" s="487">
        <v>9.6</v>
      </c>
      <c r="I232" s="487"/>
      <c r="J232" s="487"/>
      <c r="K232" s="487"/>
      <c r="L232" s="487"/>
      <c r="M232" s="487"/>
      <c r="N232" s="460"/>
      <c r="O232" s="459">
        <f t="shared" si="217"/>
        <v>0</v>
      </c>
      <c r="P232" s="460"/>
      <c r="Q232" s="460"/>
      <c r="R232" s="460"/>
      <c r="S232" s="460"/>
      <c r="T232" s="460"/>
      <c r="U232" s="463">
        <v>58</v>
      </c>
      <c r="V232" s="460" t="s">
        <v>838</v>
      </c>
      <c r="W232" s="460" t="s">
        <v>1058</v>
      </c>
      <c r="X232" s="463">
        <f t="shared" si="237"/>
        <v>3.72</v>
      </c>
      <c r="Y232" s="463">
        <f t="shared" si="238"/>
        <v>0</v>
      </c>
      <c r="Z232" s="460"/>
      <c r="AA232" s="460"/>
      <c r="AB232" s="460"/>
      <c r="AC232" s="460"/>
      <c r="AD232" s="460"/>
      <c r="AE232" s="460"/>
      <c r="AF232" s="459">
        <f t="shared" si="239"/>
        <v>0.72</v>
      </c>
      <c r="AG232" s="460">
        <v>0.72</v>
      </c>
      <c r="AH232" s="460"/>
      <c r="AI232" s="460"/>
      <c r="AJ232" s="460"/>
      <c r="AK232" s="460">
        <v>3</v>
      </c>
      <c r="AL232" s="460" t="s">
        <v>1059</v>
      </c>
      <c r="AM232" s="463">
        <f t="shared" si="218"/>
        <v>71.32</v>
      </c>
      <c r="AN232" s="463">
        <f t="shared" si="219"/>
        <v>9.6</v>
      </c>
      <c r="AO232" s="460">
        <f t="shared" si="220"/>
        <v>9.6</v>
      </c>
      <c r="AP232" s="460">
        <f t="shared" si="221"/>
        <v>0</v>
      </c>
      <c r="AQ232" s="460">
        <f t="shared" si="222"/>
        <v>0</v>
      </c>
      <c r="AR232" s="460">
        <f t="shared" si="223"/>
        <v>0</v>
      </c>
      <c r="AS232" s="460">
        <f t="shared" si="224"/>
        <v>0</v>
      </c>
      <c r="AT232" s="460">
        <f t="shared" si="225"/>
        <v>0</v>
      </c>
      <c r="AU232" s="463">
        <f t="shared" si="226"/>
        <v>0.72</v>
      </c>
      <c r="AV232" s="460">
        <f t="shared" si="227"/>
        <v>0.72</v>
      </c>
      <c r="AW232" s="460">
        <f t="shared" si="236"/>
        <v>0</v>
      </c>
      <c r="AX232" s="460">
        <f t="shared" si="228"/>
        <v>0</v>
      </c>
      <c r="AY232" s="460">
        <f t="shared" si="229"/>
        <v>0</v>
      </c>
      <c r="AZ232" s="463">
        <f t="shared" si="230"/>
        <v>61</v>
      </c>
      <c r="BA232" s="482"/>
      <c r="BB232" s="482"/>
    </row>
    <row r="233" s="425" customFormat="1" ht="39" customHeight="1" spans="1:54">
      <c r="A233" s="459">
        <v>228</v>
      </c>
      <c r="B233" s="460" t="s">
        <v>889</v>
      </c>
      <c r="C233" s="492" t="s">
        <v>206</v>
      </c>
      <c r="D233" s="487" t="s">
        <v>486</v>
      </c>
      <c r="E233" s="487" t="s">
        <v>1060</v>
      </c>
      <c r="F233" s="463">
        <f t="shared" si="234"/>
        <v>9.8</v>
      </c>
      <c r="G233" s="463">
        <f t="shared" si="235"/>
        <v>4.8</v>
      </c>
      <c r="H233" s="487">
        <v>4.8</v>
      </c>
      <c r="I233" s="487"/>
      <c r="J233" s="487"/>
      <c r="K233" s="487"/>
      <c r="L233" s="487"/>
      <c r="M233" s="487"/>
      <c r="N233" s="460"/>
      <c r="O233" s="459">
        <f t="shared" si="217"/>
        <v>0</v>
      </c>
      <c r="P233" s="460"/>
      <c r="Q233" s="460"/>
      <c r="R233" s="460"/>
      <c r="S233" s="460"/>
      <c r="T233" s="460"/>
      <c r="U233" s="463">
        <v>5</v>
      </c>
      <c r="V233" s="460" t="s">
        <v>838</v>
      </c>
      <c r="W233" s="460" t="s">
        <v>1061</v>
      </c>
      <c r="X233" s="463">
        <f t="shared" si="237"/>
        <v>0</v>
      </c>
      <c r="Y233" s="463">
        <f t="shared" si="238"/>
        <v>0</v>
      </c>
      <c r="Z233" s="460"/>
      <c r="AA233" s="460"/>
      <c r="AB233" s="460"/>
      <c r="AC233" s="460"/>
      <c r="AD233" s="460"/>
      <c r="AE233" s="460"/>
      <c r="AF233" s="459">
        <f t="shared" si="239"/>
        <v>0</v>
      </c>
      <c r="AG233" s="460"/>
      <c r="AH233" s="460"/>
      <c r="AI233" s="460"/>
      <c r="AJ233" s="460"/>
      <c r="AK233" s="460"/>
      <c r="AL233" s="460"/>
      <c r="AM233" s="463">
        <f t="shared" si="218"/>
        <v>9.8</v>
      </c>
      <c r="AN233" s="463">
        <f t="shared" si="219"/>
        <v>4.8</v>
      </c>
      <c r="AO233" s="460">
        <f t="shared" si="220"/>
        <v>4.8</v>
      </c>
      <c r="AP233" s="460">
        <f t="shared" si="221"/>
        <v>0</v>
      </c>
      <c r="AQ233" s="460">
        <f t="shared" si="222"/>
        <v>0</v>
      </c>
      <c r="AR233" s="460">
        <f t="shared" si="223"/>
        <v>0</v>
      </c>
      <c r="AS233" s="460">
        <f t="shared" si="224"/>
        <v>0</v>
      </c>
      <c r="AT233" s="460">
        <f t="shared" si="225"/>
        <v>0</v>
      </c>
      <c r="AU233" s="463">
        <f t="shared" si="226"/>
        <v>0</v>
      </c>
      <c r="AV233" s="460">
        <f t="shared" si="227"/>
        <v>0</v>
      </c>
      <c r="AW233" s="460">
        <f t="shared" si="236"/>
        <v>0</v>
      </c>
      <c r="AX233" s="460">
        <f t="shared" si="228"/>
        <v>0</v>
      </c>
      <c r="AY233" s="460">
        <f t="shared" si="229"/>
        <v>0</v>
      </c>
      <c r="AZ233" s="463">
        <f t="shared" si="230"/>
        <v>5</v>
      </c>
      <c r="BA233" s="482"/>
      <c r="BB233" s="482"/>
    </row>
    <row r="234" s="425" customFormat="1" ht="39" customHeight="1" spans="1:54">
      <c r="A234" s="459">
        <v>229</v>
      </c>
      <c r="B234" s="460" t="s">
        <v>889</v>
      </c>
      <c r="C234" s="492" t="s">
        <v>203</v>
      </c>
      <c r="D234" s="487" t="s">
        <v>488</v>
      </c>
      <c r="E234" s="487" t="s">
        <v>1062</v>
      </c>
      <c r="F234" s="463">
        <f t="shared" si="234"/>
        <v>7.04</v>
      </c>
      <c r="G234" s="463">
        <f t="shared" si="235"/>
        <v>5.04</v>
      </c>
      <c r="H234" s="487">
        <v>2.4</v>
      </c>
      <c r="I234" s="487"/>
      <c r="J234" s="487">
        <v>2.64</v>
      </c>
      <c r="K234" s="487"/>
      <c r="L234" s="487"/>
      <c r="M234" s="487"/>
      <c r="N234" s="460"/>
      <c r="O234" s="459">
        <f t="shared" si="217"/>
        <v>0</v>
      </c>
      <c r="P234" s="460"/>
      <c r="Q234" s="460"/>
      <c r="R234" s="460"/>
      <c r="S234" s="460"/>
      <c r="T234" s="460"/>
      <c r="U234" s="463">
        <v>2</v>
      </c>
      <c r="V234" s="460" t="s">
        <v>838</v>
      </c>
      <c r="W234" s="460" t="s">
        <v>1063</v>
      </c>
      <c r="X234" s="463">
        <f t="shared" si="237"/>
        <v>0</v>
      </c>
      <c r="Y234" s="463">
        <f t="shared" si="238"/>
        <v>0</v>
      </c>
      <c r="Z234" s="460"/>
      <c r="AA234" s="460"/>
      <c r="AB234" s="460"/>
      <c r="AC234" s="460"/>
      <c r="AD234" s="460"/>
      <c r="AE234" s="460"/>
      <c r="AF234" s="459">
        <f t="shared" si="239"/>
        <v>0</v>
      </c>
      <c r="AG234" s="460"/>
      <c r="AH234" s="460"/>
      <c r="AI234" s="460"/>
      <c r="AJ234" s="460"/>
      <c r="AK234" s="460"/>
      <c r="AL234" s="460"/>
      <c r="AM234" s="463">
        <f t="shared" si="218"/>
        <v>7.04</v>
      </c>
      <c r="AN234" s="463">
        <f t="shared" si="219"/>
        <v>5.04</v>
      </c>
      <c r="AO234" s="460">
        <f t="shared" si="220"/>
        <v>2.4</v>
      </c>
      <c r="AP234" s="460">
        <f t="shared" si="221"/>
        <v>0</v>
      </c>
      <c r="AQ234" s="460">
        <f t="shared" si="222"/>
        <v>2.64</v>
      </c>
      <c r="AR234" s="460">
        <f t="shared" si="223"/>
        <v>0</v>
      </c>
      <c r="AS234" s="460">
        <f t="shared" si="224"/>
        <v>0</v>
      </c>
      <c r="AT234" s="460">
        <f t="shared" si="225"/>
        <v>0</v>
      </c>
      <c r="AU234" s="463">
        <f t="shared" si="226"/>
        <v>0</v>
      </c>
      <c r="AV234" s="460">
        <f t="shared" si="227"/>
        <v>0</v>
      </c>
      <c r="AW234" s="460">
        <f t="shared" si="236"/>
        <v>0</v>
      </c>
      <c r="AX234" s="460">
        <f t="shared" si="228"/>
        <v>0</v>
      </c>
      <c r="AY234" s="460">
        <f t="shared" si="229"/>
        <v>0</v>
      </c>
      <c r="AZ234" s="463">
        <f t="shared" si="230"/>
        <v>2</v>
      </c>
      <c r="BA234" s="482"/>
      <c r="BB234" s="482"/>
    </row>
    <row r="235" s="425" customFormat="1" ht="39" customHeight="1" spans="1:54">
      <c r="A235" s="459">
        <v>230</v>
      </c>
      <c r="B235" s="460" t="s">
        <v>889</v>
      </c>
      <c r="C235" s="492" t="s">
        <v>206</v>
      </c>
      <c r="D235" s="487" t="s">
        <v>490</v>
      </c>
      <c r="E235" s="487" t="s">
        <v>1064</v>
      </c>
      <c r="F235" s="463">
        <f t="shared" si="234"/>
        <v>4.2</v>
      </c>
      <c r="G235" s="463">
        <f t="shared" si="235"/>
        <v>4.2</v>
      </c>
      <c r="H235" s="487">
        <v>4.2</v>
      </c>
      <c r="I235" s="487"/>
      <c r="J235" s="487"/>
      <c r="K235" s="487"/>
      <c r="L235" s="487"/>
      <c r="M235" s="487"/>
      <c r="N235" s="460"/>
      <c r="O235" s="459">
        <f t="shared" si="217"/>
        <v>0</v>
      </c>
      <c r="P235" s="460"/>
      <c r="Q235" s="460"/>
      <c r="R235" s="460"/>
      <c r="S235" s="460"/>
      <c r="T235" s="460"/>
      <c r="U235" s="463"/>
      <c r="V235" s="460"/>
      <c r="W235" s="460"/>
      <c r="X235" s="463">
        <f t="shared" si="237"/>
        <v>0</v>
      </c>
      <c r="Y235" s="463">
        <f t="shared" si="238"/>
        <v>0</v>
      </c>
      <c r="Z235" s="460"/>
      <c r="AA235" s="460"/>
      <c r="AB235" s="460"/>
      <c r="AC235" s="460"/>
      <c r="AD235" s="460"/>
      <c r="AE235" s="460"/>
      <c r="AF235" s="459">
        <f t="shared" si="239"/>
        <v>0</v>
      </c>
      <c r="AG235" s="460"/>
      <c r="AH235" s="460"/>
      <c r="AI235" s="460"/>
      <c r="AJ235" s="460"/>
      <c r="AK235" s="460"/>
      <c r="AL235" s="460"/>
      <c r="AM235" s="463">
        <f t="shared" si="218"/>
        <v>4.2</v>
      </c>
      <c r="AN235" s="463">
        <f t="shared" si="219"/>
        <v>4.2</v>
      </c>
      <c r="AO235" s="460">
        <f t="shared" si="220"/>
        <v>4.2</v>
      </c>
      <c r="AP235" s="460">
        <f t="shared" si="221"/>
        <v>0</v>
      </c>
      <c r="AQ235" s="460">
        <f t="shared" si="222"/>
        <v>0</v>
      </c>
      <c r="AR235" s="460">
        <f t="shared" si="223"/>
        <v>0</v>
      </c>
      <c r="AS235" s="460">
        <f t="shared" si="224"/>
        <v>0</v>
      </c>
      <c r="AT235" s="460">
        <f t="shared" si="225"/>
        <v>0</v>
      </c>
      <c r="AU235" s="463">
        <f t="shared" si="226"/>
        <v>0</v>
      </c>
      <c r="AV235" s="460">
        <f t="shared" si="227"/>
        <v>0</v>
      </c>
      <c r="AW235" s="460">
        <f t="shared" si="236"/>
        <v>0</v>
      </c>
      <c r="AX235" s="460">
        <f t="shared" si="228"/>
        <v>0</v>
      </c>
      <c r="AY235" s="460">
        <f t="shared" si="229"/>
        <v>0</v>
      </c>
      <c r="AZ235" s="463">
        <f t="shared" si="230"/>
        <v>0</v>
      </c>
      <c r="BA235" s="482"/>
      <c r="BB235" s="482"/>
    </row>
    <row r="236" s="425" customFormat="1" ht="39" customHeight="1" spans="1:54">
      <c r="A236" s="459">
        <v>231</v>
      </c>
      <c r="B236" s="460" t="s">
        <v>889</v>
      </c>
      <c r="C236" s="492" t="s">
        <v>206</v>
      </c>
      <c r="D236" s="487" t="s">
        <v>492</v>
      </c>
      <c r="E236" s="487" t="s">
        <v>1064</v>
      </c>
      <c r="F236" s="463">
        <f t="shared" si="234"/>
        <v>3</v>
      </c>
      <c r="G236" s="463">
        <f t="shared" si="235"/>
        <v>3</v>
      </c>
      <c r="H236" s="487">
        <v>3</v>
      </c>
      <c r="I236" s="487"/>
      <c r="J236" s="487"/>
      <c r="K236" s="487"/>
      <c r="L236" s="487"/>
      <c r="M236" s="487"/>
      <c r="N236" s="460"/>
      <c r="O236" s="459">
        <f t="shared" si="217"/>
        <v>0</v>
      </c>
      <c r="P236" s="460"/>
      <c r="Q236" s="460"/>
      <c r="R236" s="460"/>
      <c r="S236" s="460"/>
      <c r="T236" s="460"/>
      <c r="U236" s="463"/>
      <c r="V236" s="460"/>
      <c r="W236" s="460"/>
      <c r="X236" s="463">
        <f t="shared" si="237"/>
        <v>0</v>
      </c>
      <c r="Y236" s="463">
        <f t="shared" si="238"/>
        <v>0</v>
      </c>
      <c r="Z236" s="460"/>
      <c r="AA236" s="460"/>
      <c r="AB236" s="460"/>
      <c r="AC236" s="460"/>
      <c r="AD236" s="460"/>
      <c r="AE236" s="460"/>
      <c r="AF236" s="459">
        <f t="shared" si="239"/>
        <v>0</v>
      </c>
      <c r="AG236" s="460"/>
      <c r="AH236" s="460"/>
      <c r="AI236" s="460"/>
      <c r="AJ236" s="460"/>
      <c r="AK236" s="460"/>
      <c r="AL236" s="460"/>
      <c r="AM236" s="463">
        <f t="shared" si="218"/>
        <v>3</v>
      </c>
      <c r="AN236" s="463">
        <f t="shared" si="219"/>
        <v>3</v>
      </c>
      <c r="AO236" s="460">
        <f t="shared" si="220"/>
        <v>3</v>
      </c>
      <c r="AP236" s="460">
        <f t="shared" si="221"/>
        <v>0</v>
      </c>
      <c r="AQ236" s="460">
        <f t="shared" si="222"/>
        <v>0</v>
      </c>
      <c r="AR236" s="460">
        <f t="shared" si="223"/>
        <v>0</v>
      </c>
      <c r="AS236" s="460">
        <f t="shared" si="224"/>
        <v>0</v>
      </c>
      <c r="AT236" s="460">
        <f t="shared" si="225"/>
        <v>0</v>
      </c>
      <c r="AU236" s="463">
        <f t="shared" si="226"/>
        <v>0</v>
      </c>
      <c r="AV236" s="460">
        <f t="shared" si="227"/>
        <v>0</v>
      </c>
      <c r="AW236" s="460">
        <f t="shared" si="236"/>
        <v>0</v>
      </c>
      <c r="AX236" s="460">
        <f t="shared" si="228"/>
        <v>0</v>
      </c>
      <c r="AY236" s="460">
        <f t="shared" si="229"/>
        <v>0</v>
      </c>
      <c r="AZ236" s="463">
        <f t="shared" si="230"/>
        <v>0</v>
      </c>
      <c r="BA236" s="482"/>
      <c r="BB236" s="482"/>
    </row>
    <row r="237" s="425" customFormat="1" ht="39" customHeight="1" spans="1:54">
      <c r="A237" s="459">
        <v>232</v>
      </c>
      <c r="B237" s="460" t="s">
        <v>889</v>
      </c>
      <c r="C237" s="492" t="s">
        <v>206</v>
      </c>
      <c r="D237" s="487" t="s">
        <v>493</v>
      </c>
      <c r="E237" s="487" t="s">
        <v>1064</v>
      </c>
      <c r="F237" s="463">
        <f t="shared" si="234"/>
        <v>3</v>
      </c>
      <c r="G237" s="463">
        <f t="shared" si="235"/>
        <v>3</v>
      </c>
      <c r="H237" s="487">
        <v>3</v>
      </c>
      <c r="I237" s="487"/>
      <c r="J237" s="487"/>
      <c r="K237" s="487"/>
      <c r="L237" s="487"/>
      <c r="M237" s="487"/>
      <c r="N237" s="460"/>
      <c r="O237" s="459">
        <f t="shared" si="217"/>
        <v>0</v>
      </c>
      <c r="P237" s="460"/>
      <c r="Q237" s="460"/>
      <c r="R237" s="460"/>
      <c r="S237" s="460"/>
      <c r="T237" s="460"/>
      <c r="U237" s="463"/>
      <c r="V237" s="460"/>
      <c r="W237" s="460"/>
      <c r="X237" s="463">
        <f t="shared" si="237"/>
        <v>0</v>
      </c>
      <c r="Y237" s="463">
        <f t="shared" si="238"/>
        <v>0</v>
      </c>
      <c r="Z237" s="460"/>
      <c r="AA237" s="460"/>
      <c r="AB237" s="460"/>
      <c r="AC237" s="460"/>
      <c r="AD237" s="460"/>
      <c r="AE237" s="460"/>
      <c r="AF237" s="459">
        <f t="shared" si="239"/>
        <v>0</v>
      </c>
      <c r="AG237" s="460"/>
      <c r="AH237" s="460"/>
      <c r="AI237" s="460"/>
      <c r="AJ237" s="460"/>
      <c r="AK237" s="460"/>
      <c r="AL237" s="460"/>
      <c r="AM237" s="463">
        <f t="shared" si="218"/>
        <v>3</v>
      </c>
      <c r="AN237" s="463">
        <f t="shared" si="219"/>
        <v>3</v>
      </c>
      <c r="AO237" s="460">
        <f t="shared" si="220"/>
        <v>3</v>
      </c>
      <c r="AP237" s="460">
        <f t="shared" si="221"/>
        <v>0</v>
      </c>
      <c r="AQ237" s="460">
        <f t="shared" si="222"/>
        <v>0</v>
      </c>
      <c r="AR237" s="460">
        <f t="shared" si="223"/>
        <v>0</v>
      </c>
      <c r="AS237" s="460">
        <f t="shared" si="224"/>
        <v>0</v>
      </c>
      <c r="AT237" s="460">
        <f t="shared" si="225"/>
        <v>0</v>
      </c>
      <c r="AU237" s="463">
        <f t="shared" si="226"/>
        <v>0</v>
      </c>
      <c r="AV237" s="460">
        <f t="shared" si="227"/>
        <v>0</v>
      </c>
      <c r="AW237" s="460">
        <f t="shared" si="236"/>
        <v>0</v>
      </c>
      <c r="AX237" s="460">
        <f t="shared" si="228"/>
        <v>0</v>
      </c>
      <c r="AY237" s="460">
        <f t="shared" si="229"/>
        <v>0</v>
      </c>
      <c r="AZ237" s="463">
        <f t="shared" si="230"/>
        <v>0</v>
      </c>
      <c r="BA237" s="482"/>
      <c r="BB237" s="482"/>
    </row>
    <row r="238" s="425" customFormat="1" ht="39" customHeight="1" spans="1:54">
      <c r="A238" s="459">
        <v>233</v>
      </c>
      <c r="B238" s="460" t="s">
        <v>889</v>
      </c>
      <c r="C238" s="492" t="s">
        <v>206</v>
      </c>
      <c r="D238" s="487" t="s">
        <v>494</v>
      </c>
      <c r="E238" s="487" t="s">
        <v>1064</v>
      </c>
      <c r="F238" s="463">
        <f t="shared" si="234"/>
        <v>3</v>
      </c>
      <c r="G238" s="463">
        <f t="shared" si="235"/>
        <v>3</v>
      </c>
      <c r="H238" s="487">
        <v>3</v>
      </c>
      <c r="I238" s="487"/>
      <c r="J238" s="487"/>
      <c r="K238" s="487"/>
      <c r="L238" s="487"/>
      <c r="M238" s="487"/>
      <c r="N238" s="460"/>
      <c r="O238" s="459">
        <f t="shared" si="217"/>
        <v>0</v>
      </c>
      <c r="P238" s="460"/>
      <c r="Q238" s="460"/>
      <c r="R238" s="460"/>
      <c r="S238" s="460"/>
      <c r="T238" s="460"/>
      <c r="U238" s="463"/>
      <c r="V238" s="460"/>
      <c r="W238" s="460"/>
      <c r="X238" s="463">
        <f t="shared" si="237"/>
        <v>0.33</v>
      </c>
      <c r="Y238" s="463">
        <f t="shared" si="238"/>
        <v>0.33</v>
      </c>
      <c r="Z238" s="460"/>
      <c r="AA238" s="460"/>
      <c r="AB238" s="460">
        <v>0.33</v>
      </c>
      <c r="AC238" s="460"/>
      <c r="AD238" s="460"/>
      <c r="AE238" s="460"/>
      <c r="AF238" s="459">
        <f t="shared" si="239"/>
        <v>0</v>
      </c>
      <c r="AG238" s="460"/>
      <c r="AH238" s="460"/>
      <c r="AI238" s="460"/>
      <c r="AJ238" s="460"/>
      <c r="AK238" s="460"/>
      <c r="AL238" s="460"/>
      <c r="AM238" s="463">
        <f t="shared" si="218"/>
        <v>3.33</v>
      </c>
      <c r="AN238" s="463">
        <f t="shared" si="219"/>
        <v>3.33</v>
      </c>
      <c r="AO238" s="460">
        <f t="shared" si="220"/>
        <v>3</v>
      </c>
      <c r="AP238" s="460">
        <f t="shared" si="221"/>
        <v>0</v>
      </c>
      <c r="AQ238" s="460">
        <f t="shared" si="222"/>
        <v>0.33</v>
      </c>
      <c r="AR238" s="460">
        <f t="shared" si="223"/>
        <v>0</v>
      </c>
      <c r="AS238" s="460">
        <f t="shared" si="224"/>
        <v>0</v>
      </c>
      <c r="AT238" s="460">
        <f t="shared" si="225"/>
        <v>0</v>
      </c>
      <c r="AU238" s="463">
        <f t="shared" si="226"/>
        <v>0</v>
      </c>
      <c r="AV238" s="460">
        <f t="shared" si="227"/>
        <v>0</v>
      </c>
      <c r="AW238" s="460">
        <f t="shared" si="236"/>
        <v>0</v>
      </c>
      <c r="AX238" s="460">
        <f t="shared" si="228"/>
        <v>0</v>
      </c>
      <c r="AY238" s="460">
        <f t="shared" si="229"/>
        <v>0</v>
      </c>
      <c r="AZ238" s="463">
        <f t="shared" si="230"/>
        <v>0</v>
      </c>
      <c r="BA238" s="482"/>
      <c r="BB238" s="482"/>
    </row>
    <row r="239" s="425" customFormat="1" ht="39" customHeight="1" spans="1:54">
      <c r="A239" s="459">
        <v>234</v>
      </c>
      <c r="B239" s="460" t="s">
        <v>889</v>
      </c>
      <c r="C239" s="492" t="s">
        <v>206</v>
      </c>
      <c r="D239" s="487" t="s">
        <v>495</v>
      </c>
      <c r="E239" s="487" t="s">
        <v>1065</v>
      </c>
      <c r="F239" s="463">
        <f t="shared" si="234"/>
        <v>10.9</v>
      </c>
      <c r="G239" s="463">
        <f t="shared" si="235"/>
        <v>8.4</v>
      </c>
      <c r="H239" s="487">
        <v>8.4</v>
      </c>
      <c r="I239" s="487"/>
      <c r="J239" s="487"/>
      <c r="K239" s="487"/>
      <c r="L239" s="487"/>
      <c r="M239" s="487"/>
      <c r="N239" s="460"/>
      <c r="O239" s="459">
        <f t="shared" si="217"/>
        <v>2.5</v>
      </c>
      <c r="P239" s="460">
        <v>2.5</v>
      </c>
      <c r="Q239" s="460"/>
      <c r="R239" s="460"/>
      <c r="S239" s="460"/>
      <c r="T239" s="460"/>
      <c r="U239" s="463"/>
      <c r="V239" s="460"/>
      <c r="W239" s="460"/>
      <c r="X239" s="463">
        <f t="shared" si="237"/>
        <v>3.71</v>
      </c>
      <c r="Y239" s="463">
        <f t="shared" si="238"/>
        <v>0</v>
      </c>
      <c r="Z239" s="460"/>
      <c r="AA239" s="460"/>
      <c r="AB239" s="460"/>
      <c r="AC239" s="460"/>
      <c r="AD239" s="460"/>
      <c r="AE239" s="460"/>
      <c r="AF239" s="459">
        <f t="shared" si="239"/>
        <v>3.71</v>
      </c>
      <c r="AG239" s="460">
        <v>3.71</v>
      </c>
      <c r="AH239" s="460"/>
      <c r="AI239" s="460"/>
      <c r="AJ239" s="460"/>
      <c r="AK239" s="460"/>
      <c r="AL239" s="460"/>
      <c r="AM239" s="463">
        <f t="shared" si="218"/>
        <v>14.61</v>
      </c>
      <c r="AN239" s="463">
        <f t="shared" si="219"/>
        <v>8.4</v>
      </c>
      <c r="AO239" s="460">
        <f t="shared" si="220"/>
        <v>8.4</v>
      </c>
      <c r="AP239" s="460">
        <f t="shared" si="221"/>
        <v>0</v>
      </c>
      <c r="AQ239" s="460">
        <f t="shared" si="222"/>
        <v>0</v>
      </c>
      <c r="AR239" s="460">
        <f t="shared" si="223"/>
        <v>0</v>
      </c>
      <c r="AS239" s="460">
        <f t="shared" si="224"/>
        <v>0</v>
      </c>
      <c r="AT239" s="460">
        <f t="shared" si="225"/>
        <v>0</v>
      </c>
      <c r="AU239" s="463">
        <f t="shared" si="226"/>
        <v>6.21</v>
      </c>
      <c r="AV239" s="460">
        <f t="shared" si="227"/>
        <v>6.21</v>
      </c>
      <c r="AW239" s="460">
        <f t="shared" si="236"/>
        <v>0</v>
      </c>
      <c r="AX239" s="460">
        <f t="shared" si="228"/>
        <v>0</v>
      </c>
      <c r="AY239" s="460">
        <f t="shared" si="229"/>
        <v>0</v>
      </c>
      <c r="AZ239" s="463">
        <f t="shared" si="230"/>
        <v>0</v>
      </c>
      <c r="BA239" s="482"/>
      <c r="BB239" s="482"/>
    </row>
    <row r="240" s="425" customFormat="1" ht="39" customHeight="1" spans="1:54">
      <c r="A240" s="459">
        <v>235</v>
      </c>
      <c r="B240" s="460" t="s">
        <v>889</v>
      </c>
      <c r="C240" s="492" t="s">
        <v>206</v>
      </c>
      <c r="D240" s="487" t="s">
        <v>497</v>
      </c>
      <c r="E240" s="487" t="s">
        <v>1066</v>
      </c>
      <c r="F240" s="463">
        <f t="shared" si="234"/>
        <v>38.2</v>
      </c>
      <c r="G240" s="463">
        <f t="shared" si="235"/>
        <v>4.2</v>
      </c>
      <c r="H240" s="487">
        <v>4.2</v>
      </c>
      <c r="I240" s="487"/>
      <c r="J240" s="487"/>
      <c r="K240" s="487"/>
      <c r="L240" s="487"/>
      <c r="M240" s="487"/>
      <c r="N240" s="460"/>
      <c r="O240" s="459">
        <f t="shared" si="217"/>
        <v>0</v>
      </c>
      <c r="P240" s="460"/>
      <c r="Q240" s="460"/>
      <c r="R240" s="460"/>
      <c r="S240" s="460"/>
      <c r="T240" s="460"/>
      <c r="U240" s="463">
        <v>34</v>
      </c>
      <c r="V240" s="460" t="s">
        <v>838</v>
      </c>
      <c r="W240" s="460" t="s">
        <v>1067</v>
      </c>
      <c r="X240" s="463">
        <f t="shared" si="237"/>
        <v>0</v>
      </c>
      <c r="Y240" s="463">
        <f t="shared" si="238"/>
        <v>0</v>
      </c>
      <c r="Z240" s="460"/>
      <c r="AA240" s="460"/>
      <c r="AB240" s="460"/>
      <c r="AC240" s="460"/>
      <c r="AD240" s="460"/>
      <c r="AE240" s="460"/>
      <c r="AF240" s="459">
        <f t="shared" si="239"/>
        <v>0</v>
      </c>
      <c r="AG240" s="460"/>
      <c r="AH240" s="460"/>
      <c r="AI240" s="460"/>
      <c r="AJ240" s="460"/>
      <c r="AK240" s="460"/>
      <c r="AL240" s="460"/>
      <c r="AM240" s="463">
        <f t="shared" si="218"/>
        <v>38.2</v>
      </c>
      <c r="AN240" s="463">
        <f t="shared" si="219"/>
        <v>4.2</v>
      </c>
      <c r="AO240" s="460">
        <f t="shared" si="220"/>
        <v>4.2</v>
      </c>
      <c r="AP240" s="460">
        <f t="shared" si="221"/>
        <v>0</v>
      </c>
      <c r="AQ240" s="460">
        <f t="shared" si="222"/>
        <v>0</v>
      </c>
      <c r="AR240" s="460">
        <f t="shared" si="223"/>
        <v>0</v>
      </c>
      <c r="AS240" s="460">
        <f t="shared" si="224"/>
        <v>0</v>
      </c>
      <c r="AT240" s="460">
        <f t="shared" si="225"/>
        <v>0</v>
      </c>
      <c r="AU240" s="463">
        <f t="shared" si="226"/>
        <v>0</v>
      </c>
      <c r="AV240" s="460">
        <f t="shared" si="227"/>
        <v>0</v>
      </c>
      <c r="AW240" s="460">
        <f t="shared" si="236"/>
        <v>0</v>
      </c>
      <c r="AX240" s="460">
        <f t="shared" si="228"/>
        <v>0</v>
      </c>
      <c r="AY240" s="460">
        <f t="shared" si="229"/>
        <v>0</v>
      </c>
      <c r="AZ240" s="463">
        <f t="shared" si="230"/>
        <v>34</v>
      </c>
      <c r="BA240" s="482"/>
      <c r="BB240" s="482"/>
    </row>
    <row r="241" s="425" customFormat="1" ht="39" customHeight="1" spans="1:54">
      <c r="A241" s="459">
        <v>236</v>
      </c>
      <c r="B241" s="460" t="s">
        <v>889</v>
      </c>
      <c r="C241" s="492" t="s">
        <v>206</v>
      </c>
      <c r="D241" s="487" t="s">
        <v>502</v>
      </c>
      <c r="E241" s="487" t="s">
        <v>1068</v>
      </c>
      <c r="F241" s="463">
        <f t="shared" si="234"/>
        <v>106.8</v>
      </c>
      <c r="G241" s="463">
        <f t="shared" si="235"/>
        <v>1.8</v>
      </c>
      <c r="H241" s="487">
        <v>1.8</v>
      </c>
      <c r="I241" s="487"/>
      <c r="J241" s="487"/>
      <c r="K241" s="487"/>
      <c r="L241" s="487"/>
      <c r="M241" s="492"/>
      <c r="N241" s="460"/>
      <c r="O241" s="459">
        <f t="shared" si="217"/>
        <v>0</v>
      </c>
      <c r="P241" s="460"/>
      <c r="Q241" s="460"/>
      <c r="R241" s="460"/>
      <c r="S241" s="460"/>
      <c r="T241" s="460"/>
      <c r="U241" s="463">
        <v>105</v>
      </c>
      <c r="V241" s="460" t="s">
        <v>838</v>
      </c>
      <c r="W241" s="460" t="s">
        <v>1069</v>
      </c>
      <c r="X241" s="463">
        <f t="shared" si="237"/>
        <v>0</v>
      </c>
      <c r="Y241" s="463">
        <f t="shared" si="238"/>
        <v>0</v>
      </c>
      <c r="Z241" s="460"/>
      <c r="AA241" s="460"/>
      <c r="AB241" s="460"/>
      <c r="AC241" s="460"/>
      <c r="AD241" s="460"/>
      <c r="AE241" s="460"/>
      <c r="AF241" s="459">
        <f t="shared" si="239"/>
        <v>0</v>
      </c>
      <c r="AG241" s="460"/>
      <c r="AH241" s="460"/>
      <c r="AI241" s="460"/>
      <c r="AJ241" s="460"/>
      <c r="AK241" s="460"/>
      <c r="AL241" s="460"/>
      <c r="AM241" s="463">
        <f t="shared" si="218"/>
        <v>106.8</v>
      </c>
      <c r="AN241" s="463">
        <f t="shared" si="219"/>
        <v>1.8</v>
      </c>
      <c r="AO241" s="460">
        <f t="shared" si="220"/>
        <v>1.8</v>
      </c>
      <c r="AP241" s="460">
        <f t="shared" si="221"/>
        <v>0</v>
      </c>
      <c r="AQ241" s="460">
        <f t="shared" si="222"/>
        <v>0</v>
      </c>
      <c r="AR241" s="460">
        <f t="shared" si="223"/>
        <v>0</v>
      </c>
      <c r="AS241" s="460">
        <f t="shared" si="224"/>
        <v>0</v>
      </c>
      <c r="AT241" s="460">
        <f t="shared" si="225"/>
        <v>0</v>
      </c>
      <c r="AU241" s="463">
        <f t="shared" si="226"/>
        <v>0</v>
      </c>
      <c r="AV241" s="460">
        <f t="shared" si="227"/>
        <v>0</v>
      </c>
      <c r="AW241" s="460">
        <f t="shared" si="236"/>
        <v>0</v>
      </c>
      <c r="AX241" s="460">
        <f t="shared" si="228"/>
        <v>0</v>
      </c>
      <c r="AY241" s="460">
        <f t="shared" si="229"/>
        <v>0</v>
      </c>
      <c r="AZ241" s="463">
        <f t="shared" si="230"/>
        <v>105</v>
      </c>
      <c r="BA241" s="482"/>
      <c r="BB241" s="482"/>
    </row>
    <row r="242" s="425" customFormat="1" ht="39" customHeight="1" spans="1:54">
      <c r="A242" s="459">
        <v>237</v>
      </c>
      <c r="B242" s="460" t="s">
        <v>889</v>
      </c>
      <c r="C242" s="492" t="s">
        <v>203</v>
      </c>
      <c r="D242" s="487" t="s">
        <v>499</v>
      </c>
      <c r="E242" s="487" t="s">
        <v>1070</v>
      </c>
      <c r="F242" s="463">
        <f t="shared" si="234"/>
        <v>232.6</v>
      </c>
      <c r="G242" s="463">
        <f t="shared" si="235"/>
        <v>34.6</v>
      </c>
      <c r="H242" s="487">
        <v>29.4</v>
      </c>
      <c r="I242" s="487">
        <v>4</v>
      </c>
      <c r="J242" s="487">
        <v>1.2</v>
      </c>
      <c r="K242" s="487"/>
      <c r="L242" s="487"/>
      <c r="M242" s="487"/>
      <c r="N242" s="460"/>
      <c r="O242" s="459">
        <f t="shared" si="217"/>
        <v>0</v>
      </c>
      <c r="P242" s="460"/>
      <c r="Q242" s="460"/>
      <c r="R242" s="460"/>
      <c r="S242" s="460"/>
      <c r="T242" s="460"/>
      <c r="U242" s="463">
        <v>198</v>
      </c>
      <c r="V242" s="460" t="s">
        <v>838</v>
      </c>
      <c r="W242" s="460" t="s">
        <v>1071</v>
      </c>
      <c r="X242" s="463">
        <f t="shared" si="237"/>
        <v>39.1</v>
      </c>
      <c r="Y242" s="463">
        <f t="shared" si="238"/>
        <v>-1.2</v>
      </c>
      <c r="Z242" s="460"/>
      <c r="AA242" s="460"/>
      <c r="AB242" s="460">
        <v>-1.2</v>
      </c>
      <c r="AC242" s="460"/>
      <c r="AD242" s="460"/>
      <c r="AE242" s="460"/>
      <c r="AF242" s="459">
        <f t="shared" si="239"/>
        <v>1.3</v>
      </c>
      <c r="AG242" s="460">
        <v>1.3</v>
      </c>
      <c r="AH242" s="460"/>
      <c r="AI242" s="460"/>
      <c r="AJ242" s="460"/>
      <c r="AK242" s="460">
        <v>39</v>
      </c>
      <c r="AL242" s="460" t="s">
        <v>1072</v>
      </c>
      <c r="AM242" s="463">
        <f t="shared" si="218"/>
        <v>271.7</v>
      </c>
      <c r="AN242" s="463">
        <f t="shared" si="219"/>
        <v>33.4</v>
      </c>
      <c r="AO242" s="460">
        <f t="shared" si="220"/>
        <v>29.4</v>
      </c>
      <c r="AP242" s="460">
        <f t="shared" si="221"/>
        <v>4</v>
      </c>
      <c r="AQ242" s="460">
        <f t="shared" si="222"/>
        <v>0</v>
      </c>
      <c r="AR242" s="460">
        <f t="shared" si="223"/>
        <v>0</v>
      </c>
      <c r="AS242" s="460">
        <f t="shared" si="224"/>
        <v>0</v>
      </c>
      <c r="AT242" s="460">
        <f t="shared" si="225"/>
        <v>0</v>
      </c>
      <c r="AU242" s="463">
        <f t="shared" si="226"/>
        <v>1.3</v>
      </c>
      <c r="AV242" s="460">
        <f t="shared" si="227"/>
        <v>1.3</v>
      </c>
      <c r="AW242" s="460">
        <f t="shared" si="236"/>
        <v>0</v>
      </c>
      <c r="AX242" s="460">
        <f t="shared" si="228"/>
        <v>0</v>
      </c>
      <c r="AY242" s="460">
        <f t="shared" si="229"/>
        <v>0</v>
      </c>
      <c r="AZ242" s="463">
        <f t="shared" si="230"/>
        <v>237</v>
      </c>
      <c r="BA242" s="482"/>
      <c r="BB242" s="482"/>
    </row>
    <row r="243" s="426" customFormat="1" ht="24" customHeight="1" spans="1:54">
      <c r="A243" s="452">
        <v>238</v>
      </c>
      <c r="B243" s="485"/>
      <c r="C243" s="494"/>
      <c r="D243" s="486" t="s">
        <v>132</v>
      </c>
      <c r="E243" s="452">
        <v>208</v>
      </c>
      <c r="F243" s="456">
        <f>SUM(F244:F257)</f>
        <v>879.106</v>
      </c>
      <c r="G243" s="456">
        <f>SUM(G244:G257)</f>
        <v>103.836</v>
      </c>
      <c r="H243" s="456">
        <f t="shared" ref="H243:M243" si="240">SUM(H244:H257)</f>
        <v>65.4</v>
      </c>
      <c r="I243" s="456">
        <f t="shared" si="240"/>
        <v>8</v>
      </c>
      <c r="J243" s="456">
        <f t="shared" si="240"/>
        <v>30.436</v>
      </c>
      <c r="K243" s="456">
        <f t="shared" si="240"/>
        <v>0</v>
      </c>
      <c r="L243" s="456">
        <f t="shared" si="240"/>
        <v>0</v>
      </c>
      <c r="M243" s="456">
        <f t="shared" si="240"/>
        <v>0</v>
      </c>
      <c r="N243" s="456"/>
      <c r="O243" s="456">
        <f>SUM(O244:O257)</f>
        <v>13.12</v>
      </c>
      <c r="P243" s="456">
        <f>SUM(P244:P257)</f>
        <v>13.12</v>
      </c>
      <c r="Q243" s="456">
        <f>SUM(Q244:Q257)</f>
        <v>0</v>
      </c>
      <c r="R243" s="456">
        <f>SUM(R244:R257)</f>
        <v>0</v>
      </c>
      <c r="S243" s="456">
        <f>SUM(S244:S257)</f>
        <v>0</v>
      </c>
      <c r="T243" s="456"/>
      <c r="U243" s="456">
        <f>SUM(U244:U257)</f>
        <v>762.15</v>
      </c>
      <c r="V243" s="456"/>
      <c r="W243" s="481"/>
      <c r="X243" s="468">
        <f t="shared" ref="X243:AM243" si="241">SUM(X244:X257)</f>
        <v>45.3</v>
      </c>
      <c r="Y243" s="468">
        <f t="shared" si="241"/>
        <v>-1.22</v>
      </c>
      <c r="Z243" s="468">
        <f t="shared" si="241"/>
        <v>0</v>
      </c>
      <c r="AA243" s="468">
        <f t="shared" si="241"/>
        <v>0</v>
      </c>
      <c r="AB243" s="468">
        <f t="shared" si="241"/>
        <v>-1.22</v>
      </c>
      <c r="AC243" s="468">
        <f t="shared" si="241"/>
        <v>0</v>
      </c>
      <c r="AD243" s="468">
        <f t="shared" si="241"/>
        <v>0</v>
      </c>
      <c r="AE243" s="468">
        <f t="shared" si="241"/>
        <v>0</v>
      </c>
      <c r="AF243" s="468">
        <f t="shared" si="241"/>
        <v>42.02</v>
      </c>
      <c r="AG243" s="468">
        <f t="shared" si="241"/>
        <v>42.02</v>
      </c>
      <c r="AH243" s="468">
        <f t="shared" si="241"/>
        <v>0</v>
      </c>
      <c r="AI243" s="468">
        <f t="shared" si="241"/>
        <v>0</v>
      </c>
      <c r="AJ243" s="468">
        <f t="shared" si="241"/>
        <v>0</v>
      </c>
      <c r="AK243" s="468">
        <f t="shared" si="241"/>
        <v>4.5</v>
      </c>
      <c r="AL243" s="456"/>
      <c r="AM243" s="468">
        <f t="shared" ref="AL243:BA243" si="242">SUM(AM244:AM257)</f>
        <v>924.406</v>
      </c>
      <c r="AN243" s="468">
        <f t="shared" si="242"/>
        <v>102.616</v>
      </c>
      <c r="AO243" s="468">
        <f t="shared" si="242"/>
        <v>65.4</v>
      </c>
      <c r="AP243" s="468">
        <f t="shared" si="242"/>
        <v>8</v>
      </c>
      <c r="AQ243" s="468">
        <f t="shared" si="242"/>
        <v>29.216</v>
      </c>
      <c r="AR243" s="468">
        <f t="shared" si="242"/>
        <v>0</v>
      </c>
      <c r="AS243" s="468">
        <f t="shared" si="242"/>
        <v>0</v>
      </c>
      <c r="AT243" s="468">
        <f t="shared" si="242"/>
        <v>0</v>
      </c>
      <c r="AU243" s="468">
        <f t="shared" si="242"/>
        <v>55.14</v>
      </c>
      <c r="AV243" s="468">
        <f t="shared" si="242"/>
        <v>55.14</v>
      </c>
      <c r="AW243" s="468">
        <f t="shared" si="242"/>
        <v>0</v>
      </c>
      <c r="AX243" s="468">
        <f t="shared" si="242"/>
        <v>0</v>
      </c>
      <c r="AY243" s="468">
        <f t="shared" si="242"/>
        <v>0</v>
      </c>
      <c r="AZ243" s="468">
        <f t="shared" si="242"/>
        <v>766.65</v>
      </c>
      <c r="BA243" s="489"/>
      <c r="BB243" s="489"/>
    </row>
    <row r="244" s="425" customFormat="1" ht="39" customHeight="1" spans="1:54">
      <c r="A244" s="459">
        <v>239</v>
      </c>
      <c r="B244" s="460" t="s">
        <v>730</v>
      </c>
      <c r="C244" s="492" t="s">
        <v>203</v>
      </c>
      <c r="D244" s="461" t="s">
        <v>514</v>
      </c>
      <c r="E244" s="461" t="s">
        <v>1073</v>
      </c>
      <c r="F244" s="463">
        <f t="shared" ref="F244:F252" si="243">G244+O244+U244</f>
        <v>215.088</v>
      </c>
      <c r="G244" s="463">
        <f t="shared" ref="G244:G257" si="244">SUM(H244:M244)</f>
        <v>11.088</v>
      </c>
      <c r="H244" s="460">
        <v>4.8</v>
      </c>
      <c r="I244" s="460"/>
      <c r="J244" s="460">
        <v>6.288</v>
      </c>
      <c r="K244" s="460"/>
      <c r="L244" s="460"/>
      <c r="M244" s="460"/>
      <c r="N244" s="460"/>
      <c r="O244" s="459">
        <f t="shared" si="217"/>
        <v>6</v>
      </c>
      <c r="P244" s="460">
        <v>6</v>
      </c>
      <c r="Q244" s="460"/>
      <c r="R244" s="460"/>
      <c r="S244" s="460"/>
      <c r="T244" s="460"/>
      <c r="U244" s="463">
        <v>198</v>
      </c>
      <c r="V244" s="460" t="s">
        <v>838</v>
      </c>
      <c r="W244" s="460" t="s">
        <v>1074</v>
      </c>
      <c r="X244" s="463">
        <f>Y244+AF244+AK244</f>
        <v>32.11</v>
      </c>
      <c r="Y244" s="463">
        <f>SUM(Z244:AE244)</f>
        <v>-0.83</v>
      </c>
      <c r="Z244" s="460"/>
      <c r="AA244" s="460"/>
      <c r="AB244" s="460">
        <v>-0.83</v>
      </c>
      <c r="AC244" s="460"/>
      <c r="AD244" s="460"/>
      <c r="AE244" s="460"/>
      <c r="AF244" s="459">
        <f>SUM(AG244:AJ244)</f>
        <v>31.44</v>
      </c>
      <c r="AG244" s="460">
        <v>31.44</v>
      </c>
      <c r="AH244" s="460"/>
      <c r="AI244" s="460"/>
      <c r="AJ244" s="460"/>
      <c r="AK244" s="460">
        <v>1.5</v>
      </c>
      <c r="AL244" s="460" t="s">
        <v>846</v>
      </c>
      <c r="AM244" s="463">
        <f t="shared" si="218"/>
        <v>247.198</v>
      </c>
      <c r="AN244" s="463">
        <f t="shared" si="219"/>
        <v>10.258</v>
      </c>
      <c r="AO244" s="460">
        <f t="shared" si="220"/>
        <v>4.8</v>
      </c>
      <c r="AP244" s="460">
        <f t="shared" si="221"/>
        <v>0</v>
      </c>
      <c r="AQ244" s="460">
        <f t="shared" si="222"/>
        <v>5.458</v>
      </c>
      <c r="AR244" s="460">
        <f t="shared" si="223"/>
        <v>0</v>
      </c>
      <c r="AS244" s="460">
        <f t="shared" si="224"/>
        <v>0</v>
      </c>
      <c r="AT244" s="460">
        <f t="shared" si="225"/>
        <v>0</v>
      </c>
      <c r="AU244" s="463">
        <f t="shared" si="226"/>
        <v>37.44</v>
      </c>
      <c r="AV244" s="460">
        <f t="shared" ref="AV244:AV257" si="245">P244+AG244</f>
        <v>37.44</v>
      </c>
      <c r="AW244" s="460">
        <f t="shared" ref="AW244:AW257" si="246">Q244+AH244</f>
        <v>0</v>
      </c>
      <c r="AX244" s="460">
        <f t="shared" si="228"/>
        <v>0</v>
      </c>
      <c r="AY244" s="460">
        <f t="shared" si="229"/>
        <v>0</v>
      </c>
      <c r="AZ244" s="463">
        <f t="shared" si="230"/>
        <v>199.5</v>
      </c>
      <c r="BA244" s="482"/>
      <c r="BB244" s="482"/>
    </row>
    <row r="245" s="425" customFormat="1" ht="39" customHeight="1" spans="1:54">
      <c r="A245" s="459">
        <v>240</v>
      </c>
      <c r="B245" s="460" t="s">
        <v>730</v>
      </c>
      <c r="C245" s="460" t="s">
        <v>206</v>
      </c>
      <c r="D245" s="461" t="s">
        <v>517</v>
      </c>
      <c r="E245" s="461" t="s">
        <v>1075</v>
      </c>
      <c r="F245" s="463">
        <f t="shared" si="243"/>
        <v>21.6</v>
      </c>
      <c r="G245" s="463">
        <f t="shared" si="244"/>
        <v>15.2</v>
      </c>
      <c r="H245" s="460">
        <v>13.2</v>
      </c>
      <c r="I245" s="460">
        <v>2</v>
      </c>
      <c r="J245" s="460"/>
      <c r="K245" s="460"/>
      <c r="L245" s="460"/>
      <c r="M245" s="460"/>
      <c r="N245" s="460"/>
      <c r="O245" s="459">
        <f t="shared" si="217"/>
        <v>0</v>
      </c>
      <c r="P245" s="460"/>
      <c r="Q245" s="460"/>
      <c r="R245" s="460"/>
      <c r="S245" s="460"/>
      <c r="T245" s="460"/>
      <c r="U245" s="463">
        <v>6.4</v>
      </c>
      <c r="V245" s="460" t="s">
        <v>838</v>
      </c>
      <c r="W245" s="460" t="s">
        <v>1076</v>
      </c>
      <c r="X245" s="463">
        <f t="shared" ref="X245:X257" si="247">Y245+AF245+AK245</f>
        <v>0</v>
      </c>
      <c r="Y245" s="463">
        <f t="shared" ref="Y245:Y257" si="248">SUM(Z245:AE245)</f>
        <v>0</v>
      </c>
      <c r="Z245" s="460"/>
      <c r="AA245" s="460"/>
      <c r="AB245" s="460"/>
      <c r="AC245" s="460"/>
      <c r="AD245" s="460"/>
      <c r="AE245" s="460"/>
      <c r="AF245" s="459">
        <f t="shared" ref="AF245:AF257" si="249">SUM(AG245:AJ245)</f>
        <v>0</v>
      </c>
      <c r="AG245" s="460"/>
      <c r="AH245" s="460"/>
      <c r="AI245" s="460"/>
      <c r="AJ245" s="460"/>
      <c r="AK245" s="460"/>
      <c r="AL245" s="460"/>
      <c r="AM245" s="463">
        <f t="shared" si="218"/>
        <v>21.6</v>
      </c>
      <c r="AN245" s="463">
        <f t="shared" si="219"/>
        <v>15.2</v>
      </c>
      <c r="AO245" s="460">
        <f t="shared" si="220"/>
        <v>13.2</v>
      </c>
      <c r="AP245" s="460">
        <f t="shared" si="221"/>
        <v>2</v>
      </c>
      <c r="AQ245" s="460">
        <f t="shared" si="222"/>
        <v>0</v>
      </c>
      <c r="AR245" s="460">
        <f t="shared" si="223"/>
        <v>0</v>
      </c>
      <c r="AS245" s="460">
        <f t="shared" si="224"/>
        <v>0</v>
      </c>
      <c r="AT245" s="460">
        <f t="shared" si="225"/>
        <v>0</v>
      </c>
      <c r="AU245" s="463">
        <f t="shared" si="226"/>
        <v>0</v>
      </c>
      <c r="AV245" s="460">
        <f t="shared" si="245"/>
        <v>0</v>
      </c>
      <c r="AW245" s="460">
        <f t="shared" si="246"/>
        <v>0</v>
      </c>
      <c r="AX245" s="460">
        <f t="shared" si="228"/>
        <v>0</v>
      </c>
      <c r="AY245" s="460">
        <f t="shared" si="229"/>
        <v>0</v>
      </c>
      <c r="AZ245" s="463">
        <f t="shared" si="230"/>
        <v>6.4</v>
      </c>
      <c r="BA245" s="482"/>
      <c r="BB245" s="482"/>
    </row>
    <row r="246" s="425" customFormat="1" ht="39" customHeight="1" spans="1:54">
      <c r="A246" s="459">
        <v>241</v>
      </c>
      <c r="B246" s="460" t="s">
        <v>730</v>
      </c>
      <c r="C246" s="460" t="s">
        <v>203</v>
      </c>
      <c r="D246" s="461" t="s">
        <v>525</v>
      </c>
      <c r="E246" s="461" t="s">
        <v>1077</v>
      </c>
      <c r="F246" s="463">
        <f t="shared" si="243"/>
        <v>89.588</v>
      </c>
      <c r="G246" s="463">
        <f t="shared" si="244"/>
        <v>7.068</v>
      </c>
      <c r="H246" s="460">
        <v>3</v>
      </c>
      <c r="I246" s="460"/>
      <c r="J246" s="460">
        <v>4.068</v>
      </c>
      <c r="K246" s="460"/>
      <c r="L246" s="460"/>
      <c r="M246" s="460"/>
      <c r="N246" s="460"/>
      <c r="O246" s="459">
        <f t="shared" si="217"/>
        <v>1.52</v>
      </c>
      <c r="P246" s="460">
        <v>1.52</v>
      </c>
      <c r="Q246" s="460"/>
      <c r="R246" s="460"/>
      <c r="S246" s="460"/>
      <c r="T246" s="460"/>
      <c r="U246" s="463">
        <v>81</v>
      </c>
      <c r="V246" s="460" t="s">
        <v>838</v>
      </c>
      <c r="W246" s="460" t="s">
        <v>1078</v>
      </c>
      <c r="X246" s="463">
        <f t="shared" si="247"/>
        <v>0.63</v>
      </c>
      <c r="Y246" s="463">
        <f t="shared" si="248"/>
        <v>-0.39</v>
      </c>
      <c r="Z246" s="460"/>
      <c r="AA246" s="460"/>
      <c r="AB246" s="460">
        <v>-0.39</v>
      </c>
      <c r="AC246" s="460"/>
      <c r="AD246" s="460"/>
      <c r="AE246" s="460"/>
      <c r="AF246" s="459">
        <f t="shared" si="249"/>
        <v>-0.48</v>
      </c>
      <c r="AG246" s="460">
        <v>-0.48</v>
      </c>
      <c r="AH246" s="460"/>
      <c r="AI246" s="460"/>
      <c r="AJ246" s="460"/>
      <c r="AK246" s="460">
        <v>1.5</v>
      </c>
      <c r="AL246" s="460" t="s">
        <v>846</v>
      </c>
      <c r="AM246" s="463">
        <f t="shared" si="218"/>
        <v>90.218</v>
      </c>
      <c r="AN246" s="463">
        <f t="shared" si="219"/>
        <v>6.678</v>
      </c>
      <c r="AO246" s="460">
        <f t="shared" si="220"/>
        <v>3</v>
      </c>
      <c r="AP246" s="460">
        <f t="shared" si="221"/>
        <v>0</v>
      </c>
      <c r="AQ246" s="460">
        <f t="shared" si="222"/>
        <v>3.678</v>
      </c>
      <c r="AR246" s="460">
        <f t="shared" si="223"/>
        <v>0</v>
      </c>
      <c r="AS246" s="460">
        <f t="shared" si="224"/>
        <v>0</v>
      </c>
      <c r="AT246" s="460">
        <f t="shared" si="225"/>
        <v>0</v>
      </c>
      <c r="AU246" s="463">
        <f t="shared" si="226"/>
        <v>1.04</v>
      </c>
      <c r="AV246" s="460">
        <f t="shared" si="245"/>
        <v>1.04</v>
      </c>
      <c r="AW246" s="460">
        <f t="shared" si="246"/>
        <v>0</v>
      </c>
      <c r="AX246" s="460">
        <f t="shared" si="228"/>
        <v>0</v>
      </c>
      <c r="AY246" s="460">
        <f t="shared" si="229"/>
        <v>0</v>
      </c>
      <c r="AZ246" s="463">
        <f t="shared" si="230"/>
        <v>82.5</v>
      </c>
      <c r="BA246" s="482"/>
      <c r="BB246" s="482"/>
    </row>
    <row r="247" s="425" customFormat="1" ht="39" customHeight="1" spans="1:54">
      <c r="A247" s="459">
        <v>242</v>
      </c>
      <c r="B247" s="460" t="s">
        <v>730</v>
      </c>
      <c r="C247" s="460" t="s">
        <v>206</v>
      </c>
      <c r="D247" s="461" t="s">
        <v>527</v>
      </c>
      <c r="E247" s="461" t="s">
        <v>1079</v>
      </c>
      <c r="F247" s="463">
        <f t="shared" si="243"/>
        <v>4.8</v>
      </c>
      <c r="G247" s="463">
        <f t="shared" si="244"/>
        <v>4.8</v>
      </c>
      <c r="H247" s="460">
        <v>4.8</v>
      </c>
      <c r="I247" s="460"/>
      <c r="J247" s="460"/>
      <c r="K247" s="460"/>
      <c r="L247" s="460"/>
      <c r="M247" s="460"/>
      <c r="N247" s="460"/>
      <c r="O247" s="459">
        <f t="shared" si="217"/>
        <v>0</v>
      </c>
      <c r="P247" s="460"/>
      <c r="Q247" s="460"/>
      <c r="R247" s="460"/>
      <c r="S247" s="460"/>
      <c r="T247" s="460"/>
      <c r="U247" s="463"/>
      <c r="V247" s="460"/>
      <c r="W247" s="460"/>
      <c r="X247" s="463">
        <f t="shared" si="247"/>
        <v>0</v>
      </c>
      <c r="Y247" s="463">
        <f t="shared" si="248"/>
        <v>0</v>
      </c>
      <c r="Z247" s="460"/>
      <c r="AA247" s="460"/>
      <c r="AB247" s="460"/>
      <c r="AC247" s="460"/>
      <c r="AD247" s="460"/>
      <c r="AE247" s="460"/>
      <c r="AF247" s="459">
        <f t="shared" si="249"/>
        <v>0</v>
      </c>
      <c r="AG247" s="460"/>
      <c r="AH247" s="460"/>
      <c r="AI247" s="460"/>
      <c r="AJ247" s="460"/>
      <c r="AK247" s="460"/>
      <c r="AL247" s="460"/>
      <c r="AM247" s="463">
        <f t="shared" si="218"/>
        <v>4.8</v>
      </c>
      <c r="AN247" s="463">
        <f t="shared" si="219"/>
        <v>4.8</v>
      </c>
      <c r="AO247" s="460">
        <f t="shared" si="220"/>
        <v>4.8</v>
      </c>
      <c r="AP247" s="460">
        <f t="shared" si="221"/>
        <v>0</v>
      </c>
      <c r="AQ247" s="460">
        <f t="shared" si="222"/>
        <v>0</v>
      </c>
      <c r="AR247" s="460">
        <f t="shared" si="223"/>
        <v>0</v>
      </c>
      <c r="AS247" s="460">
        <f t="shared" si="224"/>
        <v>0</v>
      </c>
      <c r="AT247" s="460">
        <f t="shared" si="225"/>
        <v>0</v>
      </c>
      <c r="AU247" s="463">
        <f t="shared" si="226"/>
        <v>0</v>
      </c>
      <c r="AV247" s="460">
        <f t="shared" si="245"/>
        <v>0</v>
      </c>
      <c r="AW247" s="460">
        <f t="shared" si="246"/>
        <v>0</v>
      </c>
      <c r="AX247" s="460">
        <f t="shared" si="228"/>
        <v>0</v>
      </c>
      <c r="AY247" s="460">
        <f t="shared" si="229"/>
        <v>0</v>
      </c>
      <c r="AZ247" s="463">
        <f t="shared" si="230"/>
        <v>0</v>
      </c>
      <c r="BA247" s="482"/>
      <c r="BB247" s="482"/>
    </row>
    <row r="248" s="425" customFormat="1" ht="39" customHeight="1" spans="1:54">
      <c r="A248" s="459">
        <v>243</v>
      </c>
      <c r="B248" s="460" t="s">
        <v>730</v>
      </c>
      <c r="C248" s="460" t="s">
        <v>203</v>
      </c>
      <c r="D248" s="461" t="s">
        <v>505</v>
      </c>
      <c r="E248" s="461" t="s">
        <v>1080</v>
      </c>
      <c r="F248" s="463">
        <f t="shared" si="243"/>
        <v>286.55</v>
      </c>
      <c r="G248" s="463">
        <f t="shared" si="244"/>
        <v>25.72</v>
      </c>
      <c r="H248" s="460">
        <v>11.4</v>
      </c>
      <c r="I248" s="460"/>
      <c r="J248" s="460">
        <v>14.32</v>
      </c>
      <c r="K248" s="460"/>
      <c r="L248" s="460"/>
      <c r="M248" s="460"/>
      <c r="N248" s="460"/>
      <c r="O248" s="459">
        <f t="shared" si="217"/>
        <v>1.83</v>
      </c>
      <c r="P248" s="460">
        <v>1.83</v>
      </c>
      <c r="Q248" s="460"/>
      <c r="R248" s="460"/>
      <c r="S248" s="460"/>
      <c r="T248" s="460"/>
      <c r="U248" s="463">
        <v>259</v>
      </c>
      <c r="V248" s="460" t="s">
        <v>838</v>
      </c>
      <c r="W248" s="460" t="s">
        <v>1081</v>
      </c>
      <c r="X248" s="463">
        <f t="shared" si="247"/>
        <v>6.59</v>
      </c>
      <c r="Y248" s="463">
        <f t="shared" si="248"/>
        <v>0</v>
      </c>
      <c r="Z248" s="460"/>
      <c r="AA248" s="460"/>
      <c r="AB248" s="460"/>
      <c r="AC248" s="460"/>
      <c r="AD248" s="460"/>
      <c r="AE248" s="460"/>
      <c r="AF248" s="459">
        <f t="shared" si="249"/>
        <v>5.09</v>
      </c>
      <c r="AG248" s="460">
        <v>5.09</v>
      </c>
      <c r="AH248" s="460"/>
      <c r="AI248" s="460"/>
      <c r="AJ248" s="460"/>
      <c r="AK248" s="460">
        <v>1.5</v>
      </c>
      <c r="AL248" s="460" t="s">
        <v>846</v>
      </c>
      <c r="AM248" s="463">
        <f t="shared" si="218"/>
        <v>293.14</v>
      </c>
      <c r="AN248" s="463">
        <f t="shared" si="219"/>
        <v>25.72</v>
      </c>
      <c r="AO248" s="460">
        <f t="shared" si="220"/>
        <v>11.4</v>
      </c>
      <c r="AP248" s="460">
        <f t="shared" si="221"/>
        <v>0</v>
      </c>
      <c r="AQ248" s="460">
        <f t="shared" si="222"/>
        <v>14.32</v>
      </c>
      <c r="AR248" s="460">
        <f t="shared" si="223"/>
        <v>0</v>
      </c>
      <c r="AS248" s="460">
        <f t="shared" si="224"/>
        <v>0</v>
      </c>
      <c r="AT248" s="460">
        <f t="shared" si="225"/>
        <v>0</v>
      </c>
      <c r="AU248" s="463">
        <f t="shared" si="226"/>
        <v>6.92</v>
      </c>
      <c r="AV248" s="460">
        <f t="shared" si="245"/>
        <v>6.92</v>
      </c>
      <c r="AW248" s="460">
        <f t="shared" si="246"/>
        <v>0</v>
      </c>
      <c r="AX248" s="460">
        <f t="shared" si="228"/>
        <v>0</v>
      </c>
      <c r="AY248" s="460">
        <f t="shared" si="229"/>
        <v>0</v>
      </c>
      <c r="AZ248" s="463">
        <f t="shared" si="230"/>
        <v>260.5</v>
      </c>
      <c r="BA248" s="482"/>
      <c r="BB248" s="482"/>
    </row>
    <row r="249" s="425" customFormat="1" ht="39" customHeight="1" spans="1:54">
      <c r="A249" s="459">
        <v>244</v>
      </c>
      <c r="B249" s="460" t="s">
        <v>730</v>
      </c>
      <c r="C249" s="460" t="s">
        <v>206</v>
      </c>
      <c r="D249" s="461" t="s">
        <v>511</v>
      </c>
      <c r="E249" s="461" t="s">
        <v>1082</v>
      </c>
      <c r="F249" s="463">
        <f t="shared" si="243"/>
        <v>26.1</v>
      </c>
      <c r="G249" s="463">
        <f t="shared" si="244"/>
        <v>3.6</v>
      </c>
      <c r="H249" s="460">
        <v>3.6</v>
      </c>
      <c r="I249" s="460"/>
      <c r="J249" s="460"/>
      <c r="K249" s="460"/>
      <c r="L249" s="460"/>
      <c r="M249" s="460"/>
      <c r="N249" s="460"/>
      <c r="O249" s="459">
        <f t="shared" si="217"/>
        <v>0</v>
      </c>
      <c r="P249" s="460"/>
      <c r="Q249" s="460"/>
      <c r="R249" s="460"/>
      <c r="S249" s="460"/>
      <c r="T249" s="460"/>
      <c r="U249" s="463">
        <v>22.5</v>
      </c>
      <c r="V249" s="460" t="s">
        <v>838</v>
      </c>
      <c r="W249" s="460" t="s">
        <v>1083</v>
      </c>
      <c r="X249" s="463">
        <f t="shared" si="247"/>
        <v>0</v>
      </c>
      <c r="Y249" s="463">
        <f t="shared" si="248"/>
        <v>0</v>
      </c>
      <c r="Z249" s="460"/>
      <c r="AA249" s="460"/>
      <c r="AB249" s="460"/>
      <c r="AC249" s="460"/>
      <c r="AD249" s="460"/>
      <c r="AE249" s="460"/>
      <c r="AF249" s="459">
        <f t="shared" si="249"/>
        <v>0</v>
      </c>
      <c r="AG249" s="460"/>
      <c r="AH249" s="460"/>
      <c r="AI249" s="460"/>
      <c r="AJ249" s="460"/>
      <c r="AK249" s="460"/>
      <c r="AL249" s="460"/>
      <c r="AM249" s="463">
        <f t="shared" si="218"/>
        <v>26.1</v>
      </c>
      <c r="AN249" s="463">
        <f t="shared" si="219"/>
        <v>3.6</v>
      </c>
      <c r="AO249" s="460">
        <f t="shared" si="220"/>
        <v>3.6</v>
      </c>
      <c r="AP249" s="460">
        <f t="shared" si="221"/>
        <v>0</v>
      </c>
      <c r="AQ249" s="460">
        <f t="shared" si="222"/>
        <v>0</v>
      </c>
      <c r="AR249" s="460">
        <f t="shared" si="223"/>
        <v>0</v>
      </c>
      <c r="AS249" s="460">
        <f t="shared" si="224"/>
        <v>0</v>
      </c>
      <c r="AT249" s="460">
        <f t="shared" si="225"/>
        <v>0</v>
      </c>
      <c r="AU249" s="463">
        <f t="shared" si="226"/>
        <v>0</v>
      </c>
      <c r="AV249" s="460">
        <f t="shared" si="245"/>
        <v>0</v>
      </c>
      <c r="AW249" s="460">
        <f t="shared" si="246"/>
        <v>0</v>
      </c>
      <c r="AX249" s="460">
        <f t="shared" si="228"/>
        <v>0</v>
      </c>
      <c r="AY249" s="460">
        <f t="shared" si="229"/>
        <v>0</v>
      </c>
      <c r="AZ249" s="463">
        <f t="shared" si="230"/>
        <v>22.5</v>
      </c>
      <c r="BA249" s="482"/>
      <c r="BB249" s="482"/>
    </row>
    <row r="250" s="425" customFormat="1" ht="39" customHeight="1" spans="1:54">
      <c r="A250" s="459">
        <v>245</v>
      </c>
      <c r="B250" s="460" t="s">
        <v>730</v>
      </c>
      <c r="C250" s="460" t="s">
        <v>206</v>
      </c>
      <c r="D250" s="461" t="s">
        <v>509</v>
      </c>
      <c r="E250" s="461" t="s">
        <v>1084</v>
      </c>
      <c r="F250" s="463">
        <f t="shared" si="243"/>
        <v>24.8</v>
      </c>
      <c r="G250" s="463">
        <f t="shared" si="244"/>
        <v>6.8</v>
      </c>
      <c r="H250" s="460">
        <v>4.8</v>
      </c>
      <c r="I250" s="460">
        <v>2</v>
      </c>
      <c r="J250" s="460"/>
      <c r="K250" s="460"/>
      <c r="L250" s="460"/>
      <c r="M250" s="460"/>
      <c r="N250" s="460"/>
      <c r="O250" s="459">
        <f t="shared" si="217"/>
        <v>0</v>
      </c>
      <c r="P250" s="460"/>
      <c r="Q250" s="460"/>
      <c r="R250" s="460"/>
      <c r="S250" s="460"/>
      <c r="T250" s="460"/>
      <c r="U250" s="463">
        <v>18</v>
      </c>
      <c r="V250" s="460" t="s">
        <v>838</v>
      </c>
      <c r="W250" s="460" t="s">
        <v>1085</v>
      </c>
      <c r="X250" s="463">
        <f t="shared" si="247"/>
        <v>0</v>
      </c>
      <c r="Y250" s="463">
        <f t="shared" si="248"/>
        <v>0</v>
      </c>
      <c r="Z250" s="460"/>
      <c r="AA250" s="460"/>
      <c r="AB250" s="460"/>
      <c r="AC250" s="460"/>
      <c r="AD250" s="460"/>
      <c r="AE250" s="460"/>
      <c r="AF250" s="459">
        <f t="shared" si="249"/>
        <v>0</v>
      </c>
      <c r="AG250" s="460"/>
      <c r="AH250" s="460"/>
      <c r="AI250" s="460"/>
      <c r="AJ250" s="460"/>
      <c r="AK250" s="460"/>
      <c r="AL250" s="460"/>
      <c r="AM250" s="463">
        <f t="shared" si="218"/>
        <v>24.8</v>
      </c>
      <c r="AN250" s="463">
        <f t="shared" si="219"/>
        <v>6.8</v>
      </c>
      <c r="AO250" s="460">
        <f t="shared" si="220"/>
        <v>4.8</v>
      </c>
      <c r="AP250" s="460">
        <f t="shared" si="221"/>
        <v>2</v>
      </c>
      <c r="AQ250" s="460">
        <f t="shared" si="222"/>
        <v>0</v>
      </c>
      <c r="AR250" s="460">
        <f t="shared" si="223"/>
        <v>0</v>
      </c>
      <c r="AS250" s="460">
        <f t="shared" si="224"/>
        <v>0</v>
      </c>
      <c r="AT250" s="460">
        <f t="shared" si="225"/>
        <v>0</v>
      </c>
      <c r="AU250" s="463">
        <f t="shared" si="226"/>
        <v>0</v>
      </c>
      <c r="AV250" s="460">
        <f t="shared" si="245"/>
        <v>0</v>
      </c>
      <c r="AW250" s="460">
        <f t="shared" si="246"/>
        <v>0</v>
      </c>
      <c r="AX250" s="460">
        <f t="shared" si="228"/>
        <v>0</v>
      </c>
      <c r="AY250" s="460">
        <f t="shared" si="229"/>
        <v>0</v>
      </c>
      <c r="AZ250" s="463">
        <f t="shared" si="230"/>
        <v>18</v>
      </c>
      <c r="BA250" s="482"/>
      <c r="BB250" s="482"/>
    </row>
    <row r="251" s="425" customFormat="1" ht="39" customHeight="1" spans="1:54">
      <c r="A251" s="459">
        <v>246</v>
      </c>
      <c r="B251" s="460" t="s">
        <v>730</v>
      </c>
      <c r="C251" s="460" t="s">
        <v>206</v>
      </c>
      <c r="D251" s="461" t="s">
        <v>513</v>
      </c>
      <c r="E251" s="461" t="s">
        <v>1082</v>
      </c>
      <c r="F251" s="463">
        <f t="shared" si="243"/>
        <v>29.1</v>
      </c>
      <c r="G251" s="463">
        <f t="shared" si="244"/>
        <v>6.6</v>
      </c>
      <c r="H251" s="460">
        <v>6.6</v>
      </c>
      <c r="I251" s="460"/>
      <c r="J251" s="460"/>
      <c r="K251" s="460"/>
      <c r="L251" s="460"/>
      <c r="M251" s="460"/>
      <c r="N251" s="460"/>
      <c r="O251" s="459">
        <f t="shared" si="217"/>
        <v>0</v>
      </c>
      <c r="P251" s="460"/>
      <c r="Q251" s="460"/>
      <c r="R251" s="460"/>
      <c r="S251" s="460"/>
      <c r="T251" s="460"/>
      <c r="U251" s="463">
        <v>22.5</v>
      </c>
      <c r="V251" s="460" t="s">
        <v>838</v>
      </c>
      <c r="W251" s="460" t="s">
        <v>1086</v>
      </c>
      <c r="X251" s="463">
        <f t="shared" si="247"/>
        <v>0</v>
      </c>
      <c r="Y251" s="463">
        <f t="shared" si="248"/>
        <v>0</v>
      </c>
      <c r="Z251" s="460"/>
      <c r="AA251" s="460"/>
      <c r="AB251" s="460"/>
      <c r="AC251" s="460"/>
      <c r="AD251" s="460"/>
      <c r="AE251" s="460"/>
      <c r="AF251" s="459">
        <f t="shared" si="249"/>
        <v>0</v>
      </c>
      <c r="AG251" s="460"/>
      <c r="AH251" s="460"/>
      <c r="AI251" s="460"/>
      <c r="AJ251" s="460"/>
      <c r="AK251" s="460"/>
      <c r="AL251" s="460"/>
      <c r="AM251" s="463">
        <f t="shared" si="218"/>
        <v>29.1</v>
      </c>
      <c r="AN251" s="463">
        <f t="shared" si="219"/>
        <v>6.6</v>
      </c>
      <c r="AO251" s="460">
        <f t="shared" si="220"/>
        <v>6.6</v>
      </c>
      <c r="AP251" s="460">
        <f t="shared" si="221"/>
        <v>0</v>
      </c>
      <c r="AQ251" s="460">
        <f t="shared" si="222"/>
        <v>0</v>
      </c>
      <c r="AR251" s="460">
        <f t="shared" si="223"/>
        <v>0</v>
      </c>
      <c r="AS251" s="460">
        <f t="shared" si="224"/>
        <v>0</v>
      </c>
      <c r="AT251" s="460">
        <f t="shared" si="225"/>
        <v>0</v>
      </c>
      <c r="AU251" s="463">
        <f t="shared" si="226"/>
        <v>0</v>
      </c>
      <c r="AV251" s="460">
        <f t="shared" si="245"/>
        <v>0</v>
      </c>
      <c r="AW251" s="460">
        <f t="shared" si="246"/>
        <v>0</v>
      </c>
      <c r="AX251" s="460">
        <f t="shared" si="228"/>
        <v>0</v>
      </c>
      <c r="AY251" s="460">
        <f t="shared" si="229"/>
        <v>0</v>
      </c>
      <c r="AZ251" s="463">
        <f t="shared" si="230"/>
        <v>22.5</v>
      </c>
      <c r="BA251" s="482"/>
      <c r="BB251" s="482"/>
    </row>
    <row r="252" s="425" customFormat="1" ht="39" customHeight="1" spans="1:54">
      <c r="A252" s="459">
        <v>247</v>
      </c>
      <c r="B252" s="460" t="s">
        <v>730</v>
      </c>
      <c r="C252" s="460" t="s">
        <v>206</v>
      </c>
      <c r="D252" s="461" t="s">
        <v>507</v>
      </c>
      <c r="E252" s="461" t="s">
        <v>1087</v>
      </c>
      <c r="F252" s="463">
        <f t="shared" si="243"/>
        <v>18.2</v>
      </c>
      <c r="G252" s="463">
        <f t="shared" si="244"/>
        <v>9.2</v>
      </c>
      <c r="H252" s="460">
        <v>7.2</v>
      </c>
      <c r="I252" s="460">
        <v>2</v>
      </c>
      <c r="J252" s="460"/>
      <c r="K252" s="460"/>
      <c r="L252" s="460"/>
      <c r="M252" s="460"/>
      <c r="N252" s="460"/>
      <c r="O252" s="459">
        <f t="shared" si="217"/>
        <v>0</v>
      </c>
      <c r="P252" s="460"/>
      <c r="Q252" s="460"/>
      <c r="R252" s="460"/>
      <c r="S252" s="460"/>
      <c r="T252" s="460"/>
      <c r="U252" s="463">
        <v>9</v>
      </c>
      <c r="V252" s="460" t="s">
        <v>838</v>
      </c>
      <c r="W252" s="460" t="s">
        <v>1088</v>
      </c>
      <c r="X252" s="463">
        <f t="shared" si="247"/>
        <v>0</v>
      </c>
      <c r="Y252" s="463">
        <f t="shared" si="248"/>
        <v>0</v>
      </c>
      <c r="Z252" s="460"/>
      <c r="AA252" s="460"/>
      <c r="AB252" s="460"/>
      <c r="AC252" s="460"/>
      <c r="AD252" s="460"/>
      <c r="AE252" s="460"/>
      <c r="AF252" s="459">
        <f t="shared" si="249"/>
        <v>0</v>
      </c>
      <c r="AG252" s="460"/>
      <c r="AH252" s="460"/>
      <c r="AI252" s="460"/>
      <c r="AJ252" s="460"/>
      <c r="AK252" s="460"/>
      <c r="AL252" s="460"/>
      <c r="AM252" s="463">
        <f t="shared" si="218"/>
        <v>18.2</v>
      </c>
      <c r="AN252" s="463">
        <f t="shared" si="219"/>
        <v>9.2</v>
      </c>
      <c r="AO252" s="460">
        <f t="shared" si="220"/>
        <v>7.2</v>
      </c>
      <c r="AP252" s="460">
        <f t="shared" si="221"/>
        <v>2</v>
      </c>
      <c r="AQ252" s="460">
        <f t="shared" si="222"/>
        <v>0</v>
      </c>
      <c r="AR252" s="460">
        <f t="shared" si="223"/>
        <v>0</v>
      </c>
      <c r="AS252" s="460">
        <f t="shared" si="224"/>
        <v>0</v>
      </c>
      <c r="AT252" s="460">
        <f t="shared" si="225"/>
        <v>0</v>
      </c>
      <c r="AU252" s="463">
        <f t="shared" si="226"/>
        <v>0</v>
      </c>
      <c r="AV252" s="460">
        <f t="shared" si="245"/>
        <v>0</v>
      </c>
      <c r="AW252" s="460">
        <f t="shared" si="246"/>
        <v>0</v>
      </c>
      <c r="AX252" s="460">
        <f t="shared" si="228"/>
        <v>0</v>
      </c>
      <c r="AY252" s="460">
        <f t="shared" si="229"/>
        <v>0</v>
      </c>
      <c r="AZ252" s="463">
        <f t="shared" si="230"/>
        <v>9</v>
      </c>
      <c r="BA252" s="482"/>
      <c r="BB252" s="482"/>
    </row>
    <row r="253" s="425" customFormat="1" ht="39" customHeight="1" spans="1:54">
      <c r="A253" s="459">
        <v>248</v>
      </c>
      <c r="B253" s="460" t="s">
        <v>730</v>
      </c>
      <c r="C253" s="460" t="s">
        <v>483</v>
      </c>
      <c r="D253" s="461" t="s">
        <v>1089</v>
      </c>
      <c r="E253" s="461" t="s">
        <v>1082</v>
      </c>
      <c r="F253" s="463">
        <f t="shared" ref="F253:F255" si="250">G253+O253+U253</f>
        <v>7.2</v>
      </c>
      <c r="G253" s="463">
        <f t="shared" si="244"/>
        <v>0</v>
      </c>
      <c r="H253" s="460"/>
      <c r="I253" s="460"/>
      <c r="J253" s="460"/>
      <c r="K253" s="460"/>
      <c r="L253" s="460"/>
      <c r="M253" s="460"/>
      <c r="N253" s="460"/>
      <c r="O253" s="459">
        <f t="shared" si="217"/>
        <v>0</v>
      </c>
      <c r="P253" s="460"/>
      <c r="Q253" s="460"/>
      <c r="R253" s="460"/>
      <c r="S253" s="460"/>
      <c r="T253" s="460"/>
      <c r="U253" s="463">
        <v>7.2</v>
      </c>
      <c r="V253" s="460" t="s">
        <v>838</v>
      </c>
      <c r="W253" s="460" t="s">
        <v>1090</v>
      </c>
      <c r="X253" s="463">
        <f t="shared" si="247"/>
        <v>0</v>
      </c>
      <c r="Y253" s="463">
        <f t="shared" si="248"/>
        <v>0</v>
      </c>
      <c r="Z253" s="460"/>
      <c r="AA253" s="460"/>
      <c r="AB253" s="460"/>
      <c r="AC253" s="460"/>
      <c r="AD253" s="460"/>
      <c r="AE253" s="460"/>
      <c r="AF253" s="459">
        <f t="shared" si="249"/>
        <v>0</v>
      </c>
      <c r="AG253" s="460"/>
      <c r="AH253" s="460"/>
      <c r="AI253" s="460"/>
      <c r="AJ253" s="460"/>
      <c r="AK253" s="460"/>
      <c r="AL253" s="460"/>
      <c r="AM253" s="463">
        <f t="shared" si="218"/>
        <v>7.2</v>
      </c>
      <c r="AN253" s="463">
        <f t="shared" si="219"/>
        <v>0</v>
      </c>
      <c r="AO253" s="460">
        <f t="shared" si="220"/>
        <v>0</v>
      </c>
      <c r="AP253" s="460">
        <f t="shared" si="221"/>
        <v>0</v>
      </c>
      <c r="AQ253" s="460">
        <f t="shared" si="222"/>
        <v>0</v>
      </c>
      <c r="AR253" s="460">
        <f t="shared" si="223"/>
        <v>0</v>
      </c>
      <c r="AS253" s="460">
        <f t="shared" si="224"/>
        <v>0</v>
      </c>
      <c r="AT253" s="460">
        <f t="shared" si="225"/>
        <v>0</v>
      </c>
      <c r="AU253" s="463">
        <f t="shared" si="226"/>
        <v>0</v>
      </c>
      <c r="AV253" s="460">
        <f t="shared" si="245"/>
        <v>0</v>
      </c>
      <c r="AW253" s="460">
        <f t="shared" si="246"/>
        <v>0</v>
      </c>
      <c r="AX253" s="460">
        <f t="shared" si="228"/>
        <v>0</v>
      </c>
      <c r="AY253" s="460">
        <f t="shared" si="229"/>
        <v>0</v>
      </c>
      <c r="AZ253" s="463">
        <f t="shared" si="230"/>
        <v>7.2</v>
      </c>
      <c r="BA253" s="482"/>
      <c r="BB253" s="482"/>
    </row>
    <row r="254" s="425" customFormat="1" ht="39" customHeight="1" spans="1:54">
      <c r="A254" s="459">
        <v>249</v>
      </c>
      <c r="B254" s="460" t="s">
        <v>730</v>
      </c>
      <c r="C254" s="460" t="s">
        <v>483</v>
      </c>
      <c r="D254" s="461" t="s">
        <v>1091</v>
      </c>
      <c r="E254" s="461" t="s">
        <v>1092</v>
      </c>
      <c r="F254" s="463">
        <f t="shared" si="250"/>
        <v>14.75</v>
      </c>
      <c r="G254" s="463">
        <f t="shared" si="244"/>
        <v>0</v>
      </c>
      <c r="H254" s="460"/>
      <c r="I254" s="460"/>
      <c r="J254" s="460"/>
      <c r="K254" s="460"/>
      <c r="L254" s="460"/>
      <c r="M254" s="460"/>
      <c r="N254" s="460"/>
      <c r="O254" s="459">
        <f t="shared" si="217"/>
        <v>0</v>
      </c>
      <c r="P254" s="460"/>
      <c r="Q254" s="460"/>
      <c r="R254" s="460"/>
      <c r="S254" s="460"/>
      <c r="T254" s="460"/>
      <c r="U254" s="463">
        <v>14.75</v>
      </c>
      <c r="V254" s="460" t="s">
        <v>838</v>
      </c>
      <c r="W254" s="460" t="s">
        <v>1093</v>
      </c>
      <c r="X254" s="463">
        <f t="shared" si="247"/>
        <v>0</v>
      </c>
      <c r="Y254" s="463">
        <f t="shared" si="248"/>
        <v>0</v>
      </c>
      <c r="Z254" s="460"/>
      <c r="AA254" s="460"/>
      <c r="AB254" s="460"/>
      <c r="AC254" s="460"/>
      <c r="AD254" s="460"/>
      <c r="AE254" s="460"/>
      <c r="AF254" s="459">
        <f t="shared" si="249"/>
        <v>0</v>
      </c>
      <c r="AG254" s="460"/>
      <c r="AH254" s="460"/>
      <c r="AI254" s="460"/>
      <c r="AJ254" s="460"/>
      <c r="AK254" s="460"/>
      <c r="AL254" s="460"/>
      <c r="AM254" s="463">
        <f t="shared" si="218"/>
        <v>14.75</v>
      </c>
      <c r="AN254" s="463">
        <f t="shared" si="219"/>
        <v>0</v>
      </c>
      <c r="AO254" s="460">
        <f t="shared" si="220"/>
        <v>0</v>
      </c>
      <c r="AP254" s="460">
        <f t="shared" si="221"/>
        <v>0</v>
      </c>
      <c r="AQ254" s="460">
        <f t="shared" si="222"/>
        <v>0</v>
      </c>
      <c r="AR254" s="460">
        <f t="shared" si="223"/>
        <v>0</v>
      </c>
      <c r="AS254" s="460">
        <f t="shared" si="224"/>
        <v>0</v>
      </c>
      <c r="AT254" s="460">
        <f t="shared" si="225"/>
        <v>0</v>
      </c>
      <c r="AU254" s="463">
        <f t="shared" si="226"/>
        <v>0</v>
      </c>
      <c r="AV254" s="460">
        <f t="shared" si="245"/>
        <v>0</v>
      </c>
      <c r="AW254" s="460">
        <f t="shared" si="246"/>
        <v>0</v>
      </c>
      <c r="AX254" s="460">
        <f t="shared" si="228"/>
        <v>0</v>
      </c>
      <c r="AY254" s="460">
        <f t="shared" si="229"/>
        <v>0</v>
      </c>
      <c r="AZ254" s="463">
        <f t="shared" si="230"/>
        <v>14.75</v>
      </c>
      <c r="BA254" s="482"/>
      <c r="BB254" s="482"/>
    </row>
    <row r="255" s="425" customFormat="1" ht="39" customHeight="1" spans="1:54">
      <c r="A255" s="459">
        <v>250</v>
      </c>
      <c r="B255" s="460" t="s">
        <v>730</v>
      </c>
      <c r="C255" s="460" t="s">
        <v>483</v>
      </c>
      <c r="D255" s="461" t="s">
        <v>523</v>
      </c>
      <c r="E255" s="461" t="s">
        <v>1094</v>
      </c>
      <c r="F255" s="463">
        <f t="shared" si="250"/>
        <v>8.78</v>
      </c>
      <c r="G255" s="463">
        <f t="shared" si="244"/>
        <v>3.78</v>
      </c>
      <c r="H255" s="460">
        <v>1.8</v>
      </c>
      <c r="I255" s="460"/>
      <c r="J255" s="460">
        <v>1.98</v>
      </c>
      <c r="K255" s="460"/>
      <c r="L255" s="460"/>
      <c r="M255" s="460"/>
      <c r="N255" s="460"/>
      <c r="O255" s="459">
        <f t="shared" si="217"/>
        <v>0</v>
      </c>
      <c r="P255" s="460"/>
      <c r="Q255" s="460"/>
      <c r="R255" s="460"/>
      <c r="S255" s="460"/>
      <c r="T255" s="460"/>
      <c r="U255" s="463">
        <v>5</v>
      </c>
      <c r="V255" s="460" t="s">
        <v>838</v>
      </c>
      <c r="W255" s="460" t="s">
        <v>1095</v>
      </c>
      <c r="X255" s="463">
        <f t="shared" si="247"/>
        <v>0</v>
      </c>
      <c r="Y255" s="463">
        <f t="shared" si="248"/>
        <v>0</v>
      </c>
      <c r="Z255" s="460"/>
      <c r="AA255" s="460"/>
      <c r="AB255" s="460"/>
      <c r="AC255" s="460"/>
      <c r="AD255" s="460"/>
      <c r="AE255" s="460"/>
      <c r="AF255" s="459">
        <f t="shared" si="249"/>
        <v>0</v>
      </c>
      <c r="AG255" s="460"/>
      <c r="AH255" s="460"/>
      <c r="AI255" s="460"/>
      <c r="AJ255" s="460"/>
      <c r="AK255" s="460"/>
      <c r="AL255" s="460"/>
      <c r="AM255" s="463">
        <f t="shared" si="218"/>
        <v>8.78</v>
      </c>
      <c r="AN255" s="463">
        <f t="shared" si="219"/>
        <v>3.78</v>
      </c>
      <c r="AO255" s="460">
        <f t="shared" si="220"/>
        <v>1.8</v>
      </c>
      <c r="AP255" s="460">
        <f t="shared" si="221"/>
        <v>0</v>
      </c>
      <c r="AQ255" s="460">
        <f t="shared" si="222"/>
        <v>1.98</v>
      </c>
      <c r="AR255" s="460">
        <f t="shared" si="223"/>
        <v>0</v>
      </c>
      <c r="AS255" s="460">
        <f t="shared" si="224"/>
        <v>0</v>
      </c>
      <c r="AT255" s="460">
        <f t="shared" si="225"/>
        <v>0</v>
      </c>
      <c r="AU255" s="463">
        <f t="shared" si="226"/>
        <v>0</v>
      </c>
      <c r="AV255" s="460">
        <f t="shared" si="245"/>
        <v>0</v>
      </c>
      <c r="AW255" s="460">
        <f t="shared" si="246"/>
        <v>0</v>
      </c>
      <c r="AX255" s="460">
        <f t="shared" si="228"/>
        <v>0</v>
      </c>
      <c r="AY255" s="460">
        <f t="shared" si="229"/>
        <v>0</v>
      </c>
      <c r="AZ255" s="463">
        <f t="shared" si="230"/>
        <v>5</v>
      </c>
      <c r="BA255" s="482"/>
      <c r="BB255" s="482"/>
    </row>
    <row r="256" s="425" customFormat="1" ht="39" customHeight="1" spans="1:54">
      <c r="A256" s="459">
        <v>251</v>
      </c>
      <c r="B256" s="460" t="s">
        <v>730</v>
      </c>
      <c r="C256" s="460" t="s">
        <v>203</v>
      </c>
      <c r="D256" s="461" t="s">
        <v>519</v>
      </c>
      <c r="E256" s="461" t="s">
        <v>1096</v>
      </c>
      <c r="F256" s="463">
        <f t="shared" ref="F256:F267" si="251">G256+O256+U256</f>
        <v>129.35</v>
      </c>
      <c r="G256" s="463">
        <f t="shared" si="244"/>
        <v>6.78</v>
      </c>
      <c r="H256" s="460">
        <v>3</v>
      </c>
      <c r="I256" s="460"/>
      <c r="J256" s="460">
        <v>3.78</v>
      </c>
      <c r="K256" s="460"/>
      <c r="L256" s="460"/>
      <c r="M256" s="460"/>
      <c r="N256" s="460"/>
      <c r="O256" s="459">
        <f t="shared" si="217"/>
        <v>3.77</v>
      </c>
      <c r="P256" s="460">
        <v>3.77</v>
      </c>
      <c r="Q256" s="460"/>
      <c r="R256" s="460"/>
      <c r="S256" s="460"/>
      <c r="T256" s="460"/>
      <c r="U256" s="463">
        <v>118.8</v>
      </c>
      <c r="V256" s="460" t="s">
        <v>838</v>
      </c>
      <c r="W256" s="460" t="s">
        <v>1097</v>
      </c>
      <c r="X256" s="463">
        <f t="shared" si="247"/>
        <v>5.97</v>
      </c>
      <c r="Y256" s="463">
        <f t="shared" si="248"/>
        <v>0</v>
      </c>
      <c r="Z256" s="460"/>
      <c r="AA256" s="460"/>
      <c r="AB256" s="460"/>
      <c r="AC256" s="460"/>
      <c r="AD256" s="460"/>
      <c r="AE256" s="460"/>
      <c r="AF256" s="459">
        <f t="shared" si="249"/>
        <v>5.97</v>
      </c>
      <c r="AG256" s="460">
        <v>5.97</v>
      </c>
      <c r="AH256" s="460"/>
      <c r="AI256" s="460"/>
      <c r="AJ256" s="460"/>
      <c r="AK256" s="460"/>
      <c r="AL256" s="460"/>
      <c r="AM256" s="463">
        <f t="shared" si="218"/>
        <v>135.32</v>
      </c>
      <c r="AN256" s="463">
        <f t="shared" si="219"/>
        <v>6.78</v>
      </c>
      <c r="AO256" s="460">
        <f t="shared" si="220"/>
        <v>3</v>
      </c>
      <c r="AP256" s="460">
        <f t="shared" si="221"/>
        <v>0</v>
      </c>
      <c r="AQ256" s="460">
        <f t="shared" si="222"/>
        <v>3.78</v>
      </c>
      <c r="AR256" s="460">
        <f t="shared" si="223"/>
        <v>0</v>
      </c>
      <c r="AS256" s="460">
        <f t="shared" si="224"/>
        <v>0</v>
      </c>
      <c r="AT256" s="460">
        <f t="shared" si="225"/>
        <v>0</v>
      </c>
      <c r="AU256" s="463">
        <f t="shared" si="226"/>
        <v>9.74</v>
      </c>
      <c r="AV256" s="460">
        <f t="shared" si="245"/>
        <v>9.74</v>
      </c>
      <c r="AW256" s="460">
        <f t="shared" si="246"/>
        <v>0</v>
      </c>
      <c r="AX256" s="460">
        <f t="shared" si="228"/>
        <v>0</v>
      </c>
      <c r="AY256" s="460">
        <f t="shared" si="229"/>
        <v>0</v>
      </c>
      <c r="AZ256" s="463">
        <f t="shared" si="230"/>
        <v>118.8</v>
      </c>
      <c r="BA256" s="482"/>
      <c r="BB256" s="482"/>
    </row>
    <row r="257" s="425" customFormat="1" ht="39" customHeight="1" spans="1:54">
      <c r="A257" s="459">
        <v>252</v>
      </c>
      <c r="B257" s="460" t="s">
        <v>730</v>
      </c>
      <c r="C257" s="460" t="s">
        <v>203</v>
      </c>
      <c r="D257" s="461" t="s">
        <v>521</v>
      </c>
      <c r="E257" s="461" t="s">
        <v>1098</v>
      </c>
      <c r="F257" s="463">
        <f t="shared" si="251"/>
        <v>3.2</v>
      </c>
      <c r="G257" s="463">
        <f t="shared" ref="G257:G267" si="252">SUM(H257:M257)</f>
        <v>3.2</v>
      </c>
      <c r="H257" s="460">
        <v>1.2</v>
      </c>
      <c r="I257" s="460">
        <v>2</v>
      </c>
      <c r="J257" s="460"/>
      <c r="K257" s="460"/>
      <c r="L257" s="460"/>
      <c r="M257" s="460"/>
      <c r="N257" s="460"/>
      <c r="O257" s="459">
        <f t="shared" si="217"/>
        <v>0</v>
      </c>
      <c r="P257" s="460"/>
      <c r="Q257" s="460"/>
      <c r="R257" s="460"/>
      <c r="S257" s="460"/>
      <c r="T257" s="460"/>
      <c r="U257" s="463"/>
      <c r="V257" s="460"/>
      <c r="W257" s="460"/>
      <c r="X257" s="463">
        <f t="shared" si="247"/>
        <v>0</v>
      </c>
      <c r="Y257" s="463">
        <f t="shared" si="248"/>
        <v>0</v>
      </c>
      <c r="Z257" s="460"/>
      <c r="AA257" s="460"/>
      <c r="AB257" s="460"/>
      <c r="AC257" s="460"/>
      <c r="AD257" s="460"/>
      <c r="AE257" s="460"/>
      <c r="AF257" s="459">
        <f t="shared" si="249"/>
        <v>0</v>
      </c>
      <c r="AG257" s="460"/>
      <c r="AH257" s="460"/>
      <c r="AI257" s="460"/>
      <c r="AJ257" s="460"/>
      <c r="AK257" s="460"/>
      <c r="AL257" s="460"/>
      <c r="AM257" s="463">
        <f t="shared" si="218"/>
        <v>3.2</v>
      </c>
      <c r="AN257" s="463">
        <f t="shared" si="219"/>
        <v>3.2</v>
      </c>
      <c r="AO257" s="460">
        <f t="shared" si="220"/>
        <v>1.2</v>
      </c>
      <c r="AP257" s="460">
        <f t="shared" si="221"/>
        <v>2</v>
      </c>
      <c r="AQ257" s="460">
        <f t="shared" si="222"/>
        <v>0</v>
      </c>
      <c r="AR257" s="460">
        <f t="shared" si="223"/>
        <v>0</v>
      </c>
      <c r="AS257" s="460">
        <f t="shared" si="224"/>
        <v>0</v>
      </c>
      <c r="AT257" s="460">
        <f t="shared" si="225"/>
        <v>0</v>
      </c>
      <c r="AU257" s="463">
        <f t="shared" si="226"/>
        <v>0</v>
      </c>
      <c r="AV257" s="460">
        <f t="shared" si="245"/>
        <v>0</v>
      </c>
      <c r="AW257" s="460">
        <f t="shared" si="246"/>
        <v>0</v>
      </c>
      <c r="AX257" s="460">
        <f t="shared" si="228"/>
        <v>0</v>
      </c>
      <c r="AY257" s="460">
        <f t="shared" si="229"/>
        <v>0</v>
      </c>
      <c r="AZ257" s="463">
        <f t="shared" si="230"/>
        <v>0</v>
      </c>
      <c r="BA257" s="482"/>
      <c r="BB257" s="482"/>
    </row>
    <row r="258" s="426" customFormat="1" ht="24" customHeight="1" spans="1:54">
      <c r="A258" s="452">
        <v>253</v>
      </c>
      <c r="B258" s="485"/>
      <c r="C258" s="485"/>
      <c r="D258" s="486" t="s">
        <v>133</v>
      </c>
      <c r="E258" s="452">
        <v>210</v>
      </c>
      <c r="F258" s="456">
        <f>SUM(F259:F267)</f>
        <v>709.418</v>
      </c>
      <c r="G258" s="456">
        <f>SUM(G259:G267)</f>
        <v>120.958</v>
      </c>
      <c r="H258" s="456">
        <f t="shared" ref="H258:M258" si="253">SUM(H259:H267)</f>
        <v>90</v>
      </c>
      <c r="I258" s="456">
        <f t="shared" si="253"/>
        <v>8</v>
      </c>
      <c r="J258" s="456">
        <f t="shared" si="253"/>
        <v>22.958</v>
      </c>
      <c r="K258" s="456">
        <f t="shared" si="253"/>
        <v>0</v>
      </c>
      <c r="L258" s="456">
        <f t="shared" si="253"/>
        <v>0</v>
      </c>
      <c r="M258" s="456">
        <f t="shared" si="253"/>
        <v>0</v>
      </c>
      <c r="N258" s="456"/>
      <c r="O258" s="456">
        <f>SUM(O259:O267)</f>
        <v>20.96</v>
      </c>
      <c r="P258" s="456">
        <f>SUM(P259:P267)</f>
        <v>15.26</v>
      </c>
      <c r="Q258" s="456">
        <f>SUM(Q259:Q267)</f>
        <v>5.7</v>
      </c>
      <c r="R258" s="456">
        <f>SUM(R259:R267)</f>
        <v>0</v>
      </c>
      <c r="S258" s="456">
        <f>SUM(S259:S267)</f>
        <v>0</v>
      </c>
      <c r="T258" s="456"/>
      <c r="U258" s="456">
        <f>SUM(U259:U267)</f>
        <v>567.5</v>
      </c>
      <c r="V258" s="456"/>
      <c r="W258" s="481"/>
      <c r="X258" s="468">
        <f t="shared" ref="X258:AM258" si="254">SUM(X259:X267)</f>
        <v>-113.41</v>
      </c>
      <c r="Y258" s="468">
        <f t="shared" si="254"/>
        <v>-1.79</v>
      </c>
      <c r="Z258" s="468">
        <f t="shared" si="254"/>
        <v>0</v>
      </c>
      <c r="AA258" s="468">
        <f t="shared" si="254"/>
        <v>0</v>
      </c>
      <c r="AB258" s="468">
        <f t="shared" si="254"/>
        <v>-1.79</v>
      </c>
      <c r="AC258" s="468">
        <f t="shared" si="254"/>
        <v>0</v>
      </c>
      <c r="AD258" s="468">
        <f t="shared" si="254"/>
        <v>0</v>
      </c>
      <c r="AE258" s="468">
        <f t="shared" si="254"/>
        <v>0</v>
      </c>
      <c r="AF258" s="468">
        <f t="shared" si="254"/>
        <v>16.88</v>
      </c>
      <c r="AG258" s="468">
        <f t="shared" si="254"/>
        <v>12.82</v>
      </c>
      <c r="AH258" s="468">
        <f t="shared" si="254"/>
        <v>4.06</v>
      </c>
      <c r="AI258" s="468">
        <f t="shared" si="254"/>
        <v>0</v>
      </c>
      <c r="AJ258" s="468">
        <f t="shared" si="254"/>
        <v>0</v>
      </c>
      <c r="AK258" s="468">
        <f t="shared" si="254"/>
        <v>-128.5</v>
      </c>
      <c r="AL258" s="456"/>
      <c r="AM258" s="468">
        <f t="shared" ref="AL258:BA258" si="255">SUM(AM259:AM267)</f>
        <v>596.008</v>
      </c>
      <c r="AN258" s="468">
        <f t="shared" si="255"/>
        <v>119.168</v>
      </c>
      <c r="AO258" s="468">
        <f t="shared" si="255"/>
        <v>90</v>
      </c>
      <c r="AP258" s="468">
        <f t="shared" si="255"/>
        <v>8</v>
      </c>
      <c r="AQ258" s="468">
        <f t="shared" si="255"/>
        <v>21.168</v>
      </c>
      <c r="AR258" s="468">
        <f t="shared" si="255"/>
        <v>0</v>
      </c>
      <c r="AS258" s="468">
        <f t="shared" si="255"/>
        <v>0</v>
      </c>
      <c r="AT258" s="468">
        <f t="shared" si="255"/>
        <v>0</v>
      </c>
      <c r="AU258" s="468">
        <f t="shared" si="255"/>
        <v>37.84</v>
      </c>
      <c r="AV258" s="468">
        <f t="shared" si="255"/>
        <v>28.08</v>
      </c>
      <c r="AW258" s="468">
        <f t="shared" si="255"/>
        <v>9.76</v>
      </c>
      <c r="AX258" s="468">
        <f t="shared" si="255"/>
        <v>0</v>
      </c>
      <c r="AY258" s="468">
        <f t="shared" si="255"/>
        <v>0</v>
      </c>
      <c r="AZ258" s="468">
        <f t="shared" si="255"/>
        <v>439</v>
      </c>
      <c r="BA258" s="489"/>
      <c r="BB258" s="489"/>
    </row>
    <row r="259" s="425" customFormat="1" ht="39" customHeight="1" spans="1:54">
      <c r="A259" s="459">
        <v>254</v>
      </c>
      <c r="B259" s="460" t="s">
        <v>730</v>
      </c>
      <c r="C259" s="460" t="s">
        <v>203</v>
      </c>
      <c r="D259" s="461" t="s">
        <v>529</v>
      </c>
      <c r="E259" s="461" t="s">
        <v>935</v>
      </c>
      <c r="F259" s="463">
        <f t="shared" si="251"/>
        <v>177.39</v>
      </c>
      <c r="G259" s="463">
        <f t="shared" si="252"/>
        <v>21.89</v>
      </c>
      <c r="H259" s="460">
        <v>9.6</v>
      </c>
      <c r="I259" s="460"/>
      <c r="J259" s="460">
        <v>12.29</v>
      </c>
      <c r="K259" s="460"/>
      <c r="L259" s="460"/>
      <c r="M259" s="460"/>
      <c r="N259" s="460"/>
      <c r="O259" s="459">
        <f t="shared" si="217"/>
        <v>14.5</v>
      </c>
      <c r="P259" s="460">
        <v>14.5</v>
      </c>
      <c r="Q259" s="460"/>
      <c r="R259" s="460"/>
      <c r="S259" s="460"/>
      <c r="T259" s="460"/>
      <c r="U259" s="463">
        <v>141</v>
      </c>
      <c r="V259" s="460" t="s">
        <v>838</v>
      </c>
      <c r="W259" s="460" t="s">
        <v>1099</v>
      </c>
      <c r="X259" s="463">
        <f t="shared" ref="X259:X267" si="256">Y259+AF259+AK259</f>
        <v>8.05</v>
      </c>
      <c r="Y259" s="463">
        <f t="shared" ref="Y259:Y267" si="257">SUM(Z259:AE259)</f>
        <v>-1.74</v>
      </c>
      <c r="Z259" s="460"/>
      <c r="AA259" s="460"/>
      <c r="AB259" s="460">
        <v>-1.74</v>
      </c>
      <c r="AC259" s="460"/>
      <c r="AD259" s="460"/>
      <c r="AE259" s="460"/>
      <c r="AF259" s="459">
        <f t="shared" ref="AF259:AF267" si="258">SUM(AG259:AJ259)</f>
        <v>8.29</v>
      </c>
      <c r="AG259" s="460">
        <v>8.29</v>
      </c>
      <c r="AH259" s="460"/>
      <c r="AI259" s="460"/>
      <c r="AJ259" s="460"/>
      <c r="AK259" s="460">
        <v>1.5</v>
      </c>
      <c r="AL259" s="460" t="s">
        <v>846</v>
      </c>
      <c r="AM259" s="463">
        <f t="shared" si="218"/>
        <v>185.44</v>
      </c>
      <c r="AN259" s="463">
        <f t="shared" si="219"/>
        <v>20.15</v>
      </c>
      <c r="AO259" s="460">
        <f t="shared" si="220"/>
        <v>9.6</v>
      </c>
      <c r="AP259" s="460">
        <f t="shared" si="221"/>
        <v>0</v>
      </c>
      <c r="AQ259" s="460">
        <f t="shared" si="222"/>
        <v>10.55</v>
      </c>
      <c r="AR259" s="460">
        <f t="shared" si="223"/>
        <v>0</v>
      </c>
      <c r="AS259" s="460">
        <f t="shared" si="224"/>
        <v>0</v>
      </c>
      <c r="AT259" s="460">
        <f t="shared" si="225"/>
        <v>0</v>
      </c>
      <c r="AU259" s="463">
        <f t="shared" si="226"/>
        <v>22.79</v>
      </c>
      <c r="AV259" s="460">
        <f t="shared" ref="AV259:AV267" si="259">P259+AG259</f>
        <v>22.79</v>
      </c>
      <c r="AW259" s="460">
        <f t="shared" ref="AW259:AW267" si="260">Q259+AH259</f>
        <v>0</v>
      </c>
      <c r="AX259" s="460">
        <f t="shared" si="228"/>
        <v>0</v>
      </c>
      <c r="AY259" s="460">
        <f t="shared" si="229"/>
        <v>0</v>
      </c>
      <c r="AZ259" s="463">
        <f t="shared" si="230"/>
        <v>142.5</v>
      </c>
      <c r="BA259" s="482"/>
      <c r="BB259" s="482"/>
    </row>
    <row r="260" s="425" customFormat="1" ht="39" customHeight="1" spans="1:54">
      <c r="A260" s="459">
        <v>255</v>
      </c>
      <c r="B260" s="460" t="s">
        <v>730</v>
      </c>
      <c r="C260" s="460" t="s">
        <v>206</v>
      </c>
      <c r="D260" s="461" t="s">
        <v>531</v>
      </c>
      <c r="E260" s="461" t="s">
        <v>1100</v>
      </c>
      <c r="F260" s="463">
        <f t="shared" si="251"/>
        <v>15</v>
      </c>
      <c r="G260" s="463">
        <f t="shared" si="252"/>
        <v>15</v>
      </c>
      <c r="H260" s="460">
        <v>15</v>
      </c>
      <c r="I260" s="460"/>
      <c r="J260" s="460"/>
      <c r="K260" s="460"/>
      <c r="L260" s="460"/>
      <c r="M260" s="460"/>
      <c r="N260" s="460"/>
      <c r="O260" s="459">
        <f t="shared" si="217"/>
        <v>0</v>
      </c>
      <c r="P260" s="460"/>
      <c r="Q260" s="460"/>
      <c r="R260" s="460"/>
      <c r="S260" s="460"/>
      <c r="T260" s="460"/>
      <c r="U260" s="463"/>
      <c r="V260" s="460"/>
      <c r="W260" s="460"/>
      <c r="X260" s="463">
        <f t="shared" si="256"/>
        <v>0</v>
      </c>
      <c r="Y260" s="463">
        <f t="shared" si="257"/>
        <v>0</v>
      </c>
      <c r="Z260" s="460"/>
      <c r="AA260" s="460"/>
      <c r="AB260" s="460"/>
      <c r="AC260" s="460"/>
      <c r="AD260" s="460"/>
      <c r="AE260" s="460"/>
      <c r="AF260" s="459">
        <f t="shared" si="258"/>
        <v>0</v>
      </c>
      <c r="AG260" s="460"/>
      <c r="AH260" s="460"/>
      <c r="AI260" s="460"/>
      <c r="AJ260" s="460"/>
      <c r="AK260" s="460"/>
      <c r="AL260" s="460"/>
      <c r="AM260" s="463">
        <f t="shared" si="218"/>
        <v>15</v>
      </c>
      <c r="AN260" s="463">
        <f t="shared" si="219"/>
        <v>15</v>
      </c>
      <c r="AO260" s="460">
        <f t="shared" si="220"/>
        <v>15</v>
      </c>
      <c r="AP260" s="460">
        <f t="shared" si="221"/>
        <v>0</v>
      </c>
      <c r="AQ260" s="460">
        <f t="shared" si="222"/>
        <v>0</v>
      </c>
      <c r="AR260" s="460">
        <f t="shared" si="223"/>
        <v>0</v>
      </c>
      <c r="AS260" s="460">
        <f t="shared" si="224"/>
        <v>0</v>
      </c>
      <c r="AT260" s="460">
        <f t="shared" si="225"/>
        <v>0</v>
      </c>
      <c r="AU260" s="463">
        <f t="shared" si="226"/>
        <v>0</v>
      </c>
      <c r="AV260" s="460">
        <f t="shared" si="259"/>
        <v>0</v>
      </c>
      <c r="AW260" s="460">
        <f t="shared" si="260"/>
        <v>0</v>
      </c>
      <c r="AX260" s="460">
        <f t="shared" si="228"/>
        <v>0</v>
      </c>
      <c r="AY260" s="460">
        <f t="shared" si="229"/>
        <v>0</v>
      </c>
      <c r="AZ260" s="463">
        <f t="shared" si="230"/>
        <v>0</v>
      </c>
      <c r="BA260" s="482"/>
      <c r="BB260" s="482"/>
    </row>
    <row r="261" s="425" customFormat="1" ht="39" customHeight="1" spans="1:54">
      <c r="A261" s="459">
        <v>256</v>
      </c>
      <c r="B261" s="460" t="s">
        <v>730</v>
      </c>
      <c r="C261" s="460" t="s">
        <v>203</v>
      </c>
      <c r="D261" s="461" t="s">
        <v>1101</v>
      </c>
      <c r="E261" s="461" t="s">
        <v>1102</v>
      </c>
      <c r="F261" s="463">
        <f t="shared" si="251"/>
        <v>40.3</v>
      </c>
      <c r="G261" s="463">
        <f t="shared" si="252"/>
        <v>14.6</v>
      </c>
      <c r="H261" s="460">
        <v>6</v>
      </c>
      <c r="I261" s="460">
        <v>2</v>
      </c>
      <c r="J261" s="460">
        <v>6.6</v>
      </c>
      <c r="K261" s="460"/>
      <c r="L261" s="460"/>
      <c r="M261" s="460"/>
      <c r="N261" s="460"/>
      <c r="O261" s="459">
        <f t="shared" si="217"/>
        <v>5.7</v>
      </c>
      <c r="P261" s="460"/>
      <c r="Q261" s="460">
        <v>5.7</v>
      </c>
      <c r="R261" s="460"/>
      <c r="S261" s="460"/>
      <c r="T261" s="460"/>
      <c r="U261" s="463">
        <v>20</v>
      </c>
      <c r="V261" s="460" t="s">
        <v>838</v>
      </c>
      <c r="W261" s="460" t="s">
        <v>1103</v>
      </c>
      <c r="X261" s="463">
        <f t="shared" si="256"/>
        <v>2.89</v>
      </c>
      <c r="Y261" s="463">
        <f t="shared" si="257"/>
        <v>-0.05</v>
      </c>
      <c r="Z261" s="460"/>
      <c r="AA261" s="460"/>
      <c r="AB261" s="460">
        <v>-0.05</v>
      </c>
      <c r="AC261" s="460"/>
      <c r="AD261" s="460"/>
      <c r="AE261" s="460"/>
      <c r="AF261" s="459">
        <f t="shared" si="258"/>
        <v>2.94</v>
      </c>
      <c r="AG261" s="460"/>
      <c r="AH261" s="460">
        <v>2.94</v>
      </c>
      <c r="AI261" s="460"/>
      <c r="AJ261" s="460"/>
      <c r="AK261" s="460"/>
      <c r="AL261" s="460"/>
      <c r="AM261" s="463">
        <f t="shared" si="218"/>
        <v>43.19</v>
      </c>
      <c r="AN261" s="463">
        <f t="shared" si="219"/>
        <v>14.55</v>
      </c>
      <c r="AO261" s="460">
        <f t="shared" si="220"/>
        <v>6</v>
      </c>
      <c r="AP261" s="460">
        <f t="shared" si="221"/>
        <v>2</v>
      </c>
      <c r="AQ261" s="460">
        <f t="shared" si="222"/>
        <v>6.55</v>
      </c>
      <c r="AR261" s="460">
        <f t="shared" si="223"/>
        <v>0</v>
      </c>
      <c r="AS261" s="460">
        <f t="shared" si="224"/>
        <v>0</v>
      </c>
      <c r="AT261" s="460">
        <f t="shared" si="225"/>
        <v>0</v>
      </c>
      <c r="AU261" s="463">
        <f t="shared" si="226"/>
        <v>8.64</v>
      </c>
      <c r="AV261" s="460">
        <f t="shared" si="259"/>
        <v>0</v>
      </c>
      <c r="AW261" s="460">
        <f t="shared" si="260"/>
        <v>8.64</v>
      </c>
      <c r="AX261" s="460">
        <f t="shared" si="228"/>
        <v>0</v>
      </c>
      <c r="AY261" s="460">
        <f t="shared" si="229"/>
        <v>0</v>
      </c>
      <c r="AZ261" s="463">
        <f t="shared" si="230"/>
        <v>20</v>
      </c>
      <c r="BA261" s="482"/>
      <c r="BB261" s="482"/>
    </row>
    <row r="262" s="425" customFormat="1" ht="39" customHeight="1" spans="1:54">
      <c r="A262" s="459">
        <v>257</v>
      </c>
      <c r="B262" s="460" t="s">
        <v>730</v>
      </c>
      <c r="C262" s="460" t="s">
        <v>203</v>
      </c>
      <c r="D262" s="461" t="s">
        <v>1104</v>
      </c>
      <c r="E262" s="461" t="s">
        <v>1105</v>
      </c>
      <c r="F262" s="463">
        <f t="shared" si="251"/>
        <v>36</v>
      </c>
      <c r="G262" s="463">
        <f t="shared" si="252"/>
        <v>0</v>
      </c>
      <c r="H262" s="460"/>
      <c r="I262" s="460"/>
      <c r="J262" s="460"/>
      <c r="K262" s="460"/>
      <c r="L262" s="460"/>
      <c r="M262" s="460"/>
      <c r="N262" s="460"/>
      <c r="O262" s="459">
        <f t="shared" si="217"/>
        <v>0</v>
      </c>
      <c r="P262" s="460"/>
      <c r="Q262" s="460"/>
      <c r="R262" s="460"/>
      <c r="S262" s="460"/>
      <c r="T262" s="460"/>
      <c r="U262" s="463">
        <v>36</v>
      </c>
      <c r="V262" s="460" t="s">
        <v>838</v>
      </c>
      <c r="W262" s="460" t="s">
        <v>1106</v>
      </c>
      <c r="X262" s="463">
        <f t="shared" si="256"/>
        <v>0</v>
      </c>
      <c r="Y262" s="463">
        <f t="shared" si="257"/>
        <v>0</v>
      </c>
      <c r="Z262" s="460"/>
      <c r="AA262" s="460"/>
      <c r="AB262" s="460"/>
      <c r="AC262" s="460"/>
      <c r="AD262" s="460"/>
      <c r="AE262" s="460"/>
      <c r="AF262" s="459">
        <f t="shared" si="258"/>
        <v>0</v>
      </c>
      <c r="AG262" s="460"/>
      <c r="AH262" s="460"/>
      <c r="AI262" s="460"/>
      <c r="AJ262" s="460"/>
      <c r="AK262" s="460"/>
      <c r="AL262" s="460"/>
      <c r="AM262" s="463">
        <f t="shared" si="218"/>
        <v>36</v>
      </c>
      <c r="AN262" s="463">
        <f t="shared" si="219"/>
        <v>0</v>
      </c>
      <c r="AO262" s="460">
        <f t="shared" si="220"/>
        <v>0</v>
      </c>
      <c r="AP262" s="460">
        <f t="shared" si="221"/>
        <v>0</v>
      </c>
      <c r="AQ262" s="460">
        <f t="shared" si="222"/>
        <v>0</v>
      </c>
      <c r="AR262" s="460">
        <f t="shared" si="223"/>
        <v>0</v>
      </c>
      <c r="AS262" s="460">
        <f t="shared" si="224"/>
        <v>0</v>
      </c>
      <c r="AT262" s="460">
        <f t="shared" si="225"/>
        <v>0</v>
      </c>
      <c r="AU262" s="463">
        <f t="shared" si="226"/>
        <v>0</v>
      </c>
      <c r="AV262" s="460">
        <f t="shared" si="259"/>
        <v>0</v>
      </c>
      <c r="AW262" s="460">
        <f t="shared" si="260"/>
        <v>0</v>
      </c>
      <c r="AX262" s="460">
        <f t="shared" si="228"/>
        <v>0</v>
      </c>
      <c r="AY262" s="460">
        <f t="shared" si="229"/>
        <v>0</v>
      </c>
      <c r="AZ262" s="463">
        <f t="shared" si="230"/>
        <v>36</v>
      </c>
      <c r="BA262" s="482"/>
      <c r="BB262" s="482"/>
    </row>
    <row r="263" s="425" customFormat="1" ht="36" spans="1:54">
      <c r="A263" s="459">
        <v>258</v>
      </c>
      <c r="B263" s="460" t="s">
        <v>730</v>
      </c>
      <c r="C263" s="460" t="s">
        <v>206</v>
      </c>
      <c r="D263" s="461" t="s">
        <v>537</v>
      </c>
      <c r="E263" s="461" t="s">
        <v>1107</v>
      </c>
      <c r="F263" s="463">
        <f t="shared" si="251"/>
        <v>130</v>
      </c>
      <c r="G263" s="463">
        <f t="shared" si="252"/>
        <v>0</v>
      </c>
      <c r="H263" s="460"/>
      <c r="I263" s="460"/>
      <c r="J263" s="460"/>
      <c r="K263" s="460"/>
      <c r="L263" s="460"/>
      <c r="M263" s="460"/>
      <c r="N263" s="460"/>
      <c r="O263" s="459">
        <f t="shared" si="217"/>
        <v>0</v>
      </c>
      <c r="P263" s="460"/>
      <c r="Q263" s="460"/>
      <c r="R263" s="460"/>
      <c r="S263" s="460"/>
      <c r="T263" s="460"/>
      <c r="U263" s="463">
        <v>130</v>
      </c>
      <c r="V263" s="460" t="s">
        <v>838</v>
      </c>
      <c r="W263" s="460" t="s">
        <v>1108</v>
      </c>
      <c r="X263" s="463">
        <f t="shared" si="256"/>
        <v>-126</v>
      </c>
      <c r="Y263" s="463">
        <f t="shared" si="257"/>
        <v>0</v>
      </c>
      <c r="Z263" s="460"/>
      <c r="AA263" s="460"/>
      <c r="AB263" s="460"/>
      <c r="AC263" s="460"/>
      <c r="AD263" s="460"/>
      <c r="AE263" s="460"/>
      <c r="AF263" s="459">
        <f t="shared" si="258"/>
        <v>4</v>
      </c>
      <c r="AG263" s="460">
        <v>4</v>
      </c>
      <c r="AH263" s="460"/>
      <c r="AI263" s="460"/>
      <c r="AJ263" s="460"/>
      <c r="AK263" s="460">
        <v>-130</v>
      </c>
      <c r="AL263" s="460" t="s">
        <v>1109</v>
      </c>
      <c r="AM263" s="463">
        <f t="shared" si="218"/>
        <v>4</v>
      </c>
      <c r="AN263" s="463">
        <f t="shared" si="219"/>
        <v>0</v>
      </c>
      <c r="AO263" s="460">
        <f t="shared" si="220"/>
        <v>0</v>
      </c>
      <c r="AP263" s="460">
        <f t="shared" si="221"/>
        <v>0</v>
      </c>
      <c r="AQ263" s="460">
        <f t="shared" si="222"/>
        <v>0</v>
      </c>
      <c r="AR263" s="460">
        <f t="shared" si="223"/>
        <v>0</v>
      </c>
      <c r="AS263" s="460">
        <f t="shared" si="224"/>
        <v>0</v>
      </c>
      <c r="AT263" s="460">
        <f t="shared" si="225"/>
        <v>0</v>
      </c>
      <c r="AU263" s="463">
        <f t="shared" si="226"/>
        <v>4</v>
      </c>
      <c r="AV263" s="460">
        <f t="shared" si="259"/>
        <v>4</v>
      </c>
      <c r="AW263" s="460">
        <f t="shared" si="260"/>
        <v>0</v>
      </c>
      <c r="AX263" s="460">
        <f t="shared" si="228"/>
        <v>0</v>
      </c>
      <c r="AY263" s="460">
        <f t="shared" si="229"/>
        <v>0</v>
      </c>
      <c r="AZ263" s="463">
        <f t="shared" si="230"/>
        <v>0</v>
      </c>
      <c r="BA263" s="482"/>
      <c r="BB263" s="482"/>
    </row>
    <row r="264" s="425" customFormat="1" ht="39" customHeight="1" spans="1:54">
      <c r="A264" s="459">
        <v>259</v>
      </c>
      <c r="B264" s="460" t="s">
        <v>730</v>
      </c>
      <c r="C264" s="460" t="s">
        <v>206</v>
      </c>
      <c r="D264" s="461" t="s">
        <v>557</v>
      </c>
      <c r="E264" s="461" t="s">
        <v>1107</v>
      </c>
      <c r="F264" s="463">
        <f t="shared" si="251"/>
        <v>50</v>
      </c>
      <c r="G264" s="463">
        <f t="shared" si="252"/>
        <v>0</v>
      </c>
      <c r="H264" s="460"/>
      <c r="I264" s="460"/>
      <c r="J264" s="460"/>
      <c r="K264" s="460"/>
      <c r="L264" s="460"/>
      <c r="M264" s="460"/>
      <c r="N264" s="460"/>
      <c r="O264" s="459">
        <f t="shared" si="217"/>
        <v>0</v>
      </c>
      <c r="P264" s="460"/>
      <c r="Q264" s="460"/>
      <c r="R264" s="460"/>
      <c r="S264" s="460"/>
      <c r="T264" s="460"/>
      <c r="U264" s="463">
        <v>50</v>
      </c>
      <c r="V264" s="460" t="s">
        <v>838</v>
      </c>
      <c r="W264" s="460" t="s">
        <v>1108</v>
      </c>
      <c r="X264" s="463">
        <f t="shared" si="256"/>
        <v>1.12</v>
      </c>
      <c r="Y264" s="463">
        <f t="shared" si="257"/>
        <v>0</v>
      </c>
      <c r="Z264" s="460"/>
      <c r="AA264" s="460"/>
      <c r="AB264" s="460"/>
      <c r="AC264" s="460"/>
      <c r="AD264" s="460"/>
      <c r="AE264" s="460"/>
      <c r="AF264" s="459">
        <f t="shared" si="258"/>
        <v>1.12</v>
      </c>
      <c r="AG264" s="460"/>
      <c r="AH264" s="460">
        <v>1.12</v>
      </c>
      <c r="AI264" s="460"/>
      <c r="AJ264" s="460"/>
      <c r="AK264" s="460"/>
      <c r="AL264" s="460"/>
      <c r="AM264" s="463">
        <f t="shared" si="218"/>
        <v>51.12</v>
      </c>
      <c r="AN264" s="463">
        <f t="shared" si="219"/>
        <v>0</v>
      </c>
      <c r="AO264" s="460">
        <f t="shared" si="220"/>
        <v>0</v>
      </c>
      <c r="AP264" s="460">
        <f t="shared" si="221"/>
        <v>0</v>
      </c>
      <c r="AQ264" s="460">
        <f t="shared" si="222"/>
        <v>0</v>
      </c>
      <c r="AR264" s="460">
        <f t="shared" si="223"/>
        <v>0</v>
      </c>
      <c r="AS264" s="460">
        <f t="shared" si="224"/>
        <v>0</v>
      </c>
      <c r="AT264" s="460">
        <f t="shared" si="225"/>
        <v>0</v>
      </c>
      <c r="AU264" s="463">
        <f t="shared" si="226"/>
        <v>1.12</v>
      </c>
      <c r="AV264" s="460">
        <f t="shared" si="259"/>
        <v>0</v>
      </c>
      <c r="AW264" s="460">
        <f t="shared" si="260"/>
        <v>1.12</v>
      </c>
      <c r="AX264" s="460">
        <f t="shared" si="228"/>
        <v>0</v>
      </c>
      <c r="AY264" s="460">
        <f t="shared" si="229"/>
        <v>0</v>
      </c>
      <c r="AZ264" s="463">
        <f t="shared" si="230"/>
        <v>50</v>
      </c>
      <c r="BA264" s="482"/>
      <c r="BB264" s="482"/>
    </row>
    <row r="265" s="425" customFormat="1" ht="39" customHeight="1" spans="1:54">
      <c r="A265" s="459">
        <v>260</v>
      </c>
      <c r="B265" s="460" t="s">
        <v>730</v>
      </c>
      <c r="C265" s="460" t="s">
        <v>206</v>
      </c>
      <c r="D265" s="461"/>
      <c r="E265" s="461" t="s">
        <v>1110</v>
      </c>
      <c r="F265" s="463">
        <f t="shared" si="251"/>
        <v>81</v>
      </c>
      <c r="G265" s="463">
        <f t="shared" si="252"/>
        <v>27</v>
      </c>
      <c r="H265" s="460">
        <v>21</v>
      </c>
      <c r="I265" s="460">
        <v>6</v>
      </c>
      <c r="J265" s="460"/>
      <c r="K265" s="460"/>
      <c r="L265" s="460"/>
      <c r="M265" s="460"/>
      <c r="N265" s="460"/>
      <c r="O265" s="459">
        <f t="shared" si="217"/>
        <v>0</v>
      </c>
      <c r="P265" s="460"/>
      <c r="Q265" s="460"/>
      <c r="R265" s="460"/>
      <c r="S265" s="460"/>
      <c r="T265" s="460"/>
      <c r="U265" s="463">
        <v>54</v>
      </c>
      <c r="V265" s="460" t="s">
        <v>838</v>
      </c>
      <c r="W265" s="460" t="s">
        <v>1111</v>
      </c>
      <c r="X265" s="463">
        <f t="shared" si="256"/>
        <v>0</v>
      </c>
      <c r="Y265" s="463">
        <f t="shared" si="257"/>
        <v>0</v>
      </c>
      <c r="Z265" s="460"/>
      <c r="AA265" s="460"/>
      <c r="AB265" s="460"/>
      <c r="AC265" s="460"/>
      <c r="AD265" s="460"/>
      <c r="AE265" s="460"/>
      <c r="AF265" s="459">
        <f t="shared" si="258"/>
        <v>0</v>
      </c>
      <c r="AG265" s="460"/>
      <c r="AH265" s="460"/>
      <c r="AI265" s="460"/>
      <c r="AJ265" s="460"/>
      <c r="AK265" s="460"/>
      <c r="AL265" s="460"/>
      <c r="AM265" s="463">
        <f t="shared" si="218"/>
        <v>81</v>
      </c>
      <c r="AN265" s="463">
        <f t="shared" si="219"/>
        <v>27</v>
      </c>
      <c r="AO265" s="460">
        <f t="shared" si="220"/>
        <v>21</v>
      </c>
      <c r="AP265" s="460">
        <f t="shared" si="221"/>
        <v>6</v>
      </c>
      <c r="AQ265" s="460">
        <f t="shared" si="222"/>
        <v>0</v>
      </c>
      <c r="AR265" s="460">
        <f t="shared" si="223"/>
        <v>0</v>
      </c>
      <c r="AS265" s="460">
        <f t="shared" si="224"/>
        <v>0</v>
      </c>
      <c r="AT265" s="460">
        <f t="shared" si="225"/>
        <v>0</v>
      </c>
      <c r="AU265" s="463">
        <f t="shared" si="226"/>
        <v>0</v>
      </c>
      <c r="AV265" s="460">
        <f t="shared" si="259"/>
        <v>0</v>
      </c>
      <c r="AW265" s="460">
        <f t="shared" si="260"/>
        <v>0</v>
      </c>
      <c r="AX265" s="460">
        <f t="shared" si="228"/>
        <v>0</v>
      </c>
      <c r="AY265" s="460">
        <f t="shared" si="229"/>
        <v>0</v>
      </c>
      <c r="AZ265" s="463">
        <f t="shared" si="230"/>
        <v>54</v>
      </c>
      <c r="BA265" s="482"/>
      <c r="BB265" s="482"/>
    </row>
    <row r="266" s="425" customFormat="1" ht="39" customHeight="1" spans="1:54">
      <c r="A266" s="459">
        <v>261</v>
      </c>
      <c r="B266" s="460" t="s">
        <v>730</v>
      </c>
      <c r="C266" s="460" t="s">
        <v>206</v>
      </c>
      <c r="D266" s="461" t="s">
        <v>561</v>
      </c>
      <c r="E266" s="461" t="s">
        <v>1112</v>
      </c>
      <c r="F266" s="463">
        <f t="shared" si="251"/>
        <v>95.4</v>
      </c>
      <c r="G266" s="463">
        <f t="shared" si="252"/>
        <v>35.4</v>
      </c>
      <c r="H266" s="460">
        <v>35.4</v>
      </c>
      <c r="I266" s="460"/>
      <c r="J266" s="460"/>
      <c r="K266" s="460"/>
      <c r="L266" s="460"/>
      <c r="M266" s="460"/>
      <c r="N266" s="460"/>
      <c r="O266" s="459">
        <f t="shared" si="217"/>
        <v>0</v>
      </c>
      <c r="P266" s="460"/>
      <c r="Q266" s="460"/>
      <c r="R266" s="460"/>
      <c r="S266" s="460"/>
      <c r="T266" s="460"/>
      <c r="U266" s="463">
        <v>60</v>
      </c>
      <c r="V266" s="460" t="s">
        <v>1113</v>
      </c>
      <c r="W266" s="460" t="s">
        <v>1114</v>
      </c>
      <c r="X266" s="463">
        <f t="shared" si="256"/>
        <v>0</v>
      </c>
      <c r="Y266" s="463">
        <f t="shared" si="257"/>
        <v>0</v>
      </c>
      <c r="Z266" s="460"/>
      <c r="AA266" s="460"/>
      <c r="AB266" s="460"/>
      <c r="AC266" s="460"/>
      <c r="AD266" s="460"/>
      <c r="AE266" s="460"/>
      <c r="AF266" s="459">
        <f t="shared" si="258"/>
        <v>0</v>
      </c>
      <c r="AG266" s="460"/>
      <c r="AH266" s="460"/>
      <c r="AI266" s="460"/>
      <c r="AJ266" s="460"/>
      <c r="AK266" s="460"/>
      <c r="AL266" s="460"/>
      <c r="AM266" s="463">
        <f t="shared" si="218"/>
        <v>95.4</v>
      </c>
      <c r="AN266" s="463">
        <f t="shared" si="219"/>
        <v>35.4</v>
      </c>
      <c r="AO266" s="460">
        <f t="shared" si="220"/>
        <v>35.4</v>
      </c>
      <c r="AP266" s="460">
        <f t="shared" si="221"/>
        <v>0</v>
      </c>
      <c r="AQ266" s="460">
        <f t="shared" si="222"/>
        <v>0</v>
      </c>
      <c r="AR266" s="460">
        <f t="shared" si="223"/>
        <v>0</v>
      </c>
      <c r="AS266" s="460">
        <f t="shared" si="224"/>
        <v>0</v>
      </c>
      <c r="AT266" s="460">
        <f t="shared" si="225"/>
        <v>0</v>
      </c>
      <c r="AU266" s="463">
        <f t="shared" si="226"/>
        <v>0</v>
      </c>
      <c r="AV266" s="460">
        <f t="shared" si="259"/>
        <v>0</v>
      </c>
      <c r="AW266" s="460">
        <f t="shared" si="260"/>
        <v>0</v>
      </c>
      <c r="AX266" s="460">
        <f t="shared" si="228"/>
        <v>0</v>
      </c>
      <c r="AY266" s="460">
        <f t="shared" si="229"/>
        <v>0</v>
      </c>
      <c r="AZ266" s="463">
        <f t="shared" si="230"/>
        <v>60</v>
      </c>
      <c r="BA266" s="482"/>
      <c r="BB266" s="482"/>
    </row>
    <row r="267" s="425" customFormat="1" ht="39" customHeight="1" spans="1:54">
      <c r="A267" s="459">
        <v>262</v>
      </c>
      <c r="B267" s="460" t="s">
        <v>730</v>
      </c>
      <c r="C267" s="460" t="s">
        <v>203</v>
      </c>
      <c r="D267" s="461" t="s">
        <v>563</v>
      </c>
      <c r="E267" s="461" t="s">
        <v>1115</v>
      </c>
      <c r="F267" s="463">
        <f t="shared" si="251"/>
        <v>84.328</v>
      </c>
      <c r="G267" s="463">
        <f t="shared" si="252"/>
        <v>7.068</v>
      </c>
      <c r="H267" s="460">
        <v>3</v>
      </c>
      <c r="I267" s="460"/>
      <c r="J267" s="460">
        <v>4.068</v>
      </c>
      <c r="K267" s="460"/>
      <c r="L267" s="460"/>
      <c r="M267" s="460"/>
      <c r="N267" s="460"/>
      <c r="O267" s="459">
        <f t="shared" si="217"/>
        <v>0.76</v>
      </c>
      <c r="P267" s="460">
        <v>0.76</v>
      </c>
      <c r="Q267" s="460"/>
      <c r="R267" s="460"/>
      <c r="S267" s="460"/>
      <c r="T267" s="460"/>
      <c r="U267" s="463">
        <v>76.5</v>
      </c>
      <c r="V267" s="460" t="s">
        <v>838</v>
      </c>
      <c r="W267" s="460" t="s">
        <v>1116</v>
      </c>
      <c r="X267" s="463">
        <f t="shared" si="256"/>
        <v>0.53</v>
      </c>
      <c r="Y267" s="463">
        <f t="shared" si="257"/>
        <v>0</v>
      </c>
      <c r="Z267" s="460"/>
      <c r="AA267" s="460"/>
      <c r="AB267" s="460"/>
      <c r="AC267" s="460"/>
      <c r="AD267" s="460"/>
      <c r="AE267" s="460"/>
      <c r="AF267" s="459">
        <f t="shared" si="258"/>
        <v>0.53</v>
      </c>
      <c r="AG267" s="460">
        <v>0.53</v>
      </c>
      <c r="AH267" s="460"/>
      <c r="AI267" s="460"/>
      <c r="AJ267" s="460"/>
      <c r="AK267" s="460"/>
      <c r="AL267" s="460"/>
      <c r="AM267" s="463">
        <f t="shared" si="218"/>
        <v>84.858</v>
      </c>
      <c r="AN267" s="463">
        <f t="shared" si="219"/>
        <v>7.068</v>
      </c>
      <c r="AO267" s="460">
        <f t="shared" si="220"/>
        <v>3</v>
      </c>
      <c r="AP267" s="460">
        <f t="shared" si="221"/>
        <v>0</v>
      </c>
      <c r="AQ267" s="460">
        <f t="shared" si="222"/>
        <v>4.068</v>
      </c>
      <c r="AR267" s="460">
        <f t="shared" si="223"/>
        <v>0</v>
      </c>
      <c r="AS267" s="460">
        <f t="shared" si="224"/>
        <v>0</v>
      </c>
      <c r="AT267" s="460">
        <f t="shared" si="225"/>
        <v>0</v>
      </c>
      <c r="AU267" s="463">
        <f t="shared" si="226"/>
        <v>1.29</v>
      </c>
      <c r="AV267" s="460">
        <f t="shared" si="259"/>
        <v>1.29</v>
      </c>
      <c r="AW267" s="460">
        <f t="shared" si="260"/>
        <v>0</v>
      </c>
      <c r="AX267" s="460">
        <f t="shared" si="228"/>
        <v>0</v>
      </c>
      <c r="AY267" s="460">
        <f t="shared" si="229"/>
        <v>0</v>
      </c>
      <c r="AZ267" s="463">
        <f t="shared" si="230"/>
        <v>76.5</v>
      </c>
      <c r="BA267" s="482"/>
      <c r="BB267" s="482"/>
    </row>
    <row r="268" s="426" customFormat="1" ht="25" customHeight="1" spans="1:54">
      <c r="A268" s="452">
        <v>263</v>
      </c>
      <c r="B268" s="485"/>
      <c r="C268" s="485"/>
      <c r="D268" s="486" t="s">
        <v>134</v>
      </c>
      <c r="E268" s="452">
        <v>211</v>
      </c>
      <c r="F268" s="456">
        <f t="shared" ref="F268:M268" si="261">SUM(F269)</f>
        <v>0</v>
      </c>
      <c r="G268" s="456">
        <f t="shared" si="261"/>
        <v>0</v>
      </c>
      <c r="H268" s="456">
        <f t="shared" si="261"/>
        <v>0</v>
      </c>
      <c r="I268" s="456">
        <f t="shared" si="261"/>
        <v>0</v>
      </c>
      <c r="J268" s="456">
        <f t="shared" si="261"/>
        <v>0</v>
      </c>
      <c r="K268" s="456">
        <f t="shared" si="261"/>
        <v>0</v>
      </c>
      <c r="L268" s="456">
        <f t="shared" si="261"/>
        <v>0</v>
      </c>
      <c r="M268" s="456">
        <f t="shared" si="261"/>
        <v>0</v>
      </c>
      <c r="N268" s="456"/>
      <c r="O268" s="456">
        <f>SUM(O269)</f>
        <v>0</v>
      </c>
      <c r="P268" s="456">
        <f>SUM(P269)</f>
        <v>0</v>
      </c>
      <c r="Q268" s="456">
        <f>SUM(Q269)</f>
        <v>0</v>
      </c>
      <c r="R268" s="456">
        <f t="shared" ref="R268:AK268" si="262">SUM(R269)</f>
        <v>0</v>
      </c>
      <c r="S268" s="456">
        <f t="shared" si="262"/>
        <v>0</v>
      </c>
      <c r="T268" s="456"/>
      <c r="U268" s="456">
        <f t="shared" si="262"/>
        <v>0</v>
      </c>
      <c r="V268" s="456"/>
      <c r="W268" s="456"/>
      <c r="X268" s="468">
        <f t="shared" si="262"/>
        <v>77.34</v>
      </c>
      <c r="Y268" s="468">
        <f t="shared" si="262"/>
        <v>0</v>
      </c>
      <c r="Z268" s="468">
        <f t="shared" si="262"/>
        <v>0</v>
      </c>
      <c r="AA268" s="468">
        <f t="shared" si="262"/>
        <v>0</v>
      </c>
      <c r="AB268" s="468">
        <f t="shared" si="262"/>
        <v>0</v>
      </c>
      <c r="AC268" s="468">
        <f t="shared" si="262"/>
        <v>0</v>
      </c>
      <c r="AD268" s="468">
        <f t="shared" si="262"/>
        <v>0</v>
      </c>
      <c r="AE268" s="468">
        <f t="shared" si="262"/>
        <v>0</v>
      </c>
      <c r="AF268" s="468">
        <f t="shared" si="262"/>
        <v>77.34</v>
      </c>
      <c r="AG268" s="468">
        <f t="shared" si="262"/>
        <v>39.68</v>
      </c>
      <c r="AH268" s="468">
        <f t="shared" si="262"/>
        <v>22.36</v>
      </c>
      <c r="AI268" s="468">
        <f t="shared" si="262"/>
        <v>0</v>
      </c>
      <c r="AJ268" s="468">
        <f t="shared" si="262"/>
        <v>15.3</v>
      </c>
      <c r="AK268" s="468">
        <f t="shared" ref="AK268:BA268" si="263">SUM(AK269)</f>
        <v>0</v>
      </c>
      <c r="AL268" s="456"/>
      <c r="AM268" s="468">
        <f t="shared" si="263"/>
        <v>77.34</v>
      </c>
      <c r="AN268" s="468">
        <f t="shared" si="263"/>
        <v>0</v>
      </c>
      <c r="AO268" s="468">
        <f t="shared" si="263"/>
        <v>0</v>
      </c>
      <c r="AP268" s="468">
        <f t="shared" si="263"/>
        <v>0</v>
      </c>
      <c r="AQ268" s="468">
        <f t="shared" si="263"/>
        <v>0</v>
      </c>
      <c r="AR268" s="468">
        <f t="shared" si="263"/>
        <v>0</v>
      </c>
      <c r="AS268" s="468">
        <f t="shared" si="263"/>
        <v>0</v>
      </c>
      <c r="AT268" s="468">
        <f t="shared" si="263"/>
        <v>0</v>
      </c>
      <c r="AU268" s="468">
        <f t="shared" si="263"/>
        <v>77.34</v>
      </c>
      <c r="AV268" s="468">
        <f t="shared" si="263"/>
        <v>39.68</v>
      </c>
      <c r="AW268" s="468">
        <f t="shared" si="263"/>
        <v>22.36</v>
      </c>
      <c r="AX268" s="468">
        <f t="shared" si="263"/>
        <v>0</v>
      </c>
      <c r="AY268" s="468">
        <f t="shared" si="263"/>
        <v>15.3</v>
      </c>
      <c r="AZ268" s="468">
        <f t="shared" si="263"/>
        <v>0</v>
      </c>
      <c r="BA268" s="489"/>
      <c r="BB268" s="489"/>
    </row>
    <row r="269" s="425" customFormat="1" ht="39" customHeight="1" spans="1:54">
      <c r="A269" s="459">
        <v>264</v>
      </c>
      <c r="B269" s="460" t="s">
        <v>1117</v>
      </c>
      <c r="C269" s="460" t="s">
        <v>203</v>
      </c>
      <c r="D269" s="461" t="s">
        <v>1118</v>
      </c>
      <c r="E269" s="461" t="s">
        <v>1119</v>
      </c>
      <c r="F269" s="463">
        <f>G269+O269+U269</f>
        <v>0</v>
      </c>
      <c r="G269" s="463">
        <f>SUM(H269:M269)</f>
        <v>0</v>
      </c>
      <c r="H269" s="460"/>
      <c r="I269" s="460"/>
      <c r="J269" s="460"/>
      <c r="K269" s="460"/>
      <c r="L269" s="460"/>
      <c r="M269" s="460"/>
      <c r="N269" s="460"/>
      <c r="O269" s="459">
        <f>SUM(P269:S269)</f>
        <v>0</v>
      </c>
      <c r="P269" s="460"/>
      <c r="Q269" s="460"/>
      <c r="R269" s="460"/>
      <c r="S269" s="460"/>
      <c r="T269" s="460"/>
      <c r="U269" s="463"/>
      <c r="V269" s="460"/>
      <c r="W269" s="460"/>
      <c r="X269" s="463">
        <f>Y269+AF269+AK269</f>
        <v>77.34</v>
      </c>
      <c r="Y269" s="463">
        <f>SUM(Z269:AE269)</f>
        <v>0</v>
      </c>
      <c r="Z269" s="460"/>
      <c r="AA269" s="460"/>
      <c r="AB269" s="460"/>
      <c r="AC269" s="460"/>
      <c r="AD269" s="460"/>
      <c r="AE269" s="460"/>
      <c r="AF269" s="459">
        <f>SUM(AG269:AJ269)</f>
        <v>77.34</v>
      </c>
      <c r="AG269" s="460">
        <v>39.68</v>
      </c>
      <c r="AH269" s="460">
        <v>22.36</v>
      </c>
      <c r="AI269" s="460"/>
      <c r="AJ269" s="460">
        <v>15.3</v>
      </c>
      <c r="AK269" s="460"/>
      <c r="AL269" s="460" t="s">
        <v>1120</v>
      </c>
      <c r="AM269" s="463">
        <f>AN269+AU269+AZ269</f>
        <v>77.34</v>
      </c>
      <c r="AN269" s="463">
        <f>SUM(AO269:AT269)</f>
        <v>0</v>
      </c>
      <c r="AO269" s="460">
        <f t="shared" ref="AO269:AT269" si="264">H269+Z269</f>
        <v>0</v>
      </c>
      <c r="AP269" s="460">
        <f t="shared" si="264"/>
        <v>0</v>
      </c>
      <c r="AQ269" s="460">
        <f t="shared" si="264"/>
        <v>0</v>
      </c>
      <c r="AR269" s="460">
        <f t="shared" si="264"/>
        <v>0</v>
      </c>
      <c r="AS269" s="460">
        <f t="shared" si="264"/>
        <v>0</v>
      </c>
      <c r="AT269" s="460">
        <f t="shared" si="264"/>
        <v>0</v>
      </c>
      <c r="AU269" s="463">
        <f>SUM(AV269:AY269)</f>
        <v>77.34</v>
      </c>
      <c r="AV269" s="460">
        <f t="shared" ref="AV269:AV281" si="265">P269+AG269</f>
        <v>39.68</v>
      </c>
      <c r="AW269" s="460">
        <f>Q269+AH269</f>
        <v>22.36</v>
      </c>
      <c r="AX269" s="460">
        <f>R269+AI269</f>
        <v>0</v>
      </c>
      <c r="AY269" s="460">
        <f>S269+AJ269</f>
        <v>15.3</v>
      </c>
      <c r="AZ269" s="463">
        <f>U269+AK269</f>
        <v>0</v>
      </c>
      <c r="BA269" s="482"/>
      <c r="BB269" s="482"/>
    </row>
    <row r="270" s="426" customFormat="1" ht="22" customHeight="1" spans="1:54">
      <c r="A270" s="452">
        <v>265</v>
      </c>
      <c r="B270" s="485"/>
      <c r="C270" s="485"/>
      <c r="D270" s="486" t="s">
        <v>135</v>
      </c>
      <c r="E270" s="452">
        <v>212</v>
      </c>
      <c r="F270" s="456">
        <f>SUM(F271:F281)</f>
        <v>518.04</v>
      </c>
      <c r="G270" s="456">
        <f>SUM(G271:G281)</f>
        <v>119.64</v>
      </c>
      <c r="H270" s="456">
        <f t="shared" ref="H270:M270" si="266">SUM(H271:H281)</f>
        <v>80.2</v>
      </c>
      <c r="I270" s="456">
        <f t="shared" si="266"/>
        <v>14</v>
      </c>
      <c r="J270" s="456">
        <f t="shared" si="266"/>
        <v>25.44</v>
      </c>
      <c r="K270" s="456">
        <f t="shared" si="266"/>
        <v>0</v>
      </c>
      <c r="L270" s="456">
        <f t="shared" si="266"/>
        <v>0</v>
      </c>
      <c r="M270" s="456">
        <f t="shared" si="266"/>
        <v>0</v>
      </c>
      <c r="N270" s="456"/>
      <c r="O270" s="456">
        <f>SUM(O271:O281)</f>
        <v>241</v>
      </c>
      <c r="P270" s="456">
        <f>SUM(P271:P281)</f>
        <v>50</v>
      </c>
      <c r="Q270" s="456">
        <f>SUM(Q271:Q281)</f>
        <v>191</v>
      </c>
      <c r="R270" s="456">
        <f>SUM(R271:R281)</f>
        <v>0</v>
      </c>
      <c r="S270" s="456">
        <f>SUM(S271:S281)</f>
        <v>0</v>
      </c>
      <c r="T270" s="456"/>
      <c r="U270" s="456">
        <f>SUM(U271:U281)</f>
        <v>157.4</v>
      </c>
      <c r="V270" s="456"/>
      <c r="W270" s="481"/>
      <c r="X270" s="468">
        <f t="shared" ref="X270:AM270" si="267">SUM(X271:X281)</f>
        <v>419.87</v>
      </c>
      <c r="Y270" s="468">
        <f t="shared" si="267"/>
        <v>-1.66</v>
      </c>
      <c r="Z270" s="468">
        <f t="shared" si="267"/>
        <v>0</v>
      </c>
      <c r="AA270" s="468">
        <f t="shared" si="267"/>
        <v>0</v>
      </c>
      <c r="AB270" s="468">
        <f t="shared" si="267"/>
        <v>-1.66</v>
      </c>
      <c r="AC270" s="468">
        <f t="shared" si="267"/>
        <v>0</v>
      </c>
      <c r="AD270" s="468">
        <f t="shared" si="267"/>
        <v>0</v>
      </c>
      <c r="AE270" s="468">
        <f t="shared" si="267"/>
        <v>0</v>
      </c>
      <c r="AF270" s="468">
        <f t="shared" si="267"/>
        <v>398.53</v>
      </c>
      <c r="AG270" s="468">
        <f t="shared" si="267"/>
        <v>124.66</v>
      </c>
      <c r="AH270" s="468">
        <f t="shared" si="267"/>
        <v>273.87</v>
      </c>
      <c r="AI270" s="468">
        <f t="shared" si="267"/>
        <v>0</v>
      </c>
      <c r="AJ270" s="468">
        <f t="shared" si="267"/>
        <v>0</v>
      </c>
      <c r="AK270" s="468">
        <f t="shared" si="267"/>
        <v>23</v>
      </c>
      <c r="AL270" s="456"/>
      <c r="AM270" s="468">
        <f t="shared" ref="AL270:BA270" si="268">SUM(AM271:AM281)</f>
        <v>937.91</v>
      </c>
      <c r="AN270" s="468">
        <f t="shared" si="268"/>
        <v>117.98</v>
      </c>
      <c r="AO270" s="468">
        <f t="shared" si="268"/>
        <v>80.2</v>
      </c>
      <c r="AP270" s="468">
        <f t="shared" si="268"/>
        <v>14</v>
      </c>
      <c r="AQ270" s="468">
        <f t="shared" si="268"/>
        <v>23.78</v>
      </c>
      <c r="AR270" s="468">
        <f t="shared" si="268"/>
        <v>0</v>
      </c>
      <c r="AS270" s="468">
        <f t="shared" si="268"/>
        <v>0</v>
      </c>
      <c r="AT270" s="468">
        <f t="shared" si="268"/>
        <v>0</v>
      </c>
      <c r="AU270" s="468">
        <f t="shared" si="268"/>
        <v>639.53</v>
      </c>
      <c r="AV270" s="468">
        <f t="shared" si="268"/>
        <v>174.66</v>
      </c>
      <c r="AW270" s="468">
        <f t="shared" si="268"/>
        <v>464.87</v>
      </c>
      <c r="AX270" s="468">
        <f t="shared" si="268"/>
        <v>0</v>
      </c>
      <c r="AY270" s="468">
        <f t="shared" si="268"/>
        <v>0</v>
      </c>
      <c r="AZ270" s="468">
        <f t="shared" si="268"/>
        <v>180.4</v>
      </c>
      <c r="BA270" s="489"/>
      <c r="BB270" s="489"/>
    </row>
    <row r="271" s="425" customFormat="1" ht="39" customHeight="1" spans="1:54">
      <c r="A271" s="459">
        <v>266</v>
      </c>
      <c r="B271" s="460" t="s">
        <v>880</v>
      </c>
      <c r="C271" s="460" t="s">
        <v>203</v>
      </c>
      <c r="D271" s="461" t="s">
        <v>565</v>
      </c>
      <c r="E271" s="461" t="s">
        <v>1121</v>
      </c>
      <c r="F271" s="463">
        <f t="shared" ref="F271:F291" si="269">G271+O271+U271</f>
        <v>157.56</v>
      </c>
      <c r="G271" s="463">
        <f t="shared" ref="G271:G281" si="270">SUM(H271:M271)</f>
        <v>16.66</v>
      </c>
      <c r="H271" s="460">
        <v>8.8</v>
      </c>
      <c r="I271" s="460"/>
      <c r="J271" s="460">
        <v>7.86</v>
      </c>
      <c r="K271" s="460"/>
      <c r="L271" s="460"/>
      <c r="M271" s="460"/>
      <c r="N271" s="460"/>
      <c r="O271" s="459">
        <f t="shared" ref="O271:O277" si="271">SUM(P271:S271)</f>
        <v>118</v>
      </c>
      <c r="P271" s="460">
        <v>50</v>
      </c>
      <c r="Q271" s="460">
        <v>68</v>
      </c>
      <c r="R271" s="460"/>
      <c r="S271" s="460"/>
      <c r="T271" s="460"/>
      <c r="U271" s="463">
        <v>22.9</v>
      </c>
      <c r="V271" s="460" t="s">
        <v>838</v>
      </c>
      <c r="W271" s="460" t="s">
        <v>1122</v>
      </c>
      <c r="X271" s="463">
        <f t="shared" ref="X271:X281" si="272">Y271+AF271+AK271</f>
        <v>161.06</v>
      </c>
      <c r="Y271" s="463">
        <f t="shared" ref="Y271:Y281" si="273">SUM(Z271:AE271)</f>
        <v>-0.55</v>
      </c>
      <c r="Z271" s="460"/>
      <c r="AA271" s="460"/>
      <c r="AB271" s="460">
        <v>-0.55</v>
      </c>
      <c r="AC271" s="460"/>
      <c r="AD271" s="460"/>
      <c r="AE271" s="460"/>
      <c r="AF271" s="459">
        <f t="shared" ref="AF271:AF281" si="274">SUM(AG271:AJ271)</f>
        <v>155.11</v>
      </c>
      <c r="AG271" s="460">
        <f>116.38+8</f>
        <v>124.38</v>
      </c>
      <c r="AH271" s="460">
        <v>30.73</v>
      </c>
      <c r="AI271" s="460"/>
      <c r="AJ271" s="460"/>
      <c r="AK271" s="460">
        <f>5+1.5</f>
        <v>6.5</v>
      </c>
      <c r="AL271" s="460" t="s">
        <v>1123</v>
      </c>
      <c r="AM271" s="463">
        <f>AN271+AU271+AZ271</f>
        <v>318.62</v>
      </c>
      <c r="AN271" s="463">
        <f>SUM(AO271:AT271)</f>
        <v>16.11</v>
      </c>
      <c r="AO271" s="460">
        <f t="shared" ref="AO271:AT271" si="275">H271+Z271</f>
        <v>8.8</v>
      </c>
      <c r="AP271" s="460">
        <f t="shared" si="275"/>
        <v>0</v>
      </c>
      <c r="AQ271" s="460">
        <f t="shared" si="275"/>
        <v>7.31</v>
      </c>
      <c r="AR271" s="460">
        <f t="shared" si="275"/>
        <v>0</v>
      </c>
      <c r="AS271" s="460">
        <f t="shared" si="275"/>
        <v>0</v>
      </c>
      <c r="AT271" s="460">
        <f t="shared" si="275"/>
        <v>0</v>
      </c>
      <c r="AU271" s="463">
        <f>SUM(AV271:AY271)</f>
        <v>273.11</v>
      </c>
      <c r="AV271" s="460">
        <f t="shared" si="265"/>
        <v>174.38</v>
      </c>
      <c r="AW271" s="460">
        <f t="shared" ref="AW271:AW281" si="276">Q271+AH271</f>
        <v>98.73</v>
      </c>
      <c r="AX271" s="460">
        <f>R271+AI271</f>
        <v>0</v>
      </c>
      <c r="AY271" s="460">
        <f>S271+AJ271</f>
        <v>0</v>
      </c>
      <c r="AZ271" s="463">
        <f>U271+AK271</f>
        <v>29.4</v>
      </c>
      <c r="BA271" s="482"/>
      <c r="BB271" s="482"/>
    </row>
    <row r="272" s="425" customFormat="1" ht="39" customHeight="1" spans="1:54">
      <c r="A272" s="459">
        <v>267</v>
      </c>
      <c r="B272" s="460" t="s">
        <v>880</v>
      </c>
      <c r="C272" s="460" t="s">
        <v>206</v>
      </c>
      <c r="D272" s="461" t="s">
        <v>1124</v>
      </c>
      <c r="E272" s="461" t="s">
        <v>1121</v>
      </c>
      <c r="F272" s="463">
        <f t="shared" si="269"/>
        <v>1.8</v>
      </c>
      <c r="G272" s="463">
        <f t="shared" si="270"/>
        <v>1.8</v>
      </c>
      <c r="H272" s="460">
        <v>1.8</v>
      </c>
      <c r="I272" s="460"/>
      <c r="J272" s="460"/>
      <c r="K272" s="460"/>
      <c r="L272" s="460"/>
      <c r="M272" s="460"/>
      <c r="N272" s="460"/>
      <c r="O272" s="459">
        <f t="shared" si="271"/>
        <v>0</v>
      </c>
      <c r="P272" s="460"/>
      <c r="Q272" s="460"/>
      <c r="R272" s="460"/>
      <c r="S272" s="460"/>
      <c r="T272" s="460"/>
      <c r="U272" s="463"/>
      <c r="V272" s="460"/>
      <c r="W272" s="460"/>
      <c r="X272" s="463">
        <f t="shared" si="272"/>
        <v>0</v>
      </c>
      <c r="Y272" s="463">
        <f t="shared" si="273"/>
        <v>0</v>
      </c>
      <c r="Z272" s="460"/>
      <c r="AA272" s="460"/>
      <c r="AB272" s="460"/>
      <c r="AC272" s="460"/>
      <c r="AD272" s="460"/>
      <c r="AE272" s="460"/>
      <c r="AF272" s="459">
        <f t="shared" si="274"/>
        <v>0</v>
      </c>
      <c r="AG272" s="460"/>
      <c r="AH272" s="460"/>
      <c r="AI272" s="460"/>
      <c r="AJ272" s="460"/>
      <c r="AK272" s="460"/>
      <c r="AL272" s="460"/>
      <c r="AM272" s="463">
        <f t="shared" ref="AM272:AM336" si="277">AN272+AU272+AZ272</f>
        <v>1.8</v>
      </c>
      <c r="AN272" s="463">
        <f t="shared" ref="AN272:AN336" si="278">SUM(AO272:AT272)</f>
        <v>1.8</v>
      </c>
      <c r="AO272" s="460">
        <f t="shared" ref="AO272:AO336" si="279">H272+Z272</f>
        <v>1.8</v>
      </c>
      <c r="AP272" s="460">
        <f t="shared" ref="AP272:AP336" si="280">I272+AA272</f>
        <v>0</v>
      </c>
      <c r="AQ272" s="460">
        <f t="shared" ref="AQ272:AQ336" si="281">J272+AB272</f>
        <v>0</v>
      </c>
      <c r="AR272" s="460">
        <f t="shared" ref="AR272:AR336" si="282">K272+AC272</f>
        <v>0</v>
      </c>
      <c r="AS272" s="460">
        <f t="shared" ref="AS272:AS336" si="283">L272+AD272</f>
        <v>0</v>
      </c>
      <c r="AT272" s="460">
        <f t="shared" ref="AT272:AT336" si="284">M272+AE272</f>
        <v>0</v>
      </c>
      <c r="AU272" s="463">
        <f t="shared" ref="AU272:AU336" si="285">SUM(AV272:AY272)</f>
        <v>0</v>
      </c>
      <c r="AV272" s="460">
        <f t="shared" si="265"/>
        <v>0</v>
      </c>
      <c r="AW272" s="460">
        <f t="shared" si="276"/>
        <v>0</v>
      </c>
      <c r="AX272" s="460">
        <f t="shared" ref="AX272:AX336" si="286">R272+AI272</f>
        <v>0</v>
      </c>
      <c r="AY272" s="460">
        <f t="shared" ref="AY272:AY336" si="287">S272+AJ272</f>
        <v>0</v>
      </c>
      <c r="AZ272" s="463">
        <f t="shared" ref="AZ272:AZ336" si="288">U272+AK272</f>
        <v>0</v>
      </c>
      <c r="BA272" s="482"/>
      <c r="BB272" s="482"/>
    </row>
    <row r="273" s="425" customFormat="1" ht="39" customHeight="1" spans="1:54">
      <c r="A273" s="459">
        <v>268</v>
      </c>
      <c r="B273" s="460" t="s">
        <v>880</v>
      </c>
      <c r="C273" s="460" t="s">
        <v>206</v>
      </c>
      <c r="D273" s="461" t="s">
        <v>571</v>
      </c>
      <c r="E273" s="461" t="s">
        <v>1125</v>
      </c>
      <c r="F273" s="463">
        <f t="shared" si="269"/>
        <v>4.6</v>
      </c>
      <c r="G273" s="463">
        <f t="shared" si="270"/>
        <v>3.6</v>
      </c>
      <c r="H273" s="460">
        <v>3.6</v>
      </c>
      <c r="I273" s="460"/>
      <c r="J273" s="460"/>
      <c r="K273" s="460"/>
      <c r="L273" s="460"/>
      <c r="M273" s="460"/>
      <c r="N273" s="460"/>
      <c r="O273" s="459">
        <f t="shared" si="271"/>
        <v>0</v>
      </c>
      <c r="P273" s="460"/>
      <c r="Q273" s="460"/>
      <c r="R273" s="460"/>
      <c r="S273" s="460"/>
      <c r="T273" s="460"/>
      <c r="U273" s="463">
        <v>1</v>
      </c>
      <c r="V273" s="460" t="s">
        <v>838</v>
      </c>
      <c r="W273" s="460" t="s">
        <v>1126</v>
      </c>
      <c r="X273" s="463">
        <f t="shared" si="272"/>
        <v>0</v>
      </c>
      <c r="Y273" s="463">
        <f t="shared" si="273"/>
        <v>0</v>
      </c>
      <c r="Z273" s="460"/>
      <c r="AA273" s="460"/>
      <c r="AB273" s="460"/>
      <c r="AC273" s="460"/>
      <c r="AD273" s="460"/>
      <c r="AE273" s="460"/>
      <c r="AF273" s="459">
        <f t="shared" si="274"/>
        <v>0</v>
      </c>
      <c r="AG273" s="460"/>
      <c r="AH273" s="460"/>
      <c r="AI273" s="460"/>
      <c r="AJ273" s="460"/>
      <c r="AK273" s="460"/>
      <c r="AL273" s="460"/>
      <c r="AM273" s="463">
        <f t="shared" si="277"/>
        <v>4.6</v>
      </c>
      <c r="AN273" s="463">
        <f t="shared" si="278"/>
        <v>3.6</v>
      </c>
      <c r="AO273" s="460">
        <f t="shared" si="279"/>
        <v>3.6</v>
      </c>
      <c r="AP273" s="460">
        <f t="shared" si="280"/>
        <v>0</v>
      </c>
      <c r="AQ273" s="460">
        <f t="shared" si="281"/>
        <v>0</v>
      </c>
      <c r="AR273" s="460">
        <f t="shared" si="282"/>
        <v>0</v>
      </c>
      <c r="AS273" s="460">
        <f t="shared" si="283"/>
        <v>0</v>
      </c>
      <c r="AT273" s="460">
        <f t="shared" si="284"/>
        <v>0</v>
      </c>
      <c r="AU273" s="463">
        <f t="shared" si="285"/>
        <v>0</v>
      </c>
      <c r="AV273" s="460">
        <f t="shared" si="265"/>
        <v>0</v>
      </c>
      <c r="AW273" s="460">
        <f t="shared" si="276"/>
        <v>0</v>
      </c>
      <c r="AX273" s="460">
        <f t="shared" si="286"/>
        <v>0</v>
      </c>
      <c r="AY273" s="460">
        <f t="shared" si="287"/>
        <v>0</v>
      </c>
      <c r="AZ273" s="463">
        <f t="shared" si="288"/>
        <v>1</v>
      </c>
      <c r="BA273" s="482"/>
      <c r="BB273" s="482"/>
    </row>
    <row r="274" s="425" customFormat="1" ht="39" customHeight="1" spans="1:54">
      <c r="A274" s="459">
        <v>269</v>
      </c>
      <c r="B274" s="460" t="s">
        <v>880</v>
      </c>
      <c r="C274" s="460" t="s">
        <v>206</v>
      </c>
      <c r="D274" s="461" t="s">
        <v>582</v>
      </c>
      <c r="E274" s="461" t="s">
        <v>1127</v>
      </c>
      <c r="F274" s="463">
        <f t="shared" si="269"/>
        <v>18</v>
      </c>
      <c r="G274" s="463">
        <f t="shared" si="270"/>
        <v>8</v>
      </c>
      <c r="H274" s="460">
        <v>6</v>
      </c>
      <c r="I274" s="460">
        <v>2</v>
      </c>
      <c r="J274" s="460"/>
      <c r="K274" s="460"/>
      <c r="L274" s="460"/>
      <c r="M274" s="460"/>
      <c r="N274" s="460"/>
      <c r="O274" s="459">
        <f t="shared" si="271"/>
        <v>0</v>
      </c>
      <c r="P274" s="460"/>
      <c r="Q274" s="460"/>
      <c r="R274" s="460"/>
      <c r="S274" s="460"/>
      <c r="T274" s="460"/>
      <c r="U274" s="463">
        <v>10</v>
      </c>
      <c r="V274" s="460" t="s">
        <v>838</v>
      </c>
      <c r="W274" s="460" t="s">
        <v>1128</v>
      </c>
      <c r="X274" s="463">
        <f t="shared" si="272"/>
        <v>15</v>
      </c>
      <c r="Y274" s="463">
        <f t="shared" si="273"/>
        <v>0</v>
      </c>
      <c r="Z274" s="460"/>
      <c r="AA274" s="460"/>
      <c r="AB274" s="460"/>
      <c r="AC274" s="460"/>
      <c r="AD274" s="460"/>
      <c r="AE274" s="460"/>
      <c r="AF274" s="459">
        <f t="shared" si="274"/>
        <v>0</v>
      </c>
      <c r="AG274" s="460"/>
      <c r="AH274" s="460"/>
      <c r="AI274" s="460"/>
      <c r="AJ274" s="460"/>
      <c r="AK274" s="460">
        <v>15</v>
      </c>
      <c r="AL274" s="460" t="s">
        <v>1129</v>
      </c>
      <c r="AM274" s="463">
        <f t="shared" si="277"/>
        <v>33</v>
      </c>
      <c r="AN274" s="463">
        <f t="shared" si="278"/>
        <v>8</v>
      </c>
      <c r="AO274" s="460">
        <f t="shared" si="279"/>
        <v>6</v>
      </c>
      <c r="AP274" s="460">
        <f t="shared" si="280"/>
        <v>2</v>
      </c>
      <c r="AQ274" s="460">
        <f t="shared" si="281"/>
        <v>0</v>
      </c>
      <c r="AR274" s="460">
        <f t="shared" si="282"/>
        <v>0</v>
      </c>
      <c r="AS274" s="460">
        <f t="shared" si="283"/>
        <v>0</v>
      </c>
      <c r="AT274" s="460">
        <f t="shared" si="284"/>
        <v>0</v>
      </c>
      <c r="AU274" s="463">
        <f t="shared" si="285"/>
        <v>0</v>
      </c>
      <c r="AV274" s="460">
        <f t="shared" si="265"/>
        <v>0</v>
      </c>
      <c r="AW274" s="460">
        <f t="shared" si="276"/>
        <v>0</v>
      </c>
      <c r="AX274" s="460">
        <f t="shared" si="286"/>
        <v>0</v>
      </c>
      <c r="AY274" s="460">
        <f t="shared" si="287"/>
        <v>0</v>
      </c>
      <c r="AZ274" s="463">
        <f t="shared" si="288"/>
        <v>25</v>
      </c>
      <c r="BA274" s="482"/>
      <c r="BB274" s="482"/>
    </row>
    <row r="275" s="425" customFormat="1" ht="39" customHeight="1" spans="1:54">
      <c r="A275" s="459">
        <v>270</v>
      </c>
      <c r="B275" s="460" t="s">
        <v>880</v>
      </c>
      <c r="C275" s="460" t="s">
        <v>206</v>
      </c>
      <c r="D275" s="461" t="s">
        <v>577</v>
      </c>
      <c r="E275" s="461" t="s">
        <v>1130</v>
      </c>
      <c r="F275" s="463">
        <f t="shared" si="269"/>
        <v>7.8</v>
      </c>
      <c r="G275" s="463">
        <f t="shared" si="270"/>
        <v>7.8</v>
      </c>
      <c r="H275" s="460">
        <v>7.8</v>
      </c>
      <c r="I275" s="460"/>
      <c r="J275" s="460"/>
      <c r="K275" s="460"/>
      <c r="L275" s="460"/>
      <c r="M275" s="460"/>
      <c r="N275" s="460"/>
      <c r="O275" s="459">
        <f t="shared" si="271"/>
        <v>0</v>
      </c>
      <c r="P275" s="460"/>
      <c r="Q275" s="460"/>
      <c r="R275" s="460"/>
      <c r="S275" s="460"/>
      <c r="T275" s="460"/>
      <c r="U275" s="463"/>
      <c r="V275" s="460"/>
      <c r="W275" s="460"/>
      <c r="X275" s="463">
        <f t="shared" si="272"/>
        <v>0</v>
      </c>
      <c r="Y275" s="463">
        <f t="shared" si="273"/>
        <v>0</v>
      </c>
      <c r="Z275" s="460"/>
      <c r="AA275" s="460"/>
      <c r="AB275" s="460"/>
      <c r="AC275" s="460"/>
      <c r="AD275" s="460"/>
      <c r="AE275" s="460"/>
      <c r="AF275" s="459">
        <f t="shared" si="274"/>
        <v>0</v>
      </c>
      <c r="AG275" s="460"/>
      <c r="AH275" s="460"/>
      <c r="AI275" s="460"/>
      <c r="AJ275" s="460"/>
      <c r="AK275" s="460"/>
      <c r="AL275" s="460"/>
      <c r="AM275" s="463">
        <f t="shared" si="277"/>
        <v>7.8</v>
      </c>
      <c r="AN275" s="463">
        <f t="shared" si="278"/>
        <v>7.8</v>
      </c>
      <c r="AO275" s="460">
        <f t="shared" si="279"/>
        <v>7.8</v>
      </c>
      <c r="AP275" s="460">
        <f t="shared" si="280"/>
        <v>0</v>
      </c>
      <c r="AQ275" s="460">
        <f t="shared" si="281"/>
        <v>0</v>
      </c>
      <c r="AR275" s="460">
        <f t="shared" si="282"/>
        <v>0</v>
      </c>
      <c r="AS275" s="460">
        <f t="shared" si="283"/>
        <v>0</v>
      </c>
      <c r="AT275" s="460">
        <f t="shared" si="284"/>
        <v>0</v>
      </c>
      <c r="AU275" s="463">
        <f t="shared" si="285"/>
        <v>0</v>
      </c>
      <c r="AV275" s="460">
        <f t="shared" si="265"/>
        <v>0</v>
      </c>
      <c r="AW275" s="460">
        <f t="shared" si="276"/>
        <v>0</v>
      </c>
      <c r="AX275" s="460">
        <f t="shared" si="286"/>
        <v>0</v>
      </c>
      <c r="AY275" s="460">
        <f t="shared" si="287"/>
        <v>0</v>
      </c>
      <c r="AZ275" s="463">
        <f t="shared" si="288"/>
        <v>0</v>
      </c>
      <c r="BA275" s="482"/>
      <c r="BB275" s="482"/>
    </row>
    <row r="276" s="425" customFormat="1" ht="39" customHeight="1" spans="1:54">
      <c r="A276" s="459">
        <v>271</v>
      </c>
      <c r="B276" s="460" t="s">
        <v>880</v>
      </c>
      <c r="C276" s="460" t="s">
        <v>206</v>
      </c>
      <c r="D276" s="461" t="s">
        <v>575</v>
      </c>
      <c r="E276" s="461" t="s">
        <v>1121</v>
      </c>
      <c r="F276" s="463">
        <f t="shared" si="269"/>
        <v>7.4</v>
      </c>
      <c r="G276" s="463">
        <f t="shared" si="270"/>
        <v>7.4</v>
      </c>
      <c r="H276" s="460">
        <v>5.4</v>
      </c>
      <c r="I276" s="460">
        <v>2</v>
      </c>
      <c r="J276" s="460"/>
      <c r="K276" s="460"/>
      <c r="L276" s="460"/>
      <c r="M276" s="460"/>
      <c r="N276" s="460"/>
      <c r="O276" s="459">
        <f t="shared" si="271"/>
        <v>0</v>
      </c>
      <c r="P276" s="460"/>
      <c r="Q276" s="460"/>
      <c r="R276" s="460"/>
      <c r="S276" s="460"/>
      <c r="T276" s="460"/>
      <c r="U276" s="463"/>
      <c r="V276" s="460" t="s">
        <v>838</v>
      </c>
      <c r="W276" s="460"/>
      <c r="X276" s="463">
        <f t="shared" si="272"/>
        <v>0</v>
      </c>
      <c r="Y276" s="463">
        <f t="shared" si="273"/>
        <v>0</v>
      </c>
      <c r="Z276" s="460"/>
      <c r="AA276" s="460"/>
      <c r="AB276" s="460"/>
      <c r="AC276" s="460"/>
      <c r="AD276" s="460"/>
      <c r="AE276" s="460"/>
      <c r="AF276" s="459">
        <f t="shared" si="274"/>
        <v>0</v>
      </c>
      <c r="AG276" s="460"/>
      <c r="AH276" s="460"/>
      <c r="AI276" s="460"/>
      <c r="AJ276" s="460"/>
      <c r="AK276" s="460"/>
      <c r="AL276" s="460"/>
      <c r="AM276" s="463">
        <f t="shared" si="277"/>
        <v>7.4</v>
      </c>
      <c r="AN276" s="463">
        <f t="shared" si="278"/>
        <v>7.4</v>
      </c>
      <c r="AO276" s="460">
        <f t="shared" si="279"/>
        <v>5.4</v>
      </c>
      <c r="AP276" s="460">
        <f t="shared" si="280"/>
        <v>2</v>
      </c>
      <c r="AQ276" s="460">
        <f t="shared" si="281"/>
        <v>0</v>
      </c>
      <c r="AR276" s="460">
        <f t="shared" si="282"/>
        <v>0</v>
      </c>
      <c r="AS276" s="460">
        <f t="shared" si="283"/>
        <v>0</v>
      </c>
      <c r="AT276" s="460">
        <f t="shared" si="284"/>
        <v>0</v>
      </c>
      <c r="AU276" s="463">
        <f t="shared" si="285"/>
        <v>0</v>
      </c>
      <c r="AV276" s="460">
        <f t="shared" si="265"/>
        <v>0</v>
      </c>
      <c r="AW276" s="460">
        <f t="shared" si="276"/>
        <v>0</v>
      </c>
      <c r="AX276" s="460">
        <f t="shared" si="286"/>
        <v>0</v>
      </c>
      <c r="AY276" s="460">
        <f t="shared" si="287"/>
        <v>0</v>
      </c>
      <c r="AZ276" s="463">
        <f t="shared" si="288"/>
        <v>0</v>
      </c>
      <c r="BA276" s="482"/>
      <c r="BB276" s="482"/>
    </row>
    <row r="277" s="425" customFormat="1" ht="39" customHeight="1" spans="1:54">
      <c r="A277" s="459">
        <v>272</v>
      </c>
      <c r="B277" s="460" t="s">
        <v>880</v>
      </c>
      <c r="C277" s="460" t="s">
        <v>203</v>
      </c>
      <c r="D277" s="461" t="s">
        <v>567</v>
      </c>
      <c r="E277" s="461" t="s">
        <v>1131</v>
      </c>
      <c r="F277" s="463">
        <f t="shared" si="269"/>
        <v>156.78</v>
      </c>
      <c r="G277" s="463">
        <f t="shared" si="270"/>
        <v>33.78</v>
      </c>
      <c r="H277" s="460">
        <v>16.2</v>
      </c>
      <c r="I277" s="460"/>
      <c r="J277" s="460">
        <v>17.58</v>
      </c>
      <c r="K277" s="460"/>
      <c r="L277" s="460"/>
      <c r="M277" s="460"/>
      <c r="N277" s="460"/>
      <c r="O277" s="459">
        <f t="shared" si="271"/>
        <v>123</v>
      </c>
      <c r="P277" s="460"/>
      <c r="Q277" s="460">
        <v>123</v>
      </c>
      <c r="R277" s="460"/>
      <c r="S277" s="460"/>
      <c r="T277" s="460"/>
      <c r="U277" s="463"/>
      <c r="V277" s="460"/>
      <c r="W277" s="460"/>
      <c r="X277" s="463">
        <f t="shared" si="272"/>
        <v>243.53</v>
      </c>
      <c r="Y277" s="463">
        <f t="shared" si="273"/>
        <v>-1.11</v>
      </c>
      <c r="Z277" s="460"/>
      <c r="AA277" s="460"/>
      <c r="AB277" s="460">
        <v>-1.11</v>
      </c>
      <c r="AC277" s="460"/>
      <c r="AD277" s="460"/>
      <c r="AE277" s="460"/>
      <c r="AF277" s="459">
        <f t="shared" si="274"/>
        <v>243.14</v>
      </c>
      <c r="AG277" s="460"/>
      <c r="AH277" s="460">
        <v>243.14</v>
      </c>
      <c r="AI277" s="460"/>
      <c r="AJ277" s="460"/>
      <c r="AK277" s="460">
        <v>1.5</v>
      </c>
      <c r="AL277" s="460" t="s">
        <v>846</v>
      </c>
      <c r="AM277" s="463">
        <f t="shared" si="277"/>
        <v>400.31</v>
      </c>
      <c r="AN277" s="463">
        <f t="shared" si="278"/>
        <v>32.67</v>
      </c>
      <c r="AO277" s="460">
        <f t="shared" si="279"/>
        <v>16.2</v>
      </c>
      <c r="AP277" s="460">
        <f t="shared" si="280"/>
        <v>0</v>
      </c>
      <c r="AQ277" s="460">
        <f t="shared" si="281"/>
        <v>16.47</v>
      </c>
      <c r="AR277" s="460">
        <f t="shared" si="282"/>
        <v>0</v>
      </c>
      <c r="AS277" s="460">
        <f t="shared" si="283"/>
        <v>0</v>
      </c>
      <c r="AT277" s="460">
        <f t="shared" si="284"/>
        <v>0</v>
      </c>
      <c r="AU277" s="463">
        <f t="shared" si="285"/>
        <v>366.14</v>
      </c>
      <c r="AV277" s="460">
        <f t="shared" si="265"/>
        <v>0</v>
      </c>
      <c r="AW277" s="460">
        <f t="shared" si="276"/>
        <v>366.14</v>
      </c>
      <c r="AX277" s="460">
        <f t="shared" si="286"/>
        <v>0</v>
      </c>
      <c r="AY277" s="460">
        <f t="shared" si="287"/>
        <v>0</v>
      </c>
      <c r="AZ277" s="463">
        <f t="shared" si="288"/>
        <v>1.5</v>
      </c>
      <c r="BA277" s="482"/>
      <c r="BB277" s="482"/>
    </row>
    <row r="278" s="425" customFormat="1" ht="39" customHeight="1" spans="1:54">
      <c r="A278" s="459">
        <v>273</v>
      </c>
      <c r="B278" s="460" t="s">
        <v>880</v>
      </c>
      <c r="C278" s="460" t="s">
        <v>206</v>
      </c>
      <c r="D278" s="461" t="s">
        <v>570</v>
      </c>
      <c r="E278" s="461" t="s">
        <v>1131</v>
      </c>
      <c r="F278" s="463">
        <f t="shared" si="269"/>
        <v>19.2</v>
      </c>
      <c r="G278" s="463">
        <f t="shared" si="270"/>
        <v>19.2</v>
      </c>
      <c r="H278" s="460">
        <v>19.2</v>
      </c>
      <c r="I278" s="460"/>
      <c r="J278" s="460"/>
      <c r="K278" s="460"/>
      <c r="L278" s="460"/>
      <c r="M278" s="460"/>
      <c r="N278" s="460"/>
      <c r="O278" s="459">
        <f t="shared" ref="O278:O323" si="289">SUM(P278:S278)</f>
        <v>0</v>
      </c>
      <c r="P278" s="460"/>
      <c r="Q278" s="460"/>
      <c r="R278" s="460"/>
      <c r="S278" s="460"/>
      <c r="T278" s="460"/>
      <c r="U278" s="463"/>
      <c r="V278" s="460"/>
      <c r="W278" s="460"/>
      <c r="X278" s="463">
        <f t="shared" si="272"/>
        <v>0</v>
      </c>
      <c r="Y278" s="463">
        <f t="shared" si="273"/>
        <v>0</v>
      </c>
      <c r="Z278" s="460"/>
      <c r="AA278" s="460"/>
      <c r="AB278" s="460"/>
      <c r="AC278" s="460"/>
      <c r="AD278" s="460"/>
      <c r="AE278" s="460"/>
      <c r="AF278" s="459">
        <f t="shared" si="274"/>
        <v>0</v>
      </c>
      <c r="AG278" s="460"/>
      <c r="AH278" s="460"/>
      <c r="AI278" s="460"/>
      <c r="AJ278" s="460"/>
      <c r="AK278" s="460"/>
      <c r="AL278" s="460"/>
      <c r="AM278" s="463">
        <f t="shared" si="277"/>
        <v>19.2</v>
      </c>
      <c r="AN278" s="463">
        <f t="shared" si="278"/>
        <v>19.2</v>
      </c>
      <c r="AO278" s="460">
        <f t="shared" si="279"/>
        <v>19.2</v>
      </c>
      <c r="AP278" s="460">
        <f t="shared" si="280"/>
        <v>0</v>
      </c>
      <c r="AQ278" s="460">
        <f t="shared" si="281"/>
        <v>0</v>
      </c>
      <c r="AR278" s="460">
        <f t="shared" si="282"/>
        <v>0</v>
      </c>
      <c r="AS278" s="460">
        <f t="shared" si="283"/>
        <v>0</v>
      </c>
      <c r="AT278" s="460">
        <f t="shared" si="284"/>
        <v>0</v>
      </c>
      <c r="AU278" s="463">
        <f t="shared" si="285"/>
        <v>0</v>
      </c>
      <c r="AV278" s="460">
        <f t="shared" si="265"/>
        <v>0</v>
      </c>
      <c r="AW278" s="460">
        <f t="shared" si="276"/>
        <v>0</v>
      </c>
      <c r="AX278" s="460">
        <f t="shared" si="286"/>
        <v>0</v>
      </c>
      <c r="AY278" s="460">
        <f t="shared" si="287"/>
        <v>0</v>
      </c>
      <c r="AZ278" s="463">
        <f t="shared" si="288"/>
        <v>0</v>
      </c>
      <c r="BA278" s="482"/>
      <c r="BB278" s="482"/>
    </row>
    <row r="279" s="425" customFormat="1" ht="39" customHeight="1" spans="1:54">
      <c r="A279" s="459">
        <v>274</v>
      </c>
      <c r="B279" s="460" t="s">
        <v>880</v>
      </c>
      <c r="C279" s="460" t="s">
        <v>206</v>
      </c>
      <c r="D279" s="461" t="s">
        <v>576</v>
      </c>
      <c r="E279" s="461" t="s">
        <v>1121</v>
      </c>
      <c r="F279" s="463">
        <f t="shared" si="269"/>
        <v>6.2</v>
      </c>
      <c r="G279" s="463">
        <f t="shared" si="270"/>
        <v>6.2</v>
      </c>
      <c r="H279" s="460">
        <v>4.2</v>
      </c>
      <c r="I279" s="460">
        <v>2</v>
      </c>
      <c r="J279" s="460"/>
      <c r="K279" s="460"/>
      <c r="L279" s="460"/>
      <c r="M279" s="460"/>
      <c r="N279" s="460"/>
      <c r="O279" s="459">
        <f t="shared" si="289"/>
        <v>0</v>
      </c>
      <c r="P279" s="460"/>
      <c r="Q279" s="460"/>
      <c r="R279" s="460"/>
      <c r="S279" s="460"/>
      <c r="T279" s="460"/>
      <c r="U279" s="463"/>
      <c r="V279" s="460"/>
      <c r="W279" s="460"/>
      <c r="X279" s="463">
        <f t="shared" si="272"/>
        <v>0</v>
      </c>
      <c r="Y279" s="463">
        <f t="shared" si="273"/>
        <v>0</v>
      </c>
      <c r="Z279" s="460"/>
      <c r="AA279" s="460"/>
      <c r="AB279" s="460"/>
      <c r="AC279" s="460"/>
      <c r="AD279" s="460"/>
      <c r="AE279" s="460"/>
      <c r="AF279" s="459">
        <f t="shared" si="274"/>
        <v>0</v>
      </c>
      <c r="AG279" s="460"/>
      <c r="AH279" s="460"/>
      <c r="AI279" s="460"/>
      <c r="AJ279" s="460"/>
      <c r="AK279" s="460"/>
      <c r="AL279" s="460"/>
      <c r="AM279" s="463">
        <f t="shared" si="277"/>
        <v>6.2</v>
      </c>
      <c r="AN279" s="463">
        <f t="shared" si="278"/>
        <v>6.2</v>
      </c>
      <c r="AO279" s="460">
        <f t="shared" si="279"/>
        <v>4.2</v>
      </c>
      <c r="AP279" s="460">
        <f t="shared" si="280"/>
        <v>2</v>
      </c>
      <c r="AQ279" s="460">
        <f t="shared" si="281"/>
        <v>0</v>
      </c>
      <c r="AR279" s="460">
        <f t="shared" si="282"/>
        <v>0</v>
      </c>
      <c r="AS279" s="460">
        <f t="shared" si="283"/>
        <v>0</v>
      </c>
      <c r="AT279" s="460">
        <f t="shared" si="284"/>
        <v>0</v>
      </c>
      <c r="AU279" s="463">
        <f t="shared" si="285"/>
        <v>0</v>
      </c>
      <c r="AV279" s="460">
        <f t="shared" si="265"/>
        <v>0</v>
      </c>
      <c r="AW279" s="460">
        <f t="shared" si="276"/>
        <v>0</v>
      </c>
      <c r="AX279" s="460">
        <f t="shared" si="286"/>
        <v>0</v>
      </c>
      <c r="AY279" s="460">
        <f t="shared" si="287"/>
        <v>0</v>
      </c>
      <c r="AZ279" s="463">
        <f t="shared" si="288"/>
        <v>0</v>
      </c>
      <c r="BA279" s="482"/>
      <c r="BB279" s="482"/>
    </row>
    <row r="280" s="425" customFormat="1" ht="39" customHeight="1" spans="1:54">
      <c r="A280" s="459">
        <v>275</v>
      </c>
      <c r="B280" s="460" t="s">
        <v>880</v>
      </c>
      <c r="C280" s="460" t="s">
        <v>206</v>
      </c>
      <c r="D280" s="461" t="s">
        <v>579</v>
      </c>
      <c r="E280" s="461" t="s">
        <v>1132</v>
      </c>
      <c r="F280" s="463">
        <f t="shared" si="269"/>
        <v>62.1</v>
      </c>
      <c r="G280" s="463">
        <f t="shared" si="270"/>
        <v>3.6</v>
      </c>
      <c r="H280" s="460">
        <v>3.6</v>
      </c>
      <c r="I280" s="460"/>
      <c r="J280" s="460"/>
      <c r="K280" s="460"/>
      <c r="L280" s="460"/>
      <c r="M280" s="460"/>
      <c r="N280" s="460"/>
      <c r="O280" s="459">
        <f t="shared" si="289"/>
        <v>0</v>
      </c>
      <c r="P280" s="460">
        <v>0</v>
      </c>
      <c r="Q280" s="460"/>
      <c r="R280" s="460"/>
      <c r="S280" s="460"/>
      <c r="T280" s="460"/>
      <c r="U280" s="463">
        <v>58.5</v>
      </c>
      <c r="V280" s="460" t="s">
        <v>838</v>
      </c>
      <c r="W280" s="460" t="s">
        <v>1133</v>
      </c>
      <c r="X280" s="463">
        <f t="shared" si="272"/>
        <v>0.28</v>
      </c>
      <c r="Y280" s="463">
        <f t="shared" si="273"/>
        <v>0</v>
      </c>
      <c r="Z280" s="460"/>
      <c r="AA280" s="460"/>
      <c r="AB280" s="460"/>
      <c r="AC280" s="460"/>
      <c r="AD280" s="460"/>
      <c r="AE280" s="460"/>
      <c r="AF280" s="459">
        <f t="shared" si="274"/>
        <v>0.28</v>
      </c>
      <c r="AG280" s="460">
        <v>0.28</v>
      </c>
      <c r="AH280" s="460"/>
      <c r="AI280" s="460"/>
      <c r="AJ280" s="460"/>
      <c r="AK280" s="460"/>
      <c r="AL280" s="460"/>
      <c r="AM280" s="463">
        <f t="shared" si="277"/>
        <v>62.38</v>
      </c>
      <c r="AN280" s="463">
        <f t="shared" si="278"/>
        <v>3.6</v>
      </c>
      <c r="AO280" s="460">
        <f t="shared" si="279"/>
        <v>3.6</v>
      </c>
      <c r="AP280" s="460">
        <f t="shared" si="280"/>
        <v>0</v>
      </c>
      <c r="AQ280" s="460">
        <f t="shared" si="281"/>
        <v>0</v>
      </c>
      <c r="AR280" s="460">
        <f t="shared" si="282"/>
        <v>0</v>
      </c>
      <c r="AS280" s="460">
        <f t="shared" si="283"/>
        <v>0</v>
      </c>
      <c r="AT280" s="460">
        <f t="shared" si="284"/>
        <v>0</v>
      </c>
      <c r="AU280" s="463">
        <f t="shared" si="285"/>
        <v>0.28</v>
      </c>
      <c r="AV280" s="460">
        <f t="shared" si="265"/>
        <v>0.28</v>
      </c>
      <c r="AW280" s="460">
        <f t="shared" si="276"/>
        <v>0</v>
      </c>
      <c r="AX280" s="460">
        <f t="shared" si="286"/>
        <v>0</v>
      </c>
      <c r="AY280" s="460">
        <f t="shared" si="287"/>
        <v>0</v>
      </c>
      <c r="AZ280" s="463">
        <f t="shared" si="288"/>
        <v>58.5</v>
      </c>
      <c r="BA280" s="482"/>
      <c r="BB280" s="482"/>
    </row>
    <row r="281" s="425" customFormat="1" ht="39" customHeight="1" spans="1:54">
      <c r="A281" s="459">
        <v>276</v>
      </c>
      <c r="B281" s="460" t="s">
        <v>880</v>
      </c>
      <c r="C281" s="460" t="s">
        <v>206</v>
      </c>
      <c r="D281" s="461" t="s">
        <v>581</v>
      </c>
      <c r="E281" s="461" t="s">
        <v>1132</v>
      </c>
      <c r="F281" s="463">
        <f t="shared" si="269"/>
        <v>76.6</v>
      </c>
      <c r="G281" s="463">
        <f t="shared" si="270"/>
        <v>11.6</v>
      </c>
      <c r="H281" s="460">
        <v>3.6</v>
      </c>
      <c r="I281" s="460">
        <v>8</v>
      </c>
      <c r="J281" s="460"/>
      <c r="K281" s="460"/>
      <c r="L281" s="460"/>
      <c r="M281" s="460"/>
      <c r="N281" s="460"/>
      <c r="O281" s="459">
        <f t="shared" si="289"/>
        <v>0</v>
      </c>
      <c r="P281" s="460"/>
      <c r="Q281" s="460"/>
      <c r="R281" s="460"/>
      <c r="S281" s="460"/>
      <c r="T281" s="460"/>
      <c r="U281" s="463">
        <v>65</v>
      </c>
      <c r="V281" s="460" t="s">
        <v>838</v>
      </c>
      <c r="W281" s="460" t="s">
        <v>1134</v>
      </c>
      <c r="X281" s="463">
        <f t="shared" si="272"/>
        <v>0</v>
      </c>
      <c r="Y281" s="463">
        <f t="shared" si="273"/>
        <v>0</v>
      </c>
      <c r="Z281" s="460"/>
      <c r="AA281" s="460"/>
      <c r="AB281" s="460"/>
      <c r="AC281" s="460"/>
      <c r="AD281" s="460"/>
      <c r="AE281" s="460"/>
      <c r="AF281" s="459">
        <f t="shared" si="274"/>
        <v>0</v>
      </c>
      <c r="AG281" s="460"/>
      <c r="AH281" s="460"/>
      <c r="AI281" s="460"/>
      <c r="AJ281" s="460"/>
      <c r="AK281" s="460"/>
      <c r="AL281" s="460"/>
      <c r="AM281" s="463">
        <f t="shared" si="277"/>
        <v>76.6</v>
      </c>
      <c r="AN281" s="463">
        <f t="shared" si="278"/>
        <v>11.6</v>
      </c>
      <c r="AO281" s="460">
        <f t="shared" si="279"/>
        <v>3.6</v>
      </c>
      <c r="AP281" s="460">
        <f t="shared" si="280"/>
        <v>8</v>
      </c>
      <c r="AQ281" s="460">
        <f t="shared" si="281"/>
        <v>0</v>
      </c>
      <c r="AR281" s="460">
        <f t="shared" si="282"/>
        <v>0</v>
      </c>
      <c r="AS281" s="460">
        <f t="shared" si="283"/>
        <v>0</v>
      </c>
      <c r="AT281" s="460">
        <f t="shared" si="284"/>
        <v>0</v>
      </c>
      <c r="AU281" s="463">
        <f t="shared" si="285"/>
        <v>0</v>
      </c>
      <c r="AV281" s="460">
        <f t="shared" si="265"/>
        <v>0</v>
      </c>
      <c r="AW281" s="460">
        <f t="shared" si="276"/>
        <v>0</v>
      </c>
      <c r="AX281" s="460">
        <f t="shared" si="286"/>
        <v>0</v>
      </c>
      <c r="AY281" s="460">
        <f t="shared" si="287"/>
        <v>0</v>
      </c>
      <c r="AZ281" s="463">
        <f t="shared" si="288"/>
        <v>65</v>
      </c>
      <c r="BA281" s="482"/>
      <c r="BB281" s="482"/>
    </row>
    <row r="282" s="426" customFormat="1" ht="24" customHeight="1" spans="1:54">
      <c r="A282" s="452">
        <v>277</v>
      </c>
      <c r="B282" s="485"/>
      <c r="C282" s="485"/>
      <c r="D282" s="486" t="s">
        <v>136</v>
      </c>
      <c r="E282" s="452">
        <v>213</v>
      </c>
      <c r="F282" s="456">
        <f>SUM(F283:F308)</f>
        <v>1826.64</v>
      </c>
      <c r="G282" s="456">
        <f>SUM(G283:G308)</f>
        <v>353.02</v>
      </c>
      <c r="H282" s="456">
        <f t="shared" ref="H282:M282" si="290">SUM(H283:H308)</f>
        <v>248.4</v>
      </c>
      <c r="I282" s="456">
        <f t="shared" si="290"/>
        <v>40</v>
      </c>
      <c r="J282" s="456">
        <f t="shared" si="290"/>
        <v>64.62</v>
      </c>
      <c r="K282" s="456">
        <f t="shared" si="290"/>
        <v>0</v>
      </c>
      <c r="L282" s="456">
        <f t="shared" si="290"/>
        <v>0</v>
      </c>
      <c r="M282" s="456">
        <f t="shared" si="290"/>
        <v>0</v>
      </c>
      <c r="N282" s="456"/>
      <c r="O282" s="456">
        <f>SUM(O283:O308)</f>
        <v>1278.92</v>
      </c>
      <c r="P282" s="456">
        <f>SUM(P283:P308)</f>
        <v>206</v>
      </c>
      <c r="Q282" s="456">
        <f>SUM(Q283:Q308)</f>
        <v>247.32</v>
      </c>
      <c r="R282" s="456">
        <f>SUM(R283:R308)</f>
        <v>0</v>
      </c>
      <c r="S282" s="456">
        <f>SUM(S283:S308)</f>
        <v>825.6</v>
      </c>
      <c r="T282" s="456"/>
      <c r="U282" s="456">
        <f>SUM(U283:U308)</f>
        <v>194.7</v>
      </c>
      <c r="V282" s="456"/>
      <c r="W282" s="481"/>
      <c r="X282" s="468">
        <f t="shared" ref="X282:AM282" si="291">SUM(X283:X308)</f>
        <v>691.55</v>
      </c>
      <c r="Y282" s="468">
        <f t="shared" si="291"/>
        <v>0.04</v>
      </c>
      <c r="Z282" s="468">
        <f t="shared" si="291"/>
        <v>0</v>
      </c>
      <c r="AA282" s="468">
        <f t="shared" si="291"/>
        <v>0</v>
      </c>
      <c r="AB282" s="468">
        <f t="shared" si="291"/>
        <v>0.04</v>
      </c>
      <c r="AC282" s="468">
        <f t="shared" si="291"/>
        <v>0</v>
      </c>
      <c r="AD282" s="468">
        <f t="shared" si="291"/>
        <v>0</v>
      </c>
      <c r="AE282" s="468">
        <f t="shared" si="291"/>
        <v>0</v>
      </c>
      <c r="AF282" s="468">
        <f t="shared" si="291"/>
        <v>685.51</v>
      </c>
      <c r="AG282" s="468">
        <f t="shared" si="291"/>
        <v>507.55</v>
      </c>
      <c r="AH282" s="468">
        <f t="shared" si="291"/>
        <v>21.56</v>
      </c>
      <c r="AI282" s="468">
        <f t="shared" si="291"/>
        <v>0</v>
      </c>
      <c r="AJ282" s="468">
        <f t="shared" si="291"/>
        <v>156.4</v>
      </c>
      <c r="AK282" s="468">
        <f t="shared" si="291"/>
        <v>6</v>
      </c>
      <c r="AL282" s="456"/>
      <c r="AM282" s="468">
        <f t="shared" ref="AL282:BA282" si="292">SUM(AM283:AM308)</f>
        <v>2518.19</v>
      </c>
      <c r="AN282" s="468">
        <f t="shared" si="292"/>
        <v>353.06</v>
      </c>
      <c r="AO282" s="468">
        <f t="shared" si="292"/>
        <v>248.4</v>
      </c>
      <c r="AP282" s="468">
        <f t="shared" si="292"/>
        <v>40</v>
      </c>
      <c r="AQ282" s="468">
        <f t="shared" si="292"/>
        <v>64.66</v>
      </c>
      <c r="AR282" s="468">
        <f t="shared" si="292"/>
        <v>0</v>
      </c>
      <c r="AS282" s="468">
        <f t="shared" si="292"/>
        <v>0</v>
      </c>
      <c r="AT282" s="468">
        <f t="shared" si="292"/>
        <v>0</v>
      </c>
      <c r="AU282" s="468">
        <f t="shared" si="292"/>
        <v>1964.43</v>
      </c>
      <c r="AV282" s="468">
        <f t="shared" si="292"/>
        <v>713.55</v>
      </c>
      <c r="AW282" s="468">
        <f t="shared" si="292"/>
        <v>268.88</v>
      </c>
      <c r="AX282" s="468">
        <f t="shared" si="292"/>
        <v>0</v>
      </c>
      <c r="AY282" s="468">
        <f t="shared" si="292"/>
        <v>982</v>
      </c>
      <c r="AZ282" s="468">
        <f t="shared" si="292"/>
        <v>200.7</v>
      </c>
      <c r="BA282" s="489"/>
      <c r="BB282" s="489"/>
    </row>
    <row r="283" s="425" customFormat="1" ht="56" customHeight="1" spans="1:54">
      <c r="A283" s="459">
        <v>278</v>
      </c>
      <c r="B283" s="460" t="s">
        <v>1135</v>
      </c>
      <c r="C283" s="460" t="s">
        <v>203</v>
      </c>
      <c r="D283" s="461" t="s">
        <v>585</v>
      </c>
      <c r="E283" s="461" t="s">
        <v>1136</v>
      </c>
      <c r="F283" s="463">
        <f t="shared" si="269"/>
        <v>249.22</v>
      </c>
      <c r="G283" s="463">
        <f t="shared" ref="G283:G308" si="293">SUM(H283:M283)</f>
        <v>49.9</v>
      </c>
      <c r="H283" s="460">
        <v>17.6</v>
      </c>
      <c r="I283" s="460">
        <v>14</v>
      </c>
      <c r="J283" s="460">
        <v>18.3</v>
      </c>
      <c r="K283" s="460"/>
      <c r="L283" s="460"/>
      <c r="M283" s="460"/>
      <c r="N283" s="460"/>
      <c r="O283" s="459">
        <f t="shared" si="289"/>
        <v>59.32</v>
      </c>
      <c r="P283" s="460">
        <v>57</v>
      </c>
      <c r="Q283" s="460">
        <v>2.32</v>
      </c>
      <c r="R283" s="460"/>
      <c r="S283" s="460"/>
      <c r="T283" s="460"/>
      <c r="U283" s="463">
        <v>140</v>
      </c>
      <c r="V283" s="460" t="s">
        <v>838</v>
      </c>
      <c r="W283" s="460" t="s">
        <v>1137</v>
      </c>
      <c r="X283" s="463">
        <f t="shared" ref="X283:X308" si="294">Y283+AF283+AK283</f>
        <v>235.18</v>
      </c>
      <c r="Y283" s="463">
        <f t="shared" ref="Y283:Y308" si="295">SUM(Z283:AE283)</f>
        <v>1.42</v>
      </c>
      <c r="Z283" s="460"/>
      <c r="AA283" s="460"/>
      <c r="AB283" s="460">
        <v>1.42</v>
      </c>
      <c r="AC283" s="460"/>
      <c r="AD283" s="460"/>
      <c r="AE283" s="460"/>
      <c r="AF283" s="459">
        <f t="shared" ref="AF283:AF308" si="296">SUM(AG283:AJ283)</f>
        <v>232.26</v>
      </c>
      <c r="AG283" s="460">
        <v>119.97</v>
      </c>
      <c r="AH283" s="460">
        <v>-0.51</v>
      </c>
      <c r="AI283" s="460"/>
      <c r="AJ283" s="460">
        <v>112.8</v>
      </c>
      <c r="AK283" s="460">
        <v>1.5</v>
      </c>
      <c r="AL283" s="460" t="s">
        <v>1138</v>
      </c>
      <c r="AM283" s="463">
        <f t="shared" si="277"/>
        <v>484.4</v>
      </c>
      <c r="AN283" s="463">
        <f t="shared" si="278"/>
        <v>51.32</v>
      </c>
      <c r="AO283" s="460">
        <f t="shared" si="279"/>
        <v>17.6</v>
      </c>
      <c r="AP283" s="460">
        <f t="shared" si="280"/>
        <v>14</v>
      </c>
      <c r="AQ283" s="460">
        <f t="shared" si="281"/>
        <v>19.72</v>
      </c>
      <c r="AR283" s="460">
        <f t="shared" si="282"/>
        <v>0</v>
      </c>
      <c r="AS283" s="460">
        <f t="shared" si="283"/>
        <v>0</v>
      </c>
      <c r="AT283" s="460">
        <f t="shared" si="284"/>
        <v>0</v>
      </c>
      <c r="AU283" s="463">
        <f t="shared" si="285"/>
        <v>291.58</v>
      </c>
      <c r="AV283" s="460">
        <f t="shared" ref="AV283:AV308" si="297">P283+AG283</f>
        <v>176.97</v>
      </c>
      <c r="AW283" s="460">
        <f t="shared" ref="AW283:AW308" si="298">Q283+AH283</f>
        <v>1.81</v>
      </c>
      <c r="AX283" s="460">
        <f t="shared" si="286"/>
        <v>0</v>
      </c>
      <c r="AY283" s="460">
        <f t="shared" si="287"/>
        <v>112.8</v>
      </c>
      <c r="AZ283" s="463">
        <f t="shared" si="288"/>
        <v>141.5</v>
      </c>
      <c r="BA283" s="482"/>
      <c r="BB283" s="482"/>
    </row>
    <row r="284" s="425" customFormat="1" ht="39" customHeight="1" spans="1:54">
      <c r="A284" s="459">
        <v>279</v>
      </c>
      <c r="B284" s="460" t="s">
        <v>1135</v>
      </c>
      <c r="C284" s="460" t="s">
        <v>203</v>
      </c>
      <c r="D284" s="461" t="s">
        <v>587</v>
      </c>
      <c r="E284" s="461" t="s">
        <v>1136</v>
      </c>
      <c r="F284" s="463">
        <f t="shared" si="269"/>
        <v>35.4</v>
      </c>
      <c r="G284" s="463">
        <f t="shared" si="293"/>
        <v>19.4</v>
      </c>
      <c r="H284" s="460">
        <v>9.6</v>
      </c>
      <c r="I284" s="460">
        <v>2</v>
      </c>
      <c r="J284" s="460">
        <v>7.8</v>
      </c>
      <c r="K284" s="460"/>
      <c r="L284" s="460"/>
      <c r="M284" s="460"/>
      <c r="N284" s="460"/>
      <c r="O284" s="459">
        <f t="shared" si="289"/>
        <v>7</v>
      </c>
      <c r="P284" s="460">
        <v>7</v>
      </c>
      <c r="Q284" s="460"/>
      <c r="R284" s="460"/>
      <c r="S284" s="460"/>
      <c r="T284" s="460"/>
      <c r="U284" s="463">
        <v>9</v>
      </c>
      <c r="V284" s="460" t="s">
        <v>838</v>
      </c>
      <c r="W284" s="460" t="s">
        <v>1139</v>
      </c>
      <c r="X284" s="463">
        <f t="shared" si="294"/>
        <v>6.93</v>
      </c>
      <c r="Y284" s="463">
        <f t="shared" si="295"/>
        <v>0</v>
      </c>
      <c r="Z284" s="460"/>
      <c r="AA284" s="460"/>
      <c r="AB284" s="460"/>
      <c r="AC284" s="460"/>
      <c r="AD284" s="460"/>
      <c r="AE284" s="460"/>
      <c r="AF284" s="459">
        <f t="shared" si="296"/>
        <v>6.93</v>
      </c>
      <c r="AG284" s="460">
        <v>6.93</v>
      </c>
      <c r="AH284" s="460"/>
      <c r="AI284" s="460"/>
      <c r="AJ284" s="460"/>
      <c r="AK284" s="460"/>
      <c r="AL284" s="460"/>
      <c r="AM284" s="463">
        <f t="shared" si="277"/>
        <v>42.33</v>
      </c>
      <c r="AN284" s="463">
        <f t="shared" si="278"/>
        <v>19.4</v>
      </c>
      <c r="AO284" s="460">
        <f t="shared" si="279"/>
        <v>9.6</v>
      </c>
      <c r="AP284" s="460">
        <f t="shared" si="280"/>
        <v>2</v>
      </c>
      <c r="AQ284" s="460">
        <f t="shared" si="281"/>
        <v>7.8</v>
      </c>
      <c r="AR284" s="460">
        <f t="shared" si="282"/>
        <v>0</v>
      </c>
      <c r="AS284" s="460">
        <f t="shared" si="283"/>
        <v>0</v>
      </c>
      <c r="AT284" s="460">
        <f t="shared" si="284"/>
        <v>0</v>
      </c>
      <c r="AU284" s="463">
        <f t="shared" si="285"/>
        <v>13.93</v>
      </c>
      <c r="AV284" s="460">
        <f t="shared" si="297"/>
        <v>13.93</v>
      </c>
      <c r="AW284" s="460">
        <f t="shared" si="298"/>
        <v>0</v>
      </c>
      <c r="AX284" s="460">
        <f t="shared" si="286"/>
        <v>0</v>
      </c>
      <c r="AY284" s="460">
        <f t="shared" si="287"/>
        <v>0</v>
      </c>
      <c r="AZ284" s="463">
        <f t="shared" si="288"/>
        <v>9</v>
      </c>
      <c r="BA284" s="482"/>
      <c r="BB284" s="482"/>
    </row>
    <row r="285" s="425" customFormat="1" ht="39" customHeight="1" spans="1:54">
      <c r="A285" s="459">
        <v>280</v>
      </c>
      <c r="B285" s="460" t="s">
        <v>1135</v>
      </c>
      <c r="C285" s="460" t="s">
        <v>206</v>
      </c>
      <c r="D285" s="461" t="s">
        <v>588</v>
      </c>
      <c r="E285" s="461" t="s">
        <v>1140</v>
      </c>
      <c r="F285" s="463">
        <f t="shared" si="269"/>
        <v>71.4</v>
      </c>
      <c r="G285" s="463">
        <f t="shared" si="293"/>
        <v>71.4</v>
      </c>
      <c r="H285" s="460">
        <v>71.4</v>
      </c>
      <c r="I285" s="460"/>
      <c r="J285" s="460"/>
      <c r="K285" s="460"/>
      <c r="L285" s="460"/>
      <c r="M285" s="460"/>
      <c r="N285" s="460"/>
      <c r="O285" s="459">
        <f t="shared" si="289"/>
        <v>0</v>
      </c>
      <c r="P285" s="460"/>
      <c r="Q285" s="460"/>
      <c r="R285" s="460"/>
      <c r="S285" s="460"/>
      <c r="T285" s="460"/>
      <c r="U285" s="463"/>
      <c r="V285" s="460"/>
      <c r="W285" s="460"/>
      <c r="X285" s="463">
        <f t="shared" si="294"/>
        <v>0</v>
      </c>
      <c r="Y285" s="463">
        <f t="shared" si="295"/>
        <v>0</v>
      </c>
      <c r="Z285" s="460"/>
      <c r="AA285" s="460"/>
      <c r="AB285" s="460"/>
      <c r="AC285" s="460"/>
      <c r="AD285" s="460"/>
      <c r="AE285" s="460"/>
      <c r="AF285" s="459">
        <f t="shared" si="296"/>
        <v>0</v>
      </c>
      <c r="AG285" s="460"/>
      <c r="AH285" s="460"/>
      <c r="AI285" s="460"/>
      <c r="AJ285" s="460"/>
      <c r="AK285" s="460"/>
      <c r="AL285" s="460"/>
      <c r="AM285" s="463">
        <f t="shared" si="277"/>
        <v>71.4</v>
      </c>
      <c r="AN285" s="463">
        <f t="shared" si="278"/>
        <v>71.4</v>
      </c>
      <c r="AO285" s="460">
        <f t="shared" si="279"/>
        <v>71.4</v>
      </c>
      <c r="AP285" s="460">
        <f t="shared" si="280"/>
        <v>0</v>
      </c>
      <c r="AQ285" s="460">
        <f t="shared" si="281"/>
        <v>0</v>
      </c>
      <c r="AR285" s="460">
        <f t="shared" si="282"/>
        <v>0</v>
      </c>
      <c r="AS285" s="460">
        <f t="shared" si="283"/>
        <v>0</v>
      </c>
      <c r="AT285" s="460">
        <f t="shared" si="284"/>
        <v>0</v>
      </c>
      <c r="AU285" s="463">
        <f t="shared" si="285"/>
        <v>0</v>
      </c>
      <c r="AV285" s="460">
        <f t="shared" si="297"/>
        <v>0</v>
      </c>
      <c r="AW285" s="460">
        <f t="shared" si="298"/>
        <v>0</v>
      </c>
      <c r="AX285" s="460">
        <f t="shared" si="286"/>
        <v>0</v>
      </c>
      <c r="AY285" s="460">
        <f t="shared" si="287"/>
        <v>0</v>
      </c>
      <c r="AZ285" s="463">
        <f t="shared" si="288"/>
        <v>0</v>
      </c>
      <c r="BA285" s="482"/>
      <c r="BB285" s="482"/>
    </row>
    <row r="286" s="425" customFormat="1" ht="39" customHeight="1" spans="1:54">
      <c r="A286" s="459">
        <v>281</v>
      </c>
      <c r="B286" s="460" t="s">
        <v>1135</v>
      </c>
      <c r="C286" s="460" t="s">
        <v>203</v>
      </c>
      <c r="D286" s="461" t="s">
        <v>599</v>
      </c>
      <c r="E286" s="461" t="s">
        <v>1141</v>
      </c>
      <c r="F286" s="463">
        <f t="shared" si="269"/>
        <v>270.58</v>
      </c>
      <c r="G286" s="463">
        <f t="shared" si="293"/>
        <v>19.88</v>
      </c>
      <c r="H286" s="460">
        <v>5.6</v>
      </c>
      <c r="I286" s="460">
        <v>8</v>
      </c>
      <c r="J286" s="460">
        <v>6.28</v>
      </c>
      <c r="K286" s="460"/>
      <c r="L286" s="460"/>
      <c r="M286" s="460"/>
      <c r="N286" s="460"/>
      <c r="O286" s="459">
        <f t="shared" si="289"/>
        <v>205</v>
      </c>
      <c r="P286" s="460">
        <v>122</v>
      </c>
      <c r="Q286" s="460">
        <v>83</v>
      </c>
      <c r="R286" s="460"/>
      <c r="S286" s="460"/>
      <c r="T286" s="460"/>
      <c r="U286" s="463">
        <v>45.7</v>
      </c>
      <c r="V286" s="460" t="s">
        <v>838</v>
      </c>
      <c r="W286" s="460" t="s">
        <v>1142</v>
      </c>
      <c r="X286" s="463">
        <f t="shared" si="294"/>
        <v>365.03</v>
      </c>
      <c r="Y286" s="463">
        <f t="shared" si="295"/>
        <v>0</v>
      </c>
      <c r="Z286" s="460"/>
      <c r="AA286" s="460"/>
      <c r="AB286" s="460"/>
      <c r="AC286" s="460"/>
      <c r="AD286" s="460"/>
      <c r="AE286" s="460"/>
      <c r="AF286" s="459">
        <f t="shared" si="296"/>
        <v>363.53</v>
      </c>
      <c r="AG286" s="460">
        <f>353.64+8</f>
        <v>361.64</v>
      </c>
      <c r="AH286" s="460">
        <v>1.89</v>
      </c>
      <c r="AI286" s="460"/>
      <c r="AJ286" s="460"/>
      <c r="AK286" s="460">
        <v>1.5</v>
      </c>
      <c r="AL286" s="460" t="s">
        <v>846</v>
      </c>
      <c r="AM286" s="463">
        <f t="shared" si="277"/>
        <v>635.61</v>
      </c>
      <c r="AN286" s="463">
        <f t="shared" si="278"/>
        <v>19.88</v>
      </c>
      <c r="AO286" s="460">
        <f t="shared" si="279"/>
        <v>5.6</v>
      </c>
      <c r="AP286" s="460">
        <f t="shared" si="280"/>
        <v>8</v>
      </c>
      <c r="AQ286" s="460">
        <f t="shared" si="281"/>
        <v>6.28</v>
      </c>
      <c r="AR286" s="460">
        <f t="shared" si="282"/>
        <v>0</v>
      </c>
      <c r="AS286" s="460">
        <f t="shared" si="283"/>
        <v>0</v>
      </c>
      <c r="AT286" s="460">
        <f t="shared" si="284"/>
        <v>0</v>
      </c>
      <c r="AU286" s="463">
        <f t="shared" si="285"/>
        <v>568.53</v>
      </c>
      <c r="AV286" s="460">
        <f t="shared" si="297"/>
        <v>483.64</v>
      </c>
      <c r="AW286" s="460">
        <f t="shared" si="298"/>
        <v>84.89</v>
      </c>
      <c r="AX286" s="460">
        <f t="shared" si="286"/>
        <v>0</v>
      </c>
      <c r="AY286" s="460">
        <f t="shared" si="287"/>
        <v>0</v>
      </c>
      <c r="AZ286" s="463">
        <f t="shared" si="288"/>
        <v>47.2</v>
      </c>
      <c r="BA286" s="482"/>
      <c r="BB286" s="482"/>
    </row>
    <row r="287" s="425" customFormat="1" ht="108" spans="1:54">
      <c r="A287" s="459">
        <v>282</v>
      </c>
      <c r="B287" s="460" t="s">
        <v>1135</v>
      </c>
      <c r="C287" s="460" t="s">
        <v>206</v>
      </c>
      <c r="D287" s="461" t="s">
        <v>603</v>
      </c>
      <c r="E287" s="461" t="s">
        <v>1143</v>
      </c>
      <c r="F287" s="463">
        <f t="shared" si="269"/>
        <v>5</v>
      </c>
      <c r="G287" s="463">
        <f t="shared" si="293"/>
        <v>5</v>
      </c>
      <c r="H287" s="460">
        <v>3</v>
      </c>
      <c r="I287" s="460">
        <v>2</v>
      </c>
      <c r="J287" s="460"/>
      <c r="K287" s="460"/>
      <c r="L287" s="460"/>
      <c r="M287" s="460"/>
      <c r="N287" s="460"/>
      <c r="O287" s="459">
        <f t="shared" si="289"/>
        <v>0</v>
      </c>
      <c r="P287" s="460"/>
      <c r="Q287" s="460"/>
      <c r="R287" s="460"/>
      <c r="S287" s="460"/>
      <c r="T287" s="460"/>
      <c r="U287" s="463"/>
      <c r="V287" s="460"/>
      <c r="W287" s="460"/>
      <c r="X287" s="463">
        <f t="shared" si="294"/>
        <v>43.6</v>
      </c>
      <c r="Y287" s="463">
        <f t="shared" si="295"/>
        <v>0</v>
      </c>
      <c r="Z287" s="460"/>
      <c r="AA287" s="460"/>
      <c r="AB287" s="460"/>
      <c r="AC287" s="460"/>
      <c r="AD287" s="460"/>
      <c r="AE287" s="460"/>
      <c r="AF287" s="459">
        <f t="shared" si="296"/>
        <v>43.6</v>
      </c>
      <c r="AG287" s="460"/>
      <c r="AH287" s="460"/>
      <c r="AI287" s="460"/>
      <c r="AJ287" s="460">
        <v>43.6</v>
      </c>
      <c r="AK287" s="460"/>
      <c r="AL287" s="460" t="s">
        <v>1144</v>
      </c>
      <c r="AM287" s="463">
        <f t="shared" si="277"/>
        <v>48.6</v>
      </c>
      <c r="AN287" s="463">
        <f t="shared" si="278"/>
        <v>5</v>
      </c>
      <c r="AO287" s="460">
        <f t="shared" si="279"/>
        <v>3</v>
      </c>
      <c r="AP287" s="460">
        <f t="shared" si="280"/>
        <v>2</v>
      </c>
      <c r="AQ287" s="460">
        <f t="shared" si="281"/>
        <v>0</v>
      </c>
      <c r="AR287" s="460">
        <f t="shared" si="282"/>
        <v>0</v>
      </c>
      <c r="AS287" s="460">
        <f t="shared" si="283"/>
        <v>0</v>
      </c>
      <c r="AT287" s="460">
        <f t="shared" si="284"/>
        <v>0</v>
      </c>
      <c r="AU287" s="463">
        <f t="shared" si="285"/>
        <v>43.6</v>
      </c>
      <c r="AV287" s="460">
        <f t="shared" si="297"/>
        <v>0</v>
      </c>
      <c r="AW287" s="460">
        <f t="shared" si="298"/>
        <v>0</v>
      </c>
      <c r="AX287" s="460">
        <f t="shared" si="286"/>
        <v>0</v>
      </c>
      <c r="AY287" s="460">
        <f t="shared" si="287"/>
        <v>43.6</v>
      </c>
      <c r="AZ287" s="463">
        <f t="shared" si="288"/>
        <v>0</v>
      </c>
      <c r="BA287" s="482"/>
      <c r="BB287" s="482"/>
    </row>
    <row r="288" s="425" customFormat="1" ht="39" customHeight="1" spans="1:54">
      <c r="A288" s="459">
        <v>283</v>
      </c>
      <c r="B288" s="460" t="s">
        <v>1135</v>
      </c>
      <c r="C288" s="460" t="s">
        <v>206</v>
      </c>
      <c r="D288" s="461" t="s">
        <v>601</v>
      </c>
      <c r="E288" s="461" t="s">
        <v>1145</v>
      </c>
      <c r="F288" s="463">
        <f t="shared" ref="F288:F293" si="299">G288+O288+U288</f>
        <v>32.4</v>
      </c>
      <c r="G288" s="463">
        <f t="shared" si="293"/>
        <v>32.4</v>
      </c>
      <c r="H288" s="460">
        <v>32.4</v>
      </c>
      <c r="I288" s="460"/>
      <c r="J288" s="460"/>
      <c r="K288" s="460"/>
      <c r="L288" s="460"/>
      <c r="M288" s="460"/>
      <c r="N288" s="460"/>
      <c r="O288" s="459">
        <f t="shared" si="289"/>
        <v>0</v>
      </c>
      <c r="P288" s="460"/>
      <c r="Q288" s="460"/>
      <c r="R288" s="460"/>
      <c r="S288" s="460"/>
      <c r="T288" s="460"/>
      <c r="U288" s="463"/>
      <c r="V288" s="460"/>
      <c r="W288" s="460"/>
      <c r="X288" s="463">
        <f t="shared" si="294"/>
        <v>0</v>
      </c>
      <c r="Y288" s="463">
        <f t="shared" si="295"/>
        <v>0</v>
      </c>
      <c r="Z288" s="460"/>
      <c r="AA288" s="460"/>
      <c r="AB288" s="460"/>
      <c r="AC288" s="460"/>
      <c r="AD288" s="460"/>
      <c r="AE288" s="460"/>
      <c r="AF288" s="459">
        <f t="shared" si="296"/>
        <v>0</v>
      </c>
      <c r="AG288" s="460"/>
      <c r="AH288" s="460"/>
      <c r="AI288" s="460"/>
      <c r="AJ288" s="460"/>
      <c r="AK288" s="460"/>
      <c r="AL288" s="460"/>
      <c r="AM288" s="463">
        <f t="shared" si="277"/>
        <v>32.4</v>
      </c>
      <c r="AN288" s="463">
        <f t="shared" si="278"/>
        <v>32.4</v>
      </c>
      <c r="AO288" s="460">
        <f t="shared" si="279"/>
        <v>32.4</v>
      </c>
      <c r="AP288" s="460">
        <f t="shared" si="280"/>
        <v>0</v>
      </c>
      <c r="AQ288" s="460">
        <f t="shared" si="281"/>
        <v>0</v>
      </c>
      <c r="AR288" s="460">
        <f t="shared" si="282"/>
        <v>0</v>
      </c>
      <c r="AS288" s="460">
        <f t="shared" si="283"/>
        <v>0</v>
      </c>
      <c r="AT288" s="460">
        <f t="shared" si="284"/>
        <v>0</v>
      </c>
      <c r="AU288" s="463">
        <f t="shared" si="285"/>
        <v>0</v>
      </c>
      <c r="AV288" s="460">
        <f t="shared" si="297"/>
        <v>0</v>
      </c>
      <c r="AW288" s="460">
        <f t="shared" si="298"/>
        <v>0</v>
      </c>
      <c r="AX288" s="460">
        <f t="shared" si="286"/>
        <v>0</v>
      </c>
      <c r="AY288" s="460">
        <f t="shared" si="287"/>
        <v>0</v>
      </c>
      <c r="AZ288" s="463">
        <f t="shared" si="288"/>
        <v>0</v>
      </c>
      <c r="BA288" s="482"/>
      <c r="BB288" s="482"/>
    </row>
    <row r="289" s="425" customFormat="1" ht="39" customHeight="1" spans="1:54">
      <c r="A289" s="459">
        <v>284</v>
      </c>
      <c r="B289" s="460" t="s">
        <v>1117</v>
      </c>
      <c r="C289" s="460" t="s">
        <v>203</v>
      </c>
      <c r="D289" s="461" t="s">
        <v>591</v>
      </c>
      <c r="E289" s="461" t="s">
        <v>1146</v>
      </c>
      <c r="F289" s="463">
        <f t="shared" si="299"/>
        <v>215.98</v>
      </c>
      <c r="G289" s="463">
        <f t="shared" si="293"/>
        <v>38.98</v>
      </c>
      <c r="H289" s="460">
        <v>15.2</v>
      </c>
      <c r="I289" s="460">
        <v>10</v>
      </c>
      <c r="J289" s="460">
        <v>13.78</v>
      </c>
      <c r="K289" s="460"/>
      <c r="L289" s="460"/>
      <c r="M289" s="460"/>
      <c r="N289" s="460"/>
      <c r="O289" s="459">
        <f t="shared" si="289"/>
        <v>177</v>
      </c>
      <c r="P289" s="460">
        <v>15</v>
      </c>
      <c r="Q289" s="460">
        <v>162</v>
      </c>
      <c r="R289" s="460"/>
      <c r="S289" s="460"/>
      <c r="T289" s="460"/>
      <c r="U289" s="463"/>
      <c r="V289" s="460"/>
      <c r="W289" s="460"/>
      <c r="X289" s="463">
        <f t="shared" si="294"/>
        <v>33.13</v>
      </c>
      <c r="Y289" s="463">
        <f t="shared" si="295"/>
        <v>-2.48</v>
      </c>
      <c r="Z289" s="460"/>
      <c r="AA289" s="460"/>
      <c r="AB289" s="460">
        <v>-2.48</v>
      </c>
      <c r="AC289" s="460"/>
      <c r="AD289" s="460"/>
      <c r="AE289" s="460"/>
      <c r="AF289" s="459">
        <f t="shared" si="296"/>
        <v>34.11</v>
      </c>
      <c r="AG289" s="460">
        <v>14.58</v>
      </c>
      <c r="AH289" s="460">
        <v>19.53</v>
      </c>
      <c r="AI289" s="460"/>
      <c r="AJ289" s="460"/>
      <c r="AK289" s="460">
        <v>1.5</v>
      </c>
      <c r="AL289" s="460" t="s">
        <v>846</v>
      </c>
      <c r="AM289" s="463">
        <f t="shared" si="277"/>
        <v>249.11</v>
      </c>
      <c r="AN289" s="463">
        <f t="shared" si="278"/>
        <v>36.5</v>
      </c>
      <c r="AO289" s="460">
        <f t="shared" si="279"/>
        <v>15.2</v>
      </c>
      <c r="AP289" s="460">
        <f t="shared" si="280"/>
        <v>10</v>
      </c>
      <c r="AQ289" s="460">
        <f t="shared" si="281"/>
        <v>11.3</v>
      </c>
      <c r="AR289" s="460">
        <f t="shared" si="282"/>
        <v>0</v>
      </c>
      <c r="AS289" s="460">
        <f t="shared" si="283"/>
        <v>0</v>
      </c>
      <c r="AT289" s="460">
        <f t="shared" si="284"/>
        <v>0</v>
      </c>
      <c r="AU289" s="463">
        <f t="shared" si="285"/>
        <v>211.11</v>
      </c>
      <c r="AV289" s="460">
        <f t="shared" si="297"/>
        <v>29.58</v>
      </c>
      <c r="AW289" s="460">
        <f t="shared" si="298"/>
        <v>181.53</v>
      </c>
      <c r="AX289" s="460">
        <f t="shared" si="286"/>
        <v>0</v>
      </c>
      <c r="AY289" s="460">
        <f t="shared" si="287"/>
        <v>0</v>
      </c>
      <c r="AZ289" s="463">
        <f t="shared" si="288"/>
        <v>1.5</v>
      </c>
      <c r="BA289" s="482"/>
      <c r="BB289" s="482"/>
    </row>
    <row r="290" s="425" customFormat="1" ht="39" customHeight="1" spans="1:54">
      <c r="A290" s="459">
        <v>285</v>
      </c>
      <c r="B290" s="460" t="s">
        <v>1117</v>
      </c>
      <c r="C290" s="460" t="s">
        <v>206</v>
      </c>
      <c r="D290" s="461" t="s">
        <v>594</v>
      </c>
      <c r="E290" s="461" t="s">
        <v>1146</v>
      </c>
      <c r="F290" s="463">
        <f t="shared" si="299"/>
        <v>49.66</v>
      </c>
      <c r="G290" s="463">
        <f t="shared" si="293"/>
        <v>44.66</v>
      </c>
      <c r="H290" s="460">
        <v>22.2</v>
      </c>
      <c r="I290" s="460">
        <v>4</v>
      </c>
      <c r="J290" s="460">
        <v>18.46</v>
      </c>
      <c r="K290" s="460"/>
      <c r="L290" s="460"/>
      <c r="M290" s="460"/>
      <c r="N290" s="460"/>
      <c r="O290" s="459">
        <f t="shared" si="289"/>
        <v>5</v>
      </c>
      <c r="P290" s="460">
        <v>5</v>
      </c>
      <c r="Q290" s="460"/>
      <c r="R290" s="460"/>
      <c r="S290" s="460"/>
      <c r="T290" s="460"/>
      <c r="U290" s="463"/>
      <c r="V290" s="460"/>
      <c r="W290" s="460"/>
      <c r="X290" s="463">
        <f t="shared" si="294"/>
        <v>7.06</v>
      </c>
      <c r="Y290" s="463">
        <f t="shared" si="295"/>
        <v>1.1</v>
      </c>
      <c r="Z290" s="460"/>
      <c r="AA290" s="460"/>
      <c r="AB290" s="460">
        <v>1.1</v>
      </c>
      <c r="AC290" s="460"/>
      <c r="AD290" s="460"/>
      <c r="AE290" s="460"/>
      <c r="AF290" s="459">
        <f t="shared" si="296"/>
        <v>4.46</v>
      </c>
      <c r="AG290" s="460">
        <v>4.43</v>
      </c>
      <c r="AH290" s="460">
        <v>0.03</v>
      </c>
      <c r="AI290" s="460"/>
      <c r="AJ290" s="460"/>
      <c r="AK290" s="460">
        <v>1.5</v>
      </c>
      <c r="AL290" s="460" t="s">
        <v>846</v>
      </c>
      <c r="AM290" s="463">
        <f t="shared" si="277"/>
        <v>56.72</v>
      </c>
      <c r="AN290" s="463">
        <f t="shared" si="278"/>
        <v>45.76</v>
      </c>
      <c r="AO290" s="460">
        <f t="shared" si="279"/>
        <v>22.2</v>
      </c>
      <c r="AP290" s="460">
        <f t="shared" si="280"/>
        <v>4</v>
      </c>
      <c r="AQ290" s="460">
        <f t="shared" si="281"/>
        <v>19.56</v>
      </c>
      <c r="AR290" s="460">
        <f t="shared" si="282"/>
        <v>0</v>
      </c>
      <c r="AS290" s="460">
        <f t="shared" si="283"/>
        <v>0</v>
      </c>
      <c r="AT290" s="460">
        <f t="shared" si="284"/>
        <v>0</v>
      </c>
      <c r="AU290" s="463">
        <f t="shared" si="285"/>
        <v>9.46</v>
      </c>
      <c r="AV290" s="460">
        <f t="shared" si="297"/>
        <v>9.43</v>
      </c>
      <c r="AW290" s="460">
        <f t="shared" si="298"/>
        <v>0.03</v>
      </c>
      <c r="AX290" s="460">
        <f t="shared" si="286"/>
        <v>0</v>
      </c>
      <c r="AY290" s="460">
        <f t="shared" si="287"/>
        <v>0</v>
      </c>
      <c r="AZ290" s="463">
        <f t="shared" si="288"/>
        <v>1.5</v>
      </c>
      <c r="BA290" s="482"/>
      <c r="BB290" s="482"/>
    </row>
    <row r="291" s="425" customFormat="1" ht="39" customHeight="1" spans="1:54">
      <c r="A291" s="459">
        <v>286</v>
      </c>
      <c r="B291" s="460" t="s">
        <v>1117</v>
      </c>
      <c r="C291" s="460" t="s">
        <v>206</v>
      </c>
      <c r="D291" s="461" t="s">
        <v>595</v>
      </c>
      <c r="E291" s="461" t="s">
        <v>1147</v>
      </c>
      <c r="F291" s="463">
        <f t="shared" si="299"/>
        <v>71.4</v>
      </c>
      <c r="G291" s="463">
        <f t="shared" si="293"/>
        <v>71.4</v>
      </c>
      <c r="H291" s="460">
        <v>71.4</v>
      </c>
      <c r="I291" s="460"/>
      <c r="J291" s="460"/>
      <c r="K291" s="460"/>
      <c r="L291" s="460"/>
      <c r="M291" s="460"/>
      <c r="N291" s="460"/>
      <c r="O291" s="459">
        <f t="shared" si="289"/>
        <v>0</v>
      </c>
      <c r="P291" s="460"/>
      <c r="Q291" s="460"/>
      <c r="R291" s="460"/>
      <c r="S291" s="460"/>
      <c r="T291" s="460"/>
      <c r="U291" s="463"/>
      <c r="V291" s="460"/>
      <c r="W291" s="460"/>
      <c r="X291" s="463">
        <f t="shared" si="294"/>
        <v>0</v>
      </c>
      <c r="Y291" s="463">
        <f t="shared" si="295"/>
        <v>0</v>
      </c>
      <c r="Z291" s="460"/>
      <c r="AA291" s="460"/>
      <c r="AB291" s="460"/>
      <c r="AC291" s="460"/>
      <c r="AD291" s="460"/>
      <c r="AE291" s="460"/>
      <c r="AF291" s="459">
        <f t="shared" si="296"/>
        <v>0</v>
      </c>
      <c r="AG291" s="460"/>
      <c r="AH291" s="460"/>
      <c r="AI291" s="460"/>
      <c r="AJ291" s="460"/>
      <c r="AK291" s="460"/>
      <c r="AL291" s="460"/>
      <c r="AM291" s="463">
        <f t="shared" si="277"/>
        <v>71.4</v>
      </c>
      <c r="AN291" s="463">
        <f t="shared" si="278"/>
        <v>71.4</v>
      </c>
      <c r="AO291" s="460">
        <f t="shared" si="279"/>
        <v>71.4</v>
      </c>
      <c r="AP291" s="460">
        <f t="shared" si="280"/>
        <v>0</v>
      </c>
      <c r="AQ291" s="460">
        <f t="shared" si="281"/>
        <v>0</v>
      </c>
      <c r="AR291" s="460">
        <f t="shared" si="282"/>
        <v>0</v>
      </c>
      <c r="AS291" s="460">
        <f t="shared" si="283"/>
        <v>0</v>
      </c>
      <c r="AT291" s="460">
        <f t="shared" si="284"/>
        <v>0</v>
      </c>
      <c r="AU291" s="463">
        <f t="shared" si="285"/>
        <v>0</v>
      </c>
      <c r="AV291" s="460">
        <f t="shared" si="297"/>
        <v>0</v>
      </c>
      <c r="AW291" s="460">
        <f t="shared" si="298"/>
        <v>0</v>
      </c>
      <c r="AX291" s="460">
        <f t="shared" si="286"/>
        <v>0</v>
      </c>
      <c r="AY291" s="460">
        <f t="shared" si="287"/>
        <v>0</v>
      </c>
      <c r="AZ291" s="463">
        <f t="shared" si="288"/>
        <v>0</v>
      </c>
      <c r="BA291" s="482"/>
      <c r="BB291" s="482"/>
    </row>
    <row r="292" s="425" customFormat="1" ht="39" customHeight="1" spans="1:54">
      <c r="A292" s="459">
        <v>287</v>
      </c>
      <c r="B292" s="460" t="s">
        <v>856</v>
      </c>
      <c r="C292" s="460" t="s">
        <v>203</v>
      </c>
      <c r="D292" s="461" t="s">
        <v>227</v>
      </c>
      <c r="E292" s="461" t="s">
        <v>1148</v>
      </c>
      <c r="F292" s="463">
        <f t="shared" si="299"/>
        <v>240</v>
      </c>
      <c r="G292" s="463">
        <f t="shared" si="293"/>
        <v>0</v>
      </c>
      <c r="H292" s="460"/>
      <c r="I292" s="460"/>
      <c r="J292" s="460"/>
      <c r="K292" s="460"/>
      <c r="L292" s="460"/>
      <c r="M292" s="460"/>
      <c r="N292" s="460"/>
      <c r="O292" s="459">
        <f t="shared" si="289"/>
        <v>240</v>
      </c>
      <c r="P292" s="460"/>
      <c r="Q292" s="460"/>
      <c r="R292" s="460"/>
      <c r="S292" s="460">
        <f>240</f>
        <v>240</v>
      </c>
      <c r="T292" s="460" t="s">
        <v>1149</v>
      </c>
      <c r="U292" s="463"/>
      <c r="V292" s="460"/>
      <c r="W292" s="460"/>
      <c r="X292" s="463">
        <f t="shared" si="294"/>
        <v>0</v>
      </c>
      <c r="Y292" s="463">
        <f t="shared" si="295"/>
        <v>0</v>
      </c>
      <c r="Z292" s="460"/>
      <c r="AA292" s="460"/>
      <c r="AB292" s="460"/>
      <c r="AC292" s="460"/>
      <c r="AD292" s="460"/>
      <c r="AE292" s="460"/>
      <c r="AF292" s="459">
        <f t="shared" si="296"/>
        <v>0</v>
      </c>
      <c r="AG292" s="460"/>
      <c r="AH292" s="460"/>
      <c r="AI292" s="460"/>
      <c r="AJ292" s="460"/>
      <c r="AK292" s="460"/>
      <c r="AL292" s="460"/>
      <c r="AM292" s="463">
        <f t="shared" si="277"/>
        <v>240</v>
      </c>
      <c r="AN292" s="463">
        <f t="shared" si="278"/>
        <v>0</v>
      </c>
      <c r="AO292" s="460">
        <f t="shared" si="279"/>
        <v>0</v>
      </c>
      <c r="AP292" s="460">
        <f t="shared" si="280"/>
        <v>0</v>
      </c>
      <c r="AQ292" s="460">
        <f t="shared" si="281"/>
        <v>0</v>
      </c>
      <c r="AR292" s="460">
        <f t="shared" si="282"/>
        <v>0</v>
      </c>
      <c r="AS292" s="460">
        <f t="shared" si="283"/>
        <v>0</v>
      </c>
      <c r="AT292" s="460">
        <f t="shared" si="284"/>
        <v>0</v>
      </c>
      <c r="AU292" s="463">
        <f t="shared" si="285"/>
        <v>240</v>
      </c>
      <c r="AV292" s="460">
        <f t="shared" si="297"/>
        <v>0</v>
      </c>
      <c r="AW292" s="460">
        <f t="shared" si="298"/>
        <v>0</v>
      </c>
      <c r="AX292" s="460">
        <f t="shared" si="286"/>
        <v>0</v>
      </c>
      <c r="AY292" s="460">
        <f t="shared" si="287"/>
        <v>240</v>
      </c>
      <c r="AZ292" s="463">
        <f t="shared" si="288"/>
        <v>0</v>
      </c>
      <c r="BA292" s="482"/>
      <c r="BB292" s="482"/>
    </row>
    <row r="293" s="425" customFormat="1" ht="39" customHeight="1" spans="1:54">
      <c r="A293" s="459">
        <v>288</v>
      </c>
      <c r="B293" s="460" t="s">
        <v>856</v>
      </c>
      <c r="C293" s="460" t="s">
        <v>203</v>
      </c>
      <c r="D293" s="461" t="s">
        <v>229</v>
      </c>
      <c r="E293" s="461" t="s">
        <v>1148</v>
      </c>
      <c r="F293" s="463">
        <f t="shared" si="299"/>
        <v>99.6</v>
      </c>
      <c r="G293" s="463">
        <f t="shared" si="293"/>
        <v>0</v>
      </c>
      <c r="H293" s="460"/>
      <c r="I293" s="460"/>
      <c r="J293" s="460"/>
      <c r="K293" s="460"/>
      <c r="L293" s="460"/>
      <c r="M293" s="460"/>
      <c r="N293" s="460"/>
      <c r="O293" s="459">
        <f t="shared" si="289"/>
        <v>99.6</v>
      </c>
      <c r="P293" s="460"/>
      <c r="Q293" s="460"/>
      <c r="R293" s="460"/>
      <c r="S293" s="496">
        <f>39.6+60</f>
        <v>99.6</v>
      </c>
      <c r="T293" s="460" t="s">
        <v>1150</v>
      </c>
      <c r="U293" s="463"/>
      <c r="V293" s="460"/>
      <c r="W293" s="460"/>
      <c r="X293" s="463">
        <f t="shared" si="294"/>
        <v>0</v>
      </c>
      <c r="Y293" s="463">
        <f t="shared" si="295"/>
        <v>0</v>
      </c>
      <c r="Z293" s="460"/>
      <c r="AA293" s="460"/>
      <c r="AB293" s="460"/>
      <c r="AC293" s="460"/>
      <c r="AD293" s="460"/>
      <c r="AE293" s="460"/>
      <c r="AF293" s="459">
        <f t="shared" si="296"/>
        <v>0</v>
      </c>
      <c r="AG293" s="460"/>
      <c r="AH293" s="460"/>
      <c r="AI293" s="460"/>
      <c r="AJ293" s="460"/>
      <c r="AK293" s="460"/>
      <c r="AL293" s="460"/>
      <c r="AM293" s="463">
        <f t="shared" si="277"/>
        <v>99.6</v>
      </c>
      <c r="AN293" s="463">
        <f t="shared" si="278"/>
        <v>0</v>
      </c>
      <c r="AO293" s="460">
        <f t="shared" si="279"/>
        <v>0</v>
      </c>
      <c r="AP293" s="460">
        <f t="shared" si="280"/>
        <v>0</v>
      </c>
      <c r="AQ293" s="460">
        <f t="shared" si="281"/>
        <v>0</v>
      </c>
      <c r="AR293" s="460">
        <f t="shared" si="282"/>
        <v>0</v>
      </c>
      <c r="AS293" s="460">
        <f t="shared" si="283"/>
        <v>0</v>
      </c>
      <c r="AT293" s="460">
        <f t="shared" si="284"/>
        <v>0</v>
      </c>
      <c r="AU293" s="463">
        <f t="shared" si="285"/>
        <v>99.6</v>
      </c>
      <c r="AV293" s="460">
        <f t="shared" si="297"/>
        <v>0</v>
      </c>
      <c r="AW293" s="460">
        <f t="shared" si="298"/>
        <v>0</v>
      </c>
      <c r="AX293" s="460">
        <f t="shared" si="286"/>
        <v>0</v>
      </c>
      <c r="AY293" s="460">
        <f t="shared" si="287"/>
        <v>99.6</v>
      </c>
      <c r="AZ293" s="463">
        <f t="shared" si="288"/>
        <v>0</v>
      </c>
      <c r="BA293" s="482"/>
      <c r="BB293" s="482"/>
    </row>
    <row r="294" s="425" customFormat="1" ht="39" customHeight="1" spans="1:54">
      <c r="A294" s="459">
        <v>289</v>
      </c>
      <c r="B294" s="460" t="s">
        <v>856</v>
      </c>
      <c r="C294" s="460" t="s">
        <v>203</v>
      </c>
      <c r="D294" s="461" t="s">
        <v>231</v>
      </c>
      <c r="E294" s="461" t="s">
        <v>1148</v>
      </c>
      <c r="F294" s="463">
        <f t="shared" ref="F294:F308" si="300">G294+O294+U294</f>
        <v>15.7</v>
      </c>
      <c r="G294" s="463">
        <f t="shared" si="293"/>
        <v>0</v>
      </c>
      <c r="H294" s="460"/>
      <c r="I294" s="460"/>
      <c r="J294" s="460"/>
      <c r="K294" s="460"/>
      <c r="L294" s="460"/>
      <c r="M294" s="460"/>
      <c r="N294" s="460"/>
      <c r="O294" s="459">
        <f t="shared" si="289"/>
        <v>15.7</v>
      </c>
      <c r="P294" s="460"/>
      <c r="Q294" s="460"/>
      <c r="R294" s="460"/>
      <c r="S294" s="496">
        <v>15.7</v>
      </c>
      <c r="T294" s="460" t="s">
        <v>1151</v>
      </c>
      <c r="U294" s="463"/>
      <c r="V294" s="460"/>
      <c r="W294" s="460"/>
      <c r="X294" s="463">
        <f t="shared" si="294"/>
        <v>0</v>
      </c>
      <c r="Y294" s="463">
        <f t="shared" si="295"/>
        <v>0</v>
      </c>
      <c r="Z294" s="460"/>
      <c r="AA294" s="460"/>
      <c r="AB294" s="460"/>
      <c r="AC294" s="460"/>
      <c r="AD294" s="460"/>
      <c r="AE294" s="460"/>
      <c r="AF294" s="459">
        <f t="shared" si="296"/>
        <v>0</v>
      </c>
      <c r="AG294" s="460"/>
      <c r="AH294" s="460"/>
      <c r="AI294" s="460"/>
      <c r="AJ294" s="460"/>
      <c r="AK294" s="460"/>
      <c r="AL294" s="460"/>
      <c r="AM294" s="463">
        <f t="shared" si="277"/>
        <v>15.7</v>
      </c>
      <c r="AN294" s="463">
        <f t="shared" si="278"/>
        <v>0</v>
      </c>
      <c r="AO294" s="460">
        <f t="shared" si="279"/>
        <v>0</v>
      </c>
      <c r="AP294" s="460">
        <f t="shared" si="280"/>
        <v>0</v>
      </c>
      <c r="AQ294" s="460">
        <f t="shared" si="281"/>
        <v>0</v>
      </c>
      <c r="AR294" s="460">
        <f t="shared" si="282"/>
        <v>0</v>
      </c>
      <c r="AS294" s="460">
        <f t="shared" si="283"/>
        <v>0</v>
      </c>
      <c r="AT294" s="460">
        <f t="shared" si="284"/>
        <v>0</v>
      </c>
      <c r="AU294" s="463">
        <f t="shared" si="285"/>
        <v>15.7</v>
      </c>
      <c r="AV294" s="460">
        <f t="shared" si="297"/>
        <v>0</v>
      </c>
      <c r="AW294" s="460">
        <f t="shared" si="298"/>
        <v>0</v>
      </c>
      <c r="AX294" s="460">
        <f t="shared" si="286"/>
        <v>0</v>
      </c>
      <c r="AY294" s="460">
        <f t="shared" si="287"/>
        <v>15.7</v>
      </c>
      <c r="AZ294" s="463">
        <f t="shared" si="288"/>
        <v>0</v>
      </c>
      <c r="BA294" s="482"/>
      <c r="BB294" s="482"/>
    </row>
    <row r="295" s="425" customFormat="1" ht="39" customHeight="1" spans="1:54">
      <c r="A295" s="459">
        <v>290</v>
      </c>
      <c r="B295" s="460" t="s">
        <v>856</v>
      </c>
      <c r="C295" s="460" t="s">
        <v>203</v>
      </c>
      <c r="D295" s="461" t="s">
        <v>233</v>
      </c>
      <c r="E295" s="461" t="s">
        <v>1148</v>
      </c>
      <c r="F295" s="463">
        <f t="shared" si="300"/>
        <v>42.6</v>
      </c>
      <c r="G295" s="463">
        <f t="shared" si="293"/>
        <v>0</v>
      </c>
      <c r="H295" s="460"/>
      <c r="I295" s="460"/>
      <c r="J295" s="460"/>
      <c r="K295" s="460"/>
      <c r="L295" s="460"/>
      <c r="M295" s="460"/>
      <c r="N295" s="460"/>
      <c r="O295" s="459">
        <f t="shared" si="289"/>
        <v>42.6</v>
      </c>
      <c r="P295" s="460"/>
      <c r="Q295" s="460"/>
      <c r="R295" s="460"/>
      <c r="S295" s="496">
        <v>42.6</v>
      </c>
      <c r="T295" s="460" t="s">
        <v>1151</v>
      </c>
      <c r="U295" s="463"/>
      <c r="V295" s="460"/>
      <c r="W295" s="460"/>
      <c r="X295" s="463">
        <f t="shared" si="294"/>
        <v>0.51</v>
      </c>
      <c r="Y295" s="463">
        <f t="shared" si="295"/>
        <v>0</v>
      </c>
      <c r="Z295" s="460"/>
      <c r="AA295" s="460"/>
      <c r="AB295" s="460"/>
      <c r="AC295" s="460"/>
      <c r="AD295" s="460"/>
      <c r="AE295" s="460"/>
      <c r="AF295" s="459">
        <f t="shared" si="296"/>
        <v>0.51</v>
      </c>
      <c r="AG295" s="460"/>
      <c r="AH295" s="460">
        <v>0.51</v>
      </c>
      <c r="AI295" s="460"/>
      <c r="AJ295" s="460"/>
      <c r="AK295" s="460"/>
      <c r="AL295" s="460"/>
      <c r="AM295" s="463">
        <f t="shared" si="277"/>
        <v>43.11</v>
      </c>
      <c r="AN295" s="463">
        <f t="shared" si="278"/>
        <v>0</v>
      </c>
      <c r="AO295" s="460">
        <f t="shared" si="279"/>
        <v>0</v>
      </c>
      <c r="AP295" s="460">
        <f t="shared" si="280"/>
        <v>0</v>
      </c>
      <c r="AQ295" s="460">
        <f t="shared" si="281"/>
        <v>0</v>
      </c>
      <c r="AR295" s="460">
        <f t="shared" si="282"/>
        <v>0</v>
      </c>
      <c r="AS295" s="460">
        <f t="shared" si="283"/>
        <v>0</v>
      </c>
      <c r="AT295" s="460">
        <f t="shared" si="284"/>
        <v>0</v>
      </c>
      <c r="AU295" s="463">
        <f t="shared" si="285"/>
        <v>43.11</v>
      </c>
      <c r="AV295" s="460">
        <f t="shared" si="297"/>
        <v>0</v>
      </c>
      <c r="AW295" s="460">
        <f t="shared" si="298"/>
        <v>0.51</v>
      </c>
      <c r="AX295" s="460">
        <f t="shared" si="286"/>
        <v>0</v>
      </c>
      <c r="AY295" s="460">
        <f t="shared" si="287"/>
        <v>42.6</v>
      </c>
      <c r="AZ295" s="463">
        <f t="shared" si="288"/>
        <v>0</v>
      </c>
      <c r="BA295" s="482"/>
      <c r="BB295" s="482"/>
    </row>
    <row r="296" s="425" customFormat="1" ht="39" customHeight="1" spans="1:54">
      <c r="A296" s="459">
        <v>291</v>
      </c>
      <c r="B296" s="460" t="s">
        <v>856</v>
      </c>
      <c r="C296" s="460" t="s">
        <v>203</v>
      </c>
      <c r="D296" s="461" t="s">
        <v>235</v>
      </c>
      <c r="E296" s="461" t="s">
        <v>1148</v>
      </c>
      <c r="F296" s="463">
        <f t="shared" si="300"/>
        <v>27.8</v>
      </c>
      <c r="G296" s="463">
        <f t="shared" si="293"/>
        <v>0</v>
      </c>
      <c r="H296" s="460"/>
      <c r="I296" s="460"/>
      <c r="J296" s="460"/>
      <c r="K296" s="460"/>
      <c r="L296" s="460"/>
      <c r="M296" s="460"/>
      <c r="N296" s="460"/>
      <c r="O296" s="459">
        <f t="shared" si="289"/>
        <v>27.8</v>
      </c>
      <c r="P296" s="460"/>
      <c r="Q296" s="460"/>
      <c r="R296" s="460"/>
      <c r="S296" s="496">
        <v>27.8</v>
      </c>
      <c r="T296" s="460" t="s">
        <v>1151</v>
      </c>
      <c r="U296" s="463"/>
      <c r="V296" s="460"/>
      <c r="W296" s="460"/>
      <c r="X296" s="463">
        <f t="shared" si="294"/>
        <v>0</v>
      </c>
      <c r="Y296" s="463">
        <f t="shared" si="295"/>
        <v>0</v>
      </c>
      <c r="Z296" s="460"/>
      <c r="AA296" s="460"/>
      <c r="AB296" s="460"/>
      <c r="AC296" s="460"/>
      <c r="AD296" s="460"/>
      <c r="AE296" s="460"/>
      <c r="AF296" s="459">
        <f t="shared" si="296"/>
        <v>0</v>
      </c>
      <c r="AG296" s="460"/>
      <c r="AH296" s="460"/>
      <c r="AI296" s="460"/>
      <c r="AJ296" s="460"/>
      <c r="AK296" s="460"/>
      <c r="AL296" s="460"/>
      <c r="AM296" s="463">
        <f t="shared" si="277"/>
        <v>27.8</v>
      </c>
      <c r="AN296" s="463">
        <f t="shared" si="278"/>
        <v>0</v>
      </c>
      <c r="AO296" s="460">
        <f t="shared" si="279"/>
        <v>0</v>
      </c>
      <c r="AP296" s="460">
        <f t="shared" si="280"/>
        <v>0</v>
      </c>
      <c r="AQ296" s="460">
        <f t="shared" si="281"/>
        <v>0</v>
      </c>
      <c r="AR296" s="460">
        <f t="shared" si="282"/>
        <v>0</v>
      </c>
      <c r="AS296" s="460">
        <f t="shared" si="283"/>
        <v>0</v>
      </c>
      <c r="AT296" s="460">
        <f t="shared" si="284"/>
        <v>0</v>
      </c>
      <c r="AU296" s="463">
        <f t="shared" si="285"/>
        <v>27.8</v>
      </c>
      <c r="AV296" s="460">
        <f t="shared" si="297"/>
        <v>0</v>
      </c>
      <c r="AW296" s="460">
        <f t="shared" si="298"/>
        <v>0</v>
      </c>
      <c r="AX296" s="460">
        <f t="shared" si="286"/>
        <v>0</v>
      </c>
      <c r="AY296" s="460">
        <f t="shared" si="287"/>
        <v>27.8</v>
      </c>
      <c r="AZ296" s="463">
        <f t="shared" si="288"/>
        <v>0</v>
      </c>
      <c r="BA296" s="482"/>
      <c r="BB296" s="482"/>
    </row>
    <row r="297" s="425" customFormat="1" ht="39" customHeight="1" spans="1:54">
      <c r="A297" s="459">
        <v>292</v>
      </c>
      <c r="B297" s="460" t="s">
        <v>856</v>
      </c>
      <c r="C297" s="460" t="s">
        <v>203</v>
      </c>
      <c r="D297" s="461" t="s">
        <v>237</v>
      </c>
      <c r="E297" s="461" t="s">
        <v>1148</v>
      </c>
      <c r="F297" s="463">
        <f t="shared" si="300"/>
        <v>13.3</v>
      </c>
      <c r="G297" s="463">
        <f t="shared" si="293"/>
        <v>0</v>
      </c>
      <c r="H297" s="460"/>
      <c r="I297" s="460"/>
      <c r="J297" s="460"/>
      <c r="K297" s="460"/>
      <c r="L297" s="460"/>
      <c r="M297" s="460"/>
      <c r="N297" s="460"/>
      <c r="O297" s="459">
        <f t="shared" si="289"/>
        <v>13.3</v>
      </c>
      <c r="P297" s="460"/>
      <c r="Q297" s="460"/>
      <c r="R297" s="460"/>
      <c r="S297" s="496">
        <v>13.3</v>
      </c>
      <c r="T297" s="460" t="s">
        <v>1151</v>
      </c>
      <c r="U297" s="463"/>
      <c r="V297" s="460"/>
      <c r="W297" s="460"/>
      <c r="X297" s="463">
        <f t="shared" si="294"/>
        <v>0</v>
      </c>
      <c r="Y297" s="463">
        <f t="shared" si="295"/>
        <v>0</v>
      </c>
      <c r="Z297" s="460"/>
      <c r="AA297" s="460"/>
      <c r="AB297" s="460"/>
      <c r="AC297" s="460"/>
      <c r="AD297" s="460"/>
      <c r="AE297" s="460"/>
      <c r="AF297" s="459">
        <f t="shared" si="296"/>
        <v>0</v>
      </c>
      <c r="AG297" s="460"/>
      <c r="AH297" s="460"/>
      <c r="AI297" s="460"/>
      <c r="AJ297" s="460"/>
      <c r="AK297" s="460"/>
      <c r="AL297" s="460"/>
      <c r="AM297" s="463">
        <f t="shared" si="277"/>
        <v>13.3</v>
      </c>
      <c r="AN297" s="463">
        <f t="shared" si="278"/>
        <v>0</v>
      </c>
      <c r="AO297" s="460">
        <f t="shared" si="279"/>
        <v>0</v>
      </c>
      <c r="AP297" s="460">
        <f t="shared" si="280"/>
        <v>0</v>
      </c>
      <c r="AQ297" s="460">
        <f t="shared" si="281"/>
        <v>0</v>
      </c>
      <c r="AR297" s="460">
        <f t="shared" si="282"/>
        <v>0</v>
      </c>
      <c r="AS297" s="460">
        <f t="shared" si="283"/>
        <v>0</v>
      </c>
      <c r="AT297" s="460">
        <f t="shared" si="284"/>
        <v>0</v>
      </c>
      <c r="AU297" s="463">
        <f t="shared" si="285"/>
        <v>13.3</v>
      </c>
      <c r="AV297" s="460">
        <f t="shared" si="297"/>
        <v>0</v>
      </c>
      <c r="AW297" s="460">
        <f t="shared" si="298"/>
        <v>0</v>
      </c>
      <c r="AX297" s="460">
        <f t="shared" si="286"/>
        <v>0</v>
      </c>
      <c r="AY297" s="460">
        <f t="shared" si="287"/>
        <v>13.3</v>
      </c>
      <c r="AZ297" s="463">
        <f t="shared" si="288"/>
        <v>0</v>
      </c>
      <c r="BA297" s="482"/>
      <c r="BB297" s="482"/>
    </row>
    <row r="298" s="425" customFormat="1" ht="39" customHeight="1" spans="1:54">
      <c r="A298" s="459">
        <v>293</v>
      </c>
      <c r="B298" s="460" t="s">
        <v>856</v>
      </c>
      <c r="C298" s="460" t="s">
        <v>203</v>
      </c>
      <c r="D298" s="461" t="s">
        <v>239</v>
      </c>
      <c r="E298" s="461" t="s">
        <v>1148</v>
      </c>
      <c r="F298" s="463">
        <f t="shared" si="300"/>
        <v>18.5</v>
      </c>
      <c r="G298" s="463">
        <f t="shared" si="293"/>
        <v>0</v>
      </c>
      <c r="H298" s="460"/>
      <c r="I298" s="460"/>
      <c r="J298" s="460"/>
      <c r="K298" s="460"/>
      <c r="L298" s="460"/>
      <c r="M298" s="460"/>
      <c r="N298" s="460"/>
      <c r="O298" s="459">
        <f t="shared" si="289"/>
        <v>18.5</v>
      </c>
      <c r="P298" s="460"/>
      <c r="Q298" s="460"/>
      <c r="R298" s="460"/>
      <c r="S298" s="496">
        <v>18.5</v>
      </c>
      <c r="T298" s="460" t="s">
        <v>1151</v>
      </c>
      <c r="U298" s="463"/>
      <c r="V298" s="460"/>
      <c r="W298" s="460"/>
      <c r="X298" s="463">
        <f t="shared" si="294"/>
        <v>0</v>
      </c>
      <c r="Y298" s="463">
        <f t="shared" si="295"/>
        <v>0</v>
      </c>
      <c r="Z298" s="460"/>
      <c r="AA298" s="460"/>
      <c r="AB298" s="460"/>
      <c r="AC298" s="460"/>
      <c r="AD298" s="460"/>
      <c r="AE298" s="460"/>
      <c r="AF298" s="459">
        <f t="shared" si="296"/>
        <v>0</v>
      </c>
      <c r="AG298" s="460"/>
      <c r="AH298" s="460"/>
      <c r="AI298" s="460"/>
      <c r="AJ298" s="460"/>
      <c r="AK298" s="460"/>
      <c r="AL298" s="460"/>
      <c r="AM298" s="463">
        <f t="shared" si="277"/>
        <v>18.5</v>
      </c>
      <c r="AN298" s="463">
        <f t="shared" si="278"/>
        <v>0</v>
      </c>
      <c r="AO298" s="460">
        <f t="shared" si="279"/>
        <v>0</v>
      </c>
      <c r="AP298" s="460">
        <f t="shared" si="280"/>
        <v>0</v>
      </c>
      <c r="AQ298" s="460">
        <f t="shared" si="281"/>
        <v>0</v>
      </c>
      <c r="AR298" s="460">
        <f t="shared" si="282"/>
        <v>0</v>
      </c>
      <c r="AS298" s="460">
        <f t="shared" si="283"/>
        <v>0</v>
      </c>
      <c r="AT298" s="460">
        <f t="shared" si="284"/>
        <v>0</v>
      </c>
      <c r="AU298" s="463">
        <f t="shared" si="285"/>
        <v>18.5</v>
      </c>
      <c r="AV298" s="460">
        <f t="shared" si="297"/>
        <v>0</v>
      </c>
      <c r="AW298" s="460">
        <f t="shared" si="298"/>
        <v>0</v>
      </c>
      <c r="AX298" s="460">
        <f t="shared" si="286"/>
        <v>0</v>
      </c>
      <c r="AY298" s="460">
        <f t="shared" si="287"/>
        <v>18.5</v>
      </c>
      <c r="AZ298" s="463">
        <f t="shared" si="288"/>
        <v>0</v>
      </c>
      <c r="BA298" s="482"/>
      <c r="BB298" s="482"/>
    </row>
    <row r="299" s="425" customFormat="1" ht="39" customHeight="1" spans="1:54">
      <c r="A299" s="459">
        <v>294</v>
      </c>
      <c r="B299" s="460" t="s">
        <v>856</v>
      </c>
      <c r="C299" s="460" t="s">
        <v>203</v>
      </c>
      <c r="D299" s="461" t="s">
        <v>241</v>
      </c>
      <c r="E299" s="461" t="s">
        <v>1148</v>
      </c>
      <c r="F299" s="463">
        <f t="shared" si="300"/>
        <v>16.8</v>
      </c>
      <c r="G299" s="463">
        <f t="shared" si="293"/>
        <v>0</v>
      </c>
      <c r="H299" s="460"/>
      <c r="I299" s="460"/>
      <c r="J299" s="460"/>
      <c r="K299" s="460"/>
      <c r="L299" s="460"/>
      <c r="M299" s="460"/>
      <c r="N299" s="460"/>
      <c r="O299" s="459">
        <f t="shared" si="289"/>
        <v>16.8</v>
      </c>
      <c r="P299" s="460"/>
      <c r="Q299" s="460"/>
      <c r="R299" s="460"/>
      <c r="S299" s="496">
        <v>16.8</v>
      </c>
      <c r="T299" s="460" t="s">
        <v>1151</v>
      </c>
      <c r="U299" s="463"/>
      <c r="V299" s="460"/>
      <c r="W299" s="460"/>
      <c r="X299" s="463">
        <f t="shared" si="294"/>
        <v>0</v>
      </c>
      <c r="Y299" s="463">
        <f t="shared" si="295"/>
        <v>0</v>
      </c>
      <c r="Z299" s="460"/>
      <c r="AA299" s="460"/>
      <c r="AB299" s="460"/>
      <c r="AC299" s="460"/>
      <c r="AD299" s="460"/>
      <c r="AE299" s="460"/>
      <c r="AF299" s="459">
        <f t="shared" si="296"/>
        <v>0</v>
      </c>
      <c r="AG299" s="460"/>
      <c r="AH299" s="460"/>
      <c r="AI299" s="460"/>
      <c r="AJ299" s="460"/>
      <c r="AK299" s="460"/>
      <c r="AL299" s="460"/>
      <c r="AM299" s="463">
        <f t="shared" si="277"/>
        <v>16.8</v>
      </c>
      <c r="AN299" s="463">
        <f t="shared" si="278"/>
        <v>0</v>
      </c>
      <c r="AO299" s="460">
        <f t="shared" si="279"/>
        <v>0</v>
      </c>
      <c r="AP299" s="460">
        <f t="shared" si="280"/>
        <v>0</v>
      </c>
      <c r="AQ299" s="460">
        <f t="shared" si="281"/>
        <v>0</v>
      </c>
      <c r="AR299" s="460">
        <f t="shared" si="282"/>
        <v>0</v>
      </c>
      <c r="AS299" s="460">
        <f t="shared" si="283"/>
        <v>0</v>
      </c>
      <c r="AT299" s="460">
        <f t="shared" si="284"/>
        <v>0</v>
      </c>
      <c r="AU299" s="463">
        <f t="shared" si="285"/>
        <v>16.8</v>
      </c>
      <c r="AV299" s="460">
        <f t="shared" si="297"/>
        <v>0</v>
      </c>
      <c r="AW299" s="460">
        <f t="shared" si="298"/>
        <v>0</v>
      </c>
      <c r="AX299" s="460">
        <f t="shared" si="286"/>
        <v>0</v>
      </c>
      <c r="AY299" s="460">
        <f t="shared" si="287"/>
        <v>16.8</v>
      </c>
      <c r="AZ299" s="463">
        <f t="shared" si="288"/>
        <v>0</v>
      </c>
      <c r="BA299" s="482"/>
      <c r="BB299" s="482"/>
    </row>
    <row r="300" s="425" customFormat="1" ht="39" customHeight="1" spans="1:54">
      <c r="A300" s="459">
        <v>295</v>
      </c>
      <c r="B300" s="460" t="s">
        <v>856</v>
      </c>
      <c r="C300" s="460" t="s">
        <v>203</v>
      </c>
      <c r="D300" s="461" t="s">
        <v>243</v>
      </c>
      <c r="E300" s="461" t="s">
        <v>1148</v>
      </c>
      <c r="F300" s="463">
        <f t="shared" si="300"/>
        <v>60.9</v>
      </c>
      <c r="G300" s="463">
        <f t="shared" si="293"/>
        <v>0</v>
      </c>
      <c r="H300" s="460"/>
      <c r="I300" s="460"/>
      <c r="J300" s="460"/>
      <c r="K300" s="460"/>
      <c r="L300" s="460"/>
      <c r="M300" s="460"/>
      <c r="N300" s="460"/>
      <c r="O300" s="459">
        <f t="shared" si="289"/>
        <v>60.9</v>
      </c>
      <c r="P300" s="460"/>
      <c r="Q300" s="460"/>
      <c r="R300" s="460"/>
      <c r="S300" s="496">
        <f>40.9+20</f>
        <v>60.9</v>
      </c>
      <c r="T300" s="460" t="s">
        <v>1152</v>
      </c>
      <c r="U300" s="463"/>
      <c r="V300" s="460"/>
      <c r="W300" s="460"/>
      <c r="X300" s="463">
        <f t="shared" si="294"/>
        <v>0</v>
      </c>
      <c r="Y300" s="463">
        <f t="shared" si="295"/>
        <v>0</v>
      </c>
      <c r="Z300" s="460"/>
      <c r="AA300" s="460"/>
      <c r="AB300" s="460"/>
      <c r="AC300" s="460"/>
      <c r="AD300" s="460"/>
      <c r="AE300" s="460"/>
      <c r="AF300" s="459">
        <f t="shared" si="296"/>
        <v>0</v>
      </c>
      <c r="AG300" s="460"/>
      <c r="AH300" s="460"/>
      <c r="AI300" s="460"/>
      <c r="AJ300" s="460"/>
      <c r="AK300" s="460"/>
      <c r="AL300" s="460"/>
      <c r="AM300" s="463">
        <f t="shared" si="277"/>
        <v>60.9</v>
      </c>
      <c r="AN300" s="463">
        <f t="shared" si="278"/>
        <v>0</v>
      </c>
      <c r="AO300" s="460">
        <f t="shared" si="279"/>
        <v>0</v>
      </c>
      <c r="AP300" s="460">
        <f t="shared" si="280"/>
        <v>0</v>
      </c>
      <c r="AQ300" s="460">
        <f t="shared" si="281"/>
        <v>0</v>
      </c>
      <c r="AR300" s="460">
        <f t="shared" si="282"/>
        <v>0</v>
      </c>
      <c r="AS300" s="460">
        <f t="shared" si="283"/>
        <v>0</v>
      </c>
      <c r="AT300" s="460">
        <f t="shared" si="284"/>
        <v>0</v>
      </c>
      <c r="AU300" s="463">
        <f t="shared" si="285"/>
        <v>60.9</v>
      </c>
      <c r="AV300" s="460">
        <f t="shared" si="297"/>
        <v>0</v>
      </c>
      <c r="AW300" s="460">
        <f t="shared" si="298"/>
        <v>0</v>
      </c>
      <c r="AX300" s="460">
        <f t="shared" si="286"/>
        <v>0</v>
      </c>
      <c r="AY300" s="460">
        <f t="shared" si="287"/>
        <v>60.9</v>
      </c>
      <c r="AZ300" s="463">
        <f t="shared" si="288"/>
        <v>0</v>
      </c>
      <c r="BA300" s="482"/>
      <c r="BB300" s="482"/>
    </row>
    <row r="301" s="425" customFormat="1" ht="39" customHeight="1" spans="1:54">
      <c r="A301" s="459">
        <v>296</v>
      </c>
      <c r="B301" s="460" t="s">
        <v>856</v>
      </c>
      <c r="C301" s="460" t="s">
        <v>203</v>
      </c>
      <c r="D301" s="461" t="s">
        <v>245</v>
      </c>
      <c r="E301" s="461" t="s">
        <v>1148</v>
      </c>
      <c r="F301" s="463">
        <f t="shared" si="300"/>
        <v>26.7</v>
      </c>
      <c r="G301" s="463">
        <f t="shared" si="293"/>
        <v>0</v>
      </c>
      <c r="H301" s="460"/>
      <c r="I301" s="460"/>
      <c r="J301" s="460"/>
      <c r="K301" s="460"/>
      <c r="L301" s="460"/>
      <c r="M301" s="460"/>
      <c r="N301" s="460"/>
      <c r="O301" s="459">
        <f t="shared" si="289"/>
        <v>26.7</v>
      </c>
      <c r="P301" s="460"/>
      <c r="Q301" s="460"/>
      <c r="R301" s="460"/>
      <c r="S301" s="496">
        <v>26.7</v>
      </c>
      <c r="T301" s="460" t="s">
        <v>1151</v>
      </c>
      <c r="U301" s="463"/>
      <c r="V301" s="460"/>
      <c r="W301" s="460"/>
      <c r="X301" s="463">
        <f t="shared" si="294"/>
        <v>0.03</v>
      </c>
      <c r="Y301" s="463">
        <f t="shared" si="295"/>
        <v>0</v>
      </c>
      <c r="Z301" s="460"/>
      <c r="AA301" s="460"/>
      <c r="AB301" s="460"/>
      <c r="AC301" s="460"/>
      <c r="AD301" s="460"/>
      <c r="AE301" s="460"/>
      <c r="AF301" s="459">
        <f t="shared" si="296"/>
        <v>0.03</v>
      </c>
      <c r="AG301" s="460"/>
      <c r="AH301" s="460">
        <v>0.03</v>
      </c>
      <c r="AI301" s="460"/>
      <c r="AJ301" s="460"/>
      <c r="AK301" s="460"/>
      <c r="AL301" s="460"/>
      <c r="AM301" s="463">
        <f t="shared" si="277"/>
        <v>26.73</v>
      </c>
      <c r="AN301" s="463">
        <f t="shared" si="278"/>
        <v>0</v>
      </c>
      <c r="AO301" s="460">
        <f t="shared" si="279"/>
        <v>0</v>
      </c>
      <c r="AP301" s="460">
        <f t="shared" si="280"/>
        <v>0</v>
      </c>
      <c r="AQ301" s="460">
        <f t="shared" si="281"/>
        <v>0</v>
      </c>
      <c r="AR301" s="460">
        <f t="shared" si="282"/>
        <v>0</v>
      </c>
      <c r="AS301" s="460">
        <f t="shared" si="283"/>
        <v>0</v>
      </c>
      <c r="AT301" s="460">
        <f t="shared" si="284"/>
        <v>0</v>
      </c>
      <c r="AU301" s="463">
        <f t="shared" si="285"/>
        <v>26.73</v>
      </c>
      <c r="AV301" s="460">
        <f t="shared" si="297"/>
        <v>0</v>
      </c>
      <c r="AW301" s="460">
        <f t="shared" si="298"/>
        <v>0.03</v>
      </c>
      <c r="AX301" s="460">
        <f t="shared" si="286"/>
        <v>0</v>
      </c>
      <c r="AY301" s="460">
        <f t="shared" si="287"/>
        <v>26.7</v>
      </c>
      <c r="AZ301" s="463">
        <f t="shared" si="288"/>
        <v>0</v>
      </c>
      <c r="BA301" s="482"/>
      <c r="BB301" s="482"/>
    </row>
    <row r="302" s="425" customFormat="1" ht="39" customHeight="1" spans="1:54">
      <c r="A302" s="459">
        <v>297</v>
      </c>
      <c r="B302" s="460" t="s">
        <v>856</v>
      </c>
      <c r="C302" s="460" t="s">
        <v>203</v>
      </c>
      <c r="D302" s="461" t="s">
        <v>247</v>
      </c>
      <c r="E302" s="461" t="s">
        <v>1148</v>
      </c>
      <c r="F302" s="463">
        <f t="shared" si="300"/>
        <v>49.3</v>
      </c>
      <c r="G302" s="463">
        <f t="shared" si="293"/>
        <v>0</v>
      </c>
      <c r="H302" s="460"/>
      <c r="I302" s="460"/>
      <c r="J302" s="460"/>
      <c r="K302" s="460"/>
      <c r="L302" s="460"/>
      <c r="M302" s="460"/>
      <c r="N302" s="460"/>
      <c r="O302" s="459">
        <f t="shared" si="289"/>
        <v>49.3</v>
      </c>
      <c r="P302" s="460"/>
      <c r="Q302" s="460"/>
      <c r="R302" s="460"/>
      <c r="S302" s="496">
        <v>49.3</v>
      </c>
      <c r="T302" s="460" t="s">
        <v>1151</v>
      </c>
      <c r="U302" s="463"/>
      <c r="V302" s="460"/>
      <c r="W302" s="460"/>
      <c r="X302" s="463">
        <f t="shared" si="294"/>
        <v>0</v>
      </c>
      <c r="Y302" s="463">
        <f t="shared" si="295"/>
        <v>0</v>
      </c>
      <c r="Z302" s="460"/>
      <c r="AA302" s="460"/>
      <c r="AB302" s="460"/>
      <c r="AC302" s="460"/>
      <c r="AD302" s="460"/>
      <c r="AE302" s="460"/>
      <c r="AF302" s="459">
        <f t="shared" si="296"/>
        <v>0</v>
      </c>
      <c r="AG302" s="460"/>
      <c r="AH302" s="460"/>
      <c r="AI302" s="460"/>
      <c r="AJ302" s="460"/>
      <c r="AK302" s="460"/>
      <c r="AL302" s="460"/>
      <c r="AM302" s="463">
        <f t="shared" si="277"/>
        <v>49.3</v>
      </c>
      <c r="AN302" s="463">
        <f t="shared" si="278"/>
        <v>0</v>
      </c>
      <c r="AO302" s="460">
        <f t="shared" si="279"/>
        <v>0</v>
      </c>
      <c r="AP302" s="460">
        <f t="shared" si="280"/>
        <v>0</v>
      </c>
      <c r="AQ302" s="460">
        <f t="shared" si="281"/>
        <v>0</v>
      </c>
      <c r="AR302" s="460">
        <f t="shared" si="282"/>
        <v>0</v>
      </c>
      <c r="AS302" s="460">
        <f t="shared" si="283"/>
        <v>0</v>
      </c>
      <c r="AT302" s="460">
        <f t="shared" si="284"/>
        <v>0</v>
      </c>
      <c r="AU302" s="463">
        <f t="shared" si="285"/>
        <v>49.3</v>
      </c>
      <c r="AV302" s="460">
        <f t="shared" si="297"/>
        <v>0</v>
      </c>
      <c r="AW302" s="460">
        <f t="shared" si="298"/>
        <v>0</v>
      </c>
      <c r="AX302" s="460">
        <f t="shared" si="286"/>
        <v>0</v>
      </c>
      <c r="AY302" s="460">
        <f t="shared" si="287"/>
        <v>49.3</v>
      </c>
      <c r="AZ302" s="463">
        <f t="shared" si="288"/>
        <v>0</v>
      </c>
      <c r="BA302" s="482"/>
      <c r="BB302" s="482"/>
    </row>
    <row r="303" s="425" customFormat="1" ht="39" customHeight="1" spans="1:54">
      <c r="A303" s="459">
        <v>298</v>
      </c>
      <c r="B303" s="460" t="s">
        <v>856</v>
      </c>
      <c r="C303" s="460" t="s">
        <v>203</v>
      </c>
      <c r="D303" s="461" t="s">
        <v>249</v>
      </c>
      <c r="E303" s="461" t="s">
        <v>1148</v>
      </c>
      <c r="F303" s="463">
        <f t="shared" si="300"/>
        <v>47.6</v>
      </c>
      <c r="G303" s="463">
        <f t="shared" si="293"/>
        <v>0</v>
      </c>
      <c r="H303" s="460"/>
      <c r="I303" s="460"/>
      <c r="J303" s="460"/>
      <c r="K303" s="460"/>
      <c r="L303" s="460"/>
      <c r="M303" s="460"/>
      <c r="N303" s="460"/>
      <c r="O303" s="459">
        <f t="shared" si="289"/>
        <v>47.6</v>
      </c>
      <c r="P303" s="460"/>
      <c r="Q303" s="460"/>
      <c r="R303" s="460"/>
      <c r="S303" s="496">
        <v>47.6</v>
      </c>
      <c r="T303" s="460" t="s">
        <v>1151</v>
      </c>
      <c r="U303" s="463"/>
      <c r="V303" s="460"/>
      <c r="W303" s="460"/>
      <c r="X303" s="463">
        <f t="shared" si="294"/>
        <v>0</v>
      </c>
      <c r="Y303" s="463">
        <f t="shared" si="295"/>
        <v>0</v>
      </c>
      <c r="Z303" s="460"/>
      <c r="AA303" s="460"/>
      <c r="AB303" s="460"/>
      <c r="AC303" s="460"/>
      <c r="AD303" s="460"/>
      <c r="AE303" s="460"/>
      <c r="AF303" s="459">
        <f t="shared" si="296"/>
        <v>0</v>
      </c>
      <c r="AG303" s="460"/>
      <c r="AH303" s="460"/>
      <c r="AI303" s="460"/>
      <c r="AJ303" s="460"/>
      <c r="AK303" s="460"/>
      <c r="AL303" s="460"/>
      <c r="AM303" s="463">
        <f t="shared" si="277"/>
        <v>47.6</v>
      </c>
      <c r="AN303" s="463">
        <f t="shared" si="278"/>
        <v>0</v>
      </c>
      <c r="AO303" s="460">
        <f t="shared" si="279"/>
        <v>0</v>
      </c>
      <c r="AP303" s="460">
        <f t="shared" si="280"/>
        <v>0</v>
      </c>
      <c r="AQ303" s="460">
        <f t="shared" si="281"/>
        <v>0</v>
      </c>
      <c r="AR303" s="460">
        <f t="shared" si="282"/>
        <v>0</v>
      </c>
      <c r="AS303" s="460">
        <f t="shared" si="283"/>
        <v>0</v>
      </c>
      <c r="AT303" s="460">
        <f t="shared" si="284"/>
        <v>0</v>
      </c>
      <c r="AU303" s="463">
        <f t="shared" si="285"/>
        <v>47.6</v>
      </c>
      <c r="AV303" s="460">
        <f t="shared" si="297"/>
        <v>0</v>
      </c>
      <c r="AW303" s="460">
        <f t="shared" si="298"/>
        <v>0</v>
      </c>
      <c r="AX303" s="460">
        <f t="shared" si="286"/>
        <v>0</v>
      </c>
      <c r="AY303" s="460">
        <f t="shared" si="287"/>
        <v>47.6</v>
      </c>
      <c r="AZ303" s="463">
        <f t="shared" si="288"/>
        <v>0</v>
      </c>
      <c r="BA303" s="482"/>
      <c r="BB303" s="482"/>
    </row>
    <row r="304" s="425" customFormat="1" ht="39" customHeight="1" spans="1:54">
      <c r="A304" s="459">
        <v>299</v>
      </c>
      <c r="B304" s="460" t="s">
        <v>856</v>
      </c>
      <c r="C304" s="460" t="s">
        <v>203</v>
      </c>
      <c r="D304" s="461" t="s">
        <v>251</v>
      </c>
      <c r="E304" s="461" t="s">
        <v>1148</v>
      </c>
      <c r="F304" s="463">
        <f t="shared" si="300"/>
        <v>49.8</v>
      </c>
      <c r="G304" s="463">
        <f t="shared" si="293"/>
        <v>0</v>
      </c>
      <c r="H304" s="460"/>
      <c r="I304" s="460"/>
      <c r="J304" s="460"/>
      <c r="K304" s="460"/>
      <c r="L304" s="460"/>
      <c r="M304" s="460"/>
      <c r="N304" s="460"/>
      <c r="O304" s="459">
        <f t="shared" si="289"/>
        <v>49.8</v>
      </c>
      <c r="P304" s="460"/>
      <c r="Q304" s="460"/>
      <c r="R304" s="460"/>
      <c r="S304" s="496">
        <v>49.8</v>
      </c>
      <c r="T304" s="460" t="s">
        <v>1151</v>
      </c>
      <c r="U304" s="463"/>
      <c r="V304" s="460"/>
      <c r="W304" s="460"/>
      <c r="X304" s="463">
        <f t="shared" si="294"/>
        <v>0.08</v>
      </c>
      <c r="Y304" s="463">
        <f t="shared" si="295"/>
        <v>0</v>
      </c>
      <c r="Z304" s="460"/>
      <c r="AA304" s="460"/>
      <c r="AB304" s="460"/>
      <c r="AC304" s="460"/>
      <c r="AD304" s="460"/>
      <c r="AE304" s="460"/>
      <c r="AF304" s="459">
        <f t="shared" si="296"/>
        <v>0.08</v>
      </c>
      <c r="AG304" s="460"/>
      <c r="AH304" s="460">
        <v>0.08</v>
      </c>
      <c r="AI304" s="460"/>
      <c r="AJ304" s="460"/>
      <c r="AK304" s="460"/>
      <c r="AL304" s="460"/>
      <c r="AM304" s="463">
        <f t="shared" si="277"/>
        <v>49.88</v>
      </c>
      <c r="AN304" s="463">
        <f t="shared" si="278"/>
        <v>0</v>
      </c>
      <c r="AO304" s="460">
        <f t="shared" si="279"/>
        <v>0</v>
      </c>
      <c r="AP304" s="460">
        <f t="shared" si="280"/>
        <v>0</v>
      </c>
      <c r="AQ304" s="460">
        <f t="shared" si="281"/>
        <v>0</v>
      </c>
      <c r="AR304" s="460">
        <f t="shared" si="282"/>
        <v>0</v>
      </c>
      <c r="AS304" s="460">
        <f t="shared" si="283"/>
        <v>0</v>
      </c>
      <c r="AT304" s="460">
        <f t="shared" si="284"/>
        <v>0</v>
      </c>
      <c r="AU304" s="463">
        <f t="shared" si="285"/>
        <v>49.88</v>
      </c>
      <c r="AV304" s="460">
        <f t="shared" si="297"/>
        <v>0</v>
      </c>
      <c r="AW304" s="460">
        <f t="shared" si="298"/>
        <v>0.08</v>
      </c>
      <c r="AX304" s="460">
        <f t="shared" si="286"/>
        <v>0</v>
      </c>
      <c r="AY304" s="460">
        <f t="shared" si="287"/>
        <v>49.8</v>
      </c>
      <c r="AZ304" s="463">
        <f t="shared" si="288"/>
        <v>0</v>
      </c>
      <c r="BA304" s="482"/>
      <c r="BB304" s="482"/>
    </row>
    <row r="305" s="425" customFormat="1" ht="39" customHeight="1" spans="1:54">
      <c r="A305" s="459">
        <v>300</v>
      </c>
      <c r="B305" s="460" t="s">
        <v>856</v>
      </c>
      <c r="C305" s="460" t="s">
        <v>203</v>
      </c>
      <c r="D305" s="461" t="s">
        <v>253</v>
      </c>
      <c r="E305" s="461" t="s">
        <v>1148</v>
      </c>
      <c r="F305" s="463">
        <f t="shared" si="300"/>
        <v>36.7</v>
      </c>
      <c r="G305" s="463">
        <f t="shared" si="293"/>
        <v>0</v>
      </c>
      <c r="H305" s="460"/>
      <c r="I305" s="460"/>
      <c r="J305" s="460"/>
      <c r="K305" s="460"/>
      <c r="L305" s="460"/>
      <c r="M305" s="460"/>
      <c r="N305" s="460"/>
      <c r="O305" s="459">
        <f t="shared" si="289"/>
        <v>36.7</v>
      </c>
      <c r="P305" s="460"/>
      <c r="Q305" s="460"/>
      <c r="R305" s="460"/>
      <c r="S305" s="496">
        <v>36.7</v>
      </c>
      <c r="T305" s="460" t="s">
        <v>1151</v>
      </c>
      <c r="U305" s="463"/>
      <c r="V305" s="460"/>
      <c r="W305" s="460"/>
      <c r="X305" s="463">
        <f t="shared" si="294"/>
        <v>0</v>
      </c>
      <c r="Y305" s="463">
        <f t="shared" si="295"/>
        <v>0</v>
      </c>
      <c r="Z305" s="460"/>
      <c r="AA305" s="460"/>
      <c r="AB305" s="460"/>
      <c r="AC305" s="460"/>
      <c r="AD305" s="460"/>
      <c r="AE305" s="460"/>
      <c r="AF305" s="459">
        <f t="shared" si="296"/>
        <v>0</v>
      </c>
      <c r="AG305" s="460"/>
      <c r="AH305" s="460"/>
      <c r="AI305" s="460"/>
      <c r="AJ305" s="460"/>
      <c r="AK305" s="460"/>
      <c r="AL305" s="460"/>
      <c r="AM305" s="463">
        <f t="shared" si="277"/>
        <v>36.7</v>
      </c>
      <c r="AN305" s="463">
        <f t="shared" si="278"/>
        <v>0</v>
      </c>
      <c r="AO305" s="460">
        <f t="shared" si="279"/>
        <v>0</v>
      </c>
      <c r="AP305" s="460">
        <f t="shared" si="280"/>
        <v>0</v>
      </c>
      <c r="AQ305" s="460">
        <f t="shared" si="281"/>
        <v>0</v>
      </c>
      <c r="AR305" s="460">
        <f t="shared" si="282"/>
        <v>0</v>
      </c>
      <c r="AS305" s="460">
        <f t="shared" si="283"/>
        <v>0</v>
      </c>
      <c r="AT305" s="460">
        <f t="shared" si="284"/>
        <v>0</v>
      </c>
      <c r="AU305" s="463">
        <f t="shared" si="285"/>
        <v>36.7</v>
      </c>
      <c r="AV305" s="460">
        <f t="shared" si="297"/>
        <v>0</v>
      </c>
      <c r="AW305" s="460">
        <f t="shared" si="298"/>
        <v>0</v>
      </c>
      <c r="AX305" s="460">
        <f t="shared" si="286"/>
        <v>0</v>
      </c>
      <c r="AY305" s="460">
        <f t="shared" si="287"/>
        <v>36.7</v>
      </c>
      <c r="AZ305" s="463">
        <f t="shared" si="288"/>
        <v>0</v>
      </c>
      <c r="BA305" s="482"/>
      <c r="BB305" s="482"/>
    </row>
    <row r="306" s="425" customFormat="1" ht="39" customHeight="1" spans="1:54">
      <c r="A306" s="459">
        <v>301</v>
      </c>
      <c r="B306" s="460" t="s">
        <v>856</v>
      </c>
      <c r="C306" s="460" t="s">
        <v>203</v>
      </c>
      <c r="D306" s="461" t="s">
        <v>255</v>
      </c>
      <c r="E306" s="461" t="s">
        <v>1148</v>
      </c>
      <c r="F306" s="463">
        <f t="shared" si="300"/>
        <v>34.6</v>
      </c>
      <c r="G306" s="463">
        <f t="shared" si="293"/>
        <v>0</v>
      </c>
      <c r="H306" s="460"/>
      <c r="I306" s="460"/>
      <c r="J306" s="460"/>
      <c r="K306" s="460"/>
      <c r="L306" s="460"/>
      <c r="M306" s="460"/>
      <c r="N306" s="460"/>
      <c r="O306" s="459">
        <f t="shared" si="289"/>
        <v>34.6</v>
      </c>
      <c r="P306" s="460"/>
      <c r="Q306" s="460"/>
      <c r="R306" s="460"/>
      <c r="S306" s="496">
        <v>34.6</v>
      </c>
      <c r="T306" s="460" t="s">
        <v>1151</v>
      </c>
      <c r="U306" s="463"/>
      <c r="V306" s="460"/>
      <c r="W306" s="460"/>
      <c r="X306" s="463">
        <f t="shared" si="294"/>
        <v>0</v>
      </c>
      <c r="Y306" s="463">
        <f t="shared" si="295"/>
        <v>0</v>
      </c>
      <c r="Z306" s="460"/>
      <c r="AA306" s="460"/>
      <c r="AB306" s="460"/>
      <c r="AC306" s="460"/>
      <c r="AD306" s="460"/>
      <c r="AE306" s="460"/>
      <c r="AF306" s="459">
        <f t="shared" si="296"/>
        <v>0</v>
      </c>
      <c r="AG306" s="460"/>
      <c r="AH306" s="460"/>
      <c r="AI306" s="460"/>
      <c r="AJ306" s="460"/>
      <c r="AK306" s="460"/>
      <c r="AL306" s="460"/>
      <c r="AM306" s="463">
        <f t="shared" si="277"/>
        <v>34.6</v>
      </c>
      <c r="AN306" s="463">
        <f t="shared" si="278"/>
        <v>0</v>
      </c>
      <c r="AO306" s="460">
        <f t="shared" si="279"/>
        <v>0</v>
      </c>
      <c r="AP306" s="460">
        <f t="shared" si="280"/>
        <v>0</v>
      </c>
      <c r="AQ306" s="460">
        <f t="shared" si="281"/>
        <v>0</v>
      </c>
      <c r="AR306" s="460">
        <f t="shared" si="282"/>
        <v>0</v>
      </c>
      <c r="AS306" s="460">
        <f t="shared" si="283"/>
        <v>0</v>
      </c>
      <c r="AT306" s="460">
        <f t="shared" si="284"/>
        <v>0</v>
      </c>
      <c r="AU306" s="463">
        <f t="shared" si="285"/>
        <v>34.6</v>
      </c>
      <c r="AV306" s="460">
        <f t="shared" si="297"/>
        <v>0</v>
      </c>
      <c r="AW306" s="460">
        <f t="shared" si="298"/>
        <v>0</v>
      </c>
      <c r="AX306" s="460">
        <f t="shared" si="286"/>
        <v>0</v>
      </c>
      <c r="AY306" s="460">
        <f t="shared" si="287"/>
        <v>34.6</v>
      </c>
      <c r="AZ306" s="463">
        <f t="shared" si="288"/>
        <v>0</v>
      </c>
      <c r="BA306" s="482"/>
      <c r="BB306" s="482"/>
    </row>
    <row r="307" s="425" customFormat="1" ht="39" customHeight="1" spans="1:54">
      <c r="A307" s="459">
        <v>302</v>
      </c>
      <c r="B307" s="460" t="s">
        <v>856</v>
      </c>
      <c r="C307" s="460" t="s">
        <v>203</v>
      </c>
      <c r="D307" s="461" t="s">
        <v>257</v>
      </c>
      <c r="E307" s="461" t="s">
        <v>1148</v>
      </c>
      <c r="F307" s="463">
        <f t="shared" si="300"/>
        <v>30.8</v>
      </c>
      <c r="G307" s="463">
        <f t="shared" si="293"/>
        <v>0</v>
      </c>
      <c r="H307" s="460"/>
      <c r="I307" s="460"/>
      <c r="J307" s="460"/>
      <c r="K307" s="460"/>
      <c r="L307" s="460"/>
      <c r="M307" s="460"/>
      <c r="N307" s="460"/>
      <c r="O307" s="459">
        <f t="shared" si="289"/>
        <v>30.8</v>
      </c>
      <c r="P307" s="460"/>
      <c r="Q307" s="460"/>
      <c r="R307" s="460"/>
      <c r="S307" s="496">
        <v>30.8</v>
      </c>
      <c r="T307" s="460" t="s">
        <v>1151</v>
      </c>
      <c r="U307" s="463"/>
      <c r="V307" s="460"/>
      <c r="W307" s="460"/>
      <c r="X307" s="463">
        <f t="shared" si="294"/>
        <v>0</v>
      </c>
      <c r="Y307" s="463">
        <f t="shared" si="295"/>
        <v>0</v>
      </c>
      <c r="Z307" s="460"/>
      <c r="AA307" s="460"/>
      <c r="AB307" s="460"/>
      <c r="AC307" s="460"/>
      <c r="AD307" s="460"/>
      <c r="AE307" s="460"/>
      <c r="AF307" s="459">
        <f t="shared" si="296"/>
        <v>0</v>
      </c>
      <c r="AG307" s="460"/>
      <c r="AH307" s="460"/>
      <c r="AI307" s="460"/>
      <c r="AJ307" s="460"/>
      <c r="AK307" s="460"/>
      <c r="AL307" s="460"/>
      <c r="AM307" s="463">
        <f t="shared" si="277"/>
        <v>30.8</v>
      </c>
      <c r="AN307" s="463">
        <f t="shared" si="278"/>
        <v>0</v>
      </c>
      <c r="AO307" s="460">
        <f t="shared" si="279"/>
        <v>0</v>
      </c>
      <c r="AP307" s="460">
        <f t="shared" si="280"/>
        <v>0</v>
      </c>
      <c r="AQ307" s="460">
        <f t="shared" si="281"/>
        <v>0</v>
      </c>
      <c r="AR307" s="460">
        <f t="shared" si="282"/>
        <v>0</v>
      </c>
      <c r="AS307" s="460">
        <f t="shared" si="283"/>
        <v>0</v>
      </c>
      <c r="AT307" s="460">
        <f t="shared" si="284"/>
        <v>0</v>
      </c>
      <c r="AU307" s="463">
        <f t="shared" si="285"/>
        <v>30.8</v>
      </c>
      <c r="AV307" s="460">
        <f t="shared" si="297"/>
        <v>0</v>
      </c>
      <c r="AW307" s="460">
        <f t="shared" si="298"/>
        <v>0</v>
      </c>
      <c r="AX307" s="460">
        <f t="shared" si="286"/>
        <v>0</v>
      </c>
      <c r="AY307" s="460">
        <f t="shared" si="287"/>
        <v>30.8</v>
      </c>
      <c r="AZ307" s="463">
        <f t="shared" si="288"/>
        <v>0</v>
      </c>
      <c r="BA307" s="482"/>
      <c r="BB307" s="482"/>
    </row>
    <row r="308" s="425" customFormat="1" ht="39" customHeight="1" spans="1:54">
      <c r="A308" s="459">
        <v>303</v>
      </c>
      <c r="B308" s="460" t="s">
        <v>856</v>
      </c>
      <c r="C308" s="460" t="s">
        <v>203</v>
      </c>
      <c r="D308" s="461" t="s">
        <v>259</v>
      </c>
      <c r="E308" s="461" t="s">
        <v>1148</v>
      </c>
      <c r="F308" s="463">
        <f t="shared" si="300"/>
        <v>14.9</v>
      </c>
      <c r="G308" s="463">
        <f t="shared" si="293"/>
        <v>0</v>
      </c>
      <c r="H308" s="460"/>
      <c r="I308" s="460"/>
      <c r="J308" s="460"/>
      <c r="K308" s="460"/>
      <c r="L308" s="460"/>
      <c r="M308" s="460"/>
      <c r="N308" s="460"/>
      <c r="O308" s="459">
        <f t="shared" si="289"/>
        <v>14.9</v>
      </c>
      <c r="P308" s="460"/>
      <c r="Q308" s="460"/>
      <c r="R308" s="460"/>
      <c r="S308" s="496">
        <v>14.9</v>
      </c>
      <c r="T308" s="460" t="s">
        <v>1151</v>
      </c>
      <c r="U308" s="463"/>
      <c r="V308" s="460"/>
      <c r="W308" s="460"/>
      <c r="X308" s="463">
        <f t="shared" si="294"/>
        <v>0</v>
      </c>
      <c r="Y308" s="463">
        <f t="shared" si="295"/>
        <v>0</v>
      </c>
      <c r="Z308" s="460"/>
      <c r="AA308" s="460"/>
      <c r="AB308" s="460"/>
      <c r="AC308" s="460"/>
      <c r="AD308" s="460"/>
      <c r="AE308" s="460"/>
      <c r="AF308" s="459">
        <f t="shared" si="296"/>
        <v>0</v>
      </c>
      <c r="AG308" s="460"/>
      <c r="AH308" s="460"/>
      <c r="AI308" s="460"/>
      <c r="AJ308" s="460"/>
      <c r="AK308" s="460"/>
      <c r="AL308" s="460"/>
      <c r="AM308" s="463">
        <f t="shared" si="277"/>
        <v>14.9</v>
      </c>
      <c r="AN308" s="463">
        <f t="shared" si="278"/>
        <v>0</v>
      </c>
      <c r="AO308" s="460">
        <f t="shared" si="279"/>
        <v>0</v>
      </c>
      <c r="AP308" s="460">
        <f t="shared" si="280"/>
        <v>0</v>
      </c>
      <c r="AQ308" s="460">
        <f t="shared" si="281"/>
        <v>0</v>
      </c>
      <c r="AR308" s="460">
        <f t="shared" si="282"/>
        <v>0</v>
      </c>
      <c r="AS308" s="460">
        <f t="shared" si="283"/>
        <v>0</v>
      </c>
      <c r="AT308" s="460">
        <f t="shared" si="284"/>
        <v>0</v>
      </c>
      <c r="AU308" s="463">
        <f t="shared" si="285"/>
        <v>14.9</v>
      </c>
      <c r="AV308" s="460">
        <f t="shared" si="297"/>
        <v>0</v>
      </c>
      <c r="AW308" s="460">
        <f t="shared" si="298"/>
        <v>0</v>
      </c>
      <c r="AX308" s="460">
        <f t="shared" si="286"/>
        <v>0</v>
      </c>
      <c r="AY308" s="460">
        <f t="shared" si="287"/>
        <v>14.9</v>
      </c>
      <c r="AZ308" s="463">
        <f t="shared" si="288"/>
        <v>0</v>
      </c>
      <c r="BA308" s="482"/>
      <c r="BB308" s="482"/>
    </row>
    <row r="309" s="426" customFormat="1" ht="26" customHeight="1" spans="1:54">
      <c r="A309" s="452">
        <v>304</v>
      </c>
      <c r="B309" s="485"/>
      <c r="C309" s="485"/>
      <c r="D309" s="486" t="s">
        <v>137</v>
      </c>
      <c r="E309" s="452">
        <v>214</v>
      </c>
      <c r="F309" s="456">
        <f>SUM(F310:F317)</f>
        <v>155.46</v>
      </c>
      <c r="G309" s="456">
        <f>SUM(G310:G317)</f>
        <v>62.46</v>
      </c>
      <c r="H309" s="456">
        <f t="shared" ref="H309:M309" si="301">SUM(H310:H317)</f>
        <v>48</v>
      </c>
      <c r="I309" s="456">
        <f t="shared" si="301"/>
        <v>0</v>
      </c>
      <c r="J309" s="456">
        <f t="shared" si="301"/>
        <v>14.46</v>
      </c>
      <c r="K309" s="456">
        <f t="shared" si="301"/>
        <v>0</v>
      </c>
      <c r="L309" s="456">
        <f t="shared" si="301"/>
        <v>0</v>
      </c>
      <c r="M309" s="456">
        <f t="shared" si="301"/>
        <v>0</v>
      </c>
      <c r="N309" s="456"/>
      <c r="O309" s="456">
        <f>SUM(O310:O317)</f>
        <v>46</v>
      </c>
      <c r="P309" s="456">
        <f>SUM(P310:P317)</f>
        <v>26</v>
      </c>
      <c r="Q309" s="456">
        <f>SUM(Q310:Q317)</f>
        <v>20</v>
      </c>
      <c r="R309" s="456">
        <f>SUM(R310:R317)</f>
        <v>0</v>
      </c>
      <c r="S309" s="456">
        <f>SUM(S310:S317)</f>
        <v>0</v>
      </c>
      <c r="T309" s="456"/>
      <c r="U309" s="456">
        <f>SUM(U310:U317)</f>
        <v>47</v>
      </c>
      <c r="V309" s="456"/>
      <c r="W309" s="481"/>
      <c r="X309" s="468">
        <f t="shared" ref="X309:AM309" si="302">SUM(X310:X317)</f>
        <v>91.81</v>
      </c>
      <c r="Y309" s="468">
        <f t="shared" si="302"/>
        <v>0.06</v>
      </c>
      <c r="Z309" s="468">
        <f t="shared" si="302"/>
        <v>0</v>
      </c>
      <c r="AA309" s="468">
        <f t="shared" si="302"/>
        <v>0</v>
      </c>
      <c r="AB309" s="468">
        <f t="shared" si="302"/>
        <v>0.06</v>
      </c>
      <c r="AC309" s="468">
        <f t="shared" si="302"/>
        <v>0</v>
      </c>
      <c r="AD309" s="468">
        <f t="shared" si="302"/>
        <v>0</v>
      </c>
      <c r="AE309" s="468">
        <f t="shared" si="302"/>
        <v>0</v>
      </c>
      <c r="AF309" s="468">
        <f t="shared" si="302"/>
        <v>90.25</v>
      </c>
      <c r="AG309" s="468">
        <f t="shared" si="302"/>
        <v>65.31</v>
      </c>
      <c r="AH309" s="468">
        <f t="shared" si="302"/>
        <v>24.54</v>
      </c>
      <c r="AI309" s="468">
        <f t="shared" si="302"/>
        <v>0</v>
      </c>
      <c r="AJ309" s="468">
        <f t="shared" si="302"/>
        <v>0.4</v>
      </c>
      <c r="AK309" s="468">
        <f t="shared" si="302"/>
        <v>1.5</v>
      </c>
      <c r="AL309" s="456"/>
      <c r="AM309" s="468">
        <f t="shared" ref="AL309:BA309" si="303">SUM(AM310:AM317)</f>
        <v>247.27</v>
      </c>
      <c r="AN309" s="468">
        <f t="shared" si="303"/>
        <v>62.52</v>
      </c>
      <c r="AO309" s="468">
        <f t="shared" si="303"/>
        <v>48</v>
      </c>
      <c r="AP309" s="468">
        <f t="shared" si="303"/>
        <v>0</v>
      </c>
      <c r="AQ309" s="468">
        <f t="shared" si="303"/>
        <v>14.52</v>
      </c>
      <c r="AR309" s="468">
        <f t="shared" si="303"/>
        <v>0</v>
      </c>
      <c r="AS309" s="468">
        <f t="shared" si="303"/>
        <v>0</v>
      </c>
      <c r="AT309" s="468">
        <f t="shared" si="303"/>
        <v>0</v>
      </c>
      <c r="AU309" s="468">
        <f t="shared" si="303"/>
        <v>136.25</v>
      </c>
      <c r="AV309" s="468">
        <f t="shared" si="303"/>
        <v>91.31</v>
      </c>
      <c r="AW309" s="468">
        <f t="shared" si="303"/>
        <v>44.54</v>
      </c>
      <c r="AX309" s="468">
        <f t="shared" si="303"/>
        <v>0</v>
      </c>
      <c r="AY309" s="468">
        <f t="shared" si="303"/>
        <v>0.4</v>
      </c>
      <c r="AZ309" s="468">
        <f t="shared" si="303"/>
        <v>48.5</v>
      </c>
      <c r="BA309" s="489"/>
      <c r="BB309" s="489"/>
    </row>
    <row r="310" s="425" customFormat="1" ht="39" customHeight="1" spans="1:54">
      <c r="A310" s="459">
        <v>305</v>
      </c>
      <c r="B310" s="460" t="s">
        <v>880</v>
      </c>
      <c r="C310" s="460" t="s">
        <v>203</v>
      </c>
      <c r="D310" s="461" t="s">
        <v>606</v>
      </c>
      <c r="E310" s="461" t="s">
        <v>1153</v>
      </c>
      <c r="F310" s="463">
        <f>G310+O310+U310</f>
        <v>41.02</v>
      </c>
      <c r="G310" s="463">
        <f t="shared" ref="G310:G317" si="304">SUM(H310:M310)</f>
        <v>15.02</v>
      </c>
      <c r="H310" s="460">
        <v>8</v>
      </c>
      <c r="I310" s="460"/>
      <c r="J310" s="460">
        <v>7.02</v>
      </c>
      <c r="K310" s="460"/>
      <c r="L310" s="460"/>
      <c r="M310" s="460"/>
      <c r="N310" s="460"/>
      <c r="O310" s="459">
        <f>SUM(P310:S310)</f>
        <v>26</v>
      </c>
      <c r="P310" s="460">
        <v>26</v>
      </c>
      <c r="Q310" s="460"/>
      <c r="R310" s="460"/>
      <c r="S310" s="460"/>
      <c r="T310" s="460"/>
      <c r="U310" s="463"/>
      <c r="V310" s="460"/>
      <c r="W310" s="460"/>
      <c r="X310" s="463">
        <f t="shared" ref="X310:X317" si="305">Y310+AF310+AK310</f>
        <v>67.21</v>
      </c>
      <c r="Y310" s="463">
        <f t="shared" ref="Y310:Y317" si="306">SUM(Z310:AE310)</f>
        <v>0</v>
      </c>
      <c r="Z310" s="460"/>
      <c r="AA310" s="460"/>
      <c r="AB310" s="460"/>
      <c r="AC310" s="460"/>
      <c r="AD310" s="460"/>
      <c r="AE310" s="460"/>
      <c r="AF310" s="459">
        <f t="shared" ref="AF310:AF317" si="307">SUM(AG310:AJ310)</f>
        <v>65.71</v>
      </c>
      <c r="AG310" s="460">
        <v>65.31</v>
      </c>
      <c r="AH310" s="460"/>
      <c r="AI310" s="460"/>
      <c r="AJ310" s="460">
        <v>0.4</v>
      </c>
      <c r="AK310" s="460">
        <v>1.5</v>
      </c>
      <c r="AL310" s="460" t="s">
        <v>1154</v>
      </c>
      <c r="AM310" s="463">
        <f>AN310+AU310+AZ310</f>
        <v>108.23</v>
      </c>
      <c r="AN310" s="463">
        <f>SUM(AO310:AT310)</f>
        <v>15.02</v>
      </c>
      <c r="AO310" s="460">
        <f t="shared" ref="AO310:AT310" si="308">H310+Z310</f>
        <v>8</v>
      </c>
      <c r="AP310" s="460">
        <f t="shared" si="308"/>
        <v>0</v>
      </c>
      <c r="AQ310" s="460">
        <f t="shared" si="308"/>
        <v>7.02</v>
      </c>
      <c r="AR310" s="460">
        <f t="shared" si="308"/>
        <v>0</v>
      </c>
      <c r="AS310" s="460">
        <f t="shared" si="308"/>
        <v>0</v>
      </c>
      <c r="AT310" s="460">
        <f t="shared" si="308"/>
        <v>0</v>
      </c>
      <c r="AU310" s="463">
        <f>SUM(AV310:AY310)</f>
        <v>91.71</v>
      </c>
      <c r="AV310" s="460">
        <f t="shared" ref="AV310:AV317" si="309">P310+AG310</f>
        <v>91.31</v>
      </c>
      <c r="AW310" s="460">
        <f t="shared" ref="AW310:AW317" si="310">Q310+AH310</f>
        <v>0</v>
      </c>
      <c r="AX310" s="460">
        <f>R310+AI310</f>
        <v>0</v>
      </c>
      <c r="AY310" s="460">
        <f>S310+AJ310</f>
        <v>0.4</v>
      </c>
      <c r="AZ310" s="463">
        <f>U310+AK310</f>
        <v>1.5</v>
      </c>
      <c r="BA310" s="482"/>
      <c r="BB310" s="482"/>
    </row>
    <row r="311" s="425" customFormat="1" ht="39" customHeight="1" spans="1:54">
      <c r="A311" s="459">
        <v>306</v>
      </c>
      <c r="B311" s="460" t="s">
        <v>880</v>
      </c>
      <c r="C311" s="460" t="s">
        <v>206</v>
      </c>
      <c r="D311" s="461" t="s">
        <v>612</v>
      </c>
      <c r="E311" s="461" t="s">
        <v>1155</v>
      </c>
      <c r="F311" s="463">
        <f t="shared" ref="F311:F316" si="311">G311+O311+U311</f>
        <v>1.8</v>
      </c>
      <c r="G311" s="463">
        <f t="shared" si="304"/>
        <v>1.8</v>
      </c>
      <c r="H311" s="460">
        <v>1.8</v>
      </c>
      <c r="I311" s="460"/>
      <c r="J311" s="460"/>
      <c r="K311" s="460"/>
      <c r="L311" s="460"/>
      <c r="M311" s="460"/>
      <c r="N311" s="460"/>
      <c r="O311" s="459">
        <f>SUM(P311:S311)</f>
        <v>0</v>
      </c>
      <c r="P311" s="460"/>
      <c r="Q311" s="460"/>
      <c r="R311" s="460"/>
      <c r="S311" s="460"/>
      <c r="T311" s="460"/>
      <c r="U311" s="463"/>
      <c r="V311" s="460"/>
      <c r="W311" s="460"/>
      <c r="X311" s="463">
        <f t="shared" si="305"/>
        <v>0</v>
      </c>
      <c r="Y311" s="463">
        <f t="shared" si="306"/>
        <v>0</v>
      </c>
      <c r="Z311" s="460"/>
      <c r="AA311" s="460"/>
      <c r="AB311" s="460"/>
      <c r="AC311" s="460"/>
      <c r="AD311" s="460"/>
      <c r="AE311" s="460"/>
      <c r="AF311" s="459">
        <f t="shared" si="307"/>
        <v>0</v>
      </c>
      <c r="AG311" s="460"/>
      <c r="AH311" s="460"/>
      <c r="AI311" s="460"/>
      <c r="AJ311" s="460"/>
      <c r="AK311" s="460"/>
      <c r="AL311" s="460"/>
      <c r="AM311" s="463">
        <f>AN311+AU311+AZ311</f>
        <v>1.8</v>
      </c>
      <c r="AN311" s="463">
        <f>SUM(AO311:AT311)</f>
        <v>1.8</v>
      </c>
      <c r="AO311" s="460">
        <f t="shared" ref="AO311:AT311" si="312">H311+Z311</f>
        <v>1.8</v>
      </c>
      <c r="AP311" s="460">
        <f t="shared" si="312"/>
        <v>0</v>
      </c>
      <c r="AQ311" s="460">
        <f t="shared" si="312"/>
        <v>0</v>
      </c>
      <c r="AR311" s="460">
        <f t="shared" si="312"/>
        <v>0</v>
      </c>
      <c r="AS311" s="460">
        <f t="shared" si="312"/>
        <v>0</v>
      </c>
      <c r="AT311" s="460">
        <f t="shared" si="312"/>
        <v>0</v>
      </c>
      <c r="AU311" s="463">
        <f>SUM(AV311:AY311)</f>
        <v>0</v>
      </c>
      <c r="AV311" s="460">
        <f t="shared" si="309"/>
        <v>0</v>
      </c>
      <c r="AW311" s="460">
        <f t="shared" si="310"/>
        <v>0</v>
      </c>
      <c r="AX311" s="460">
        <f>R311+AI311</f>
        <v>0</v>
      </c>
      <c r="AY311" s="460">
        <f>S311+AJ311</f>
        <v>0</v>
      </c>
      <c r="AZ311" s="463">
        <f>U311+AK311</f>
        <v>0</v>
      </c>
      <c r="BA311" s="482"/>
      <c r="BB311" s="482"/>
    </row>
    <row r="312" s="425" customFormat="1" ht="39" customHeight="1" spans="1:54">
      <c r="A312" s="459">
        <v>307</v>
      </c>
      <c r="B312" s="460" t="s">
        <v>880</v>
      </c>
      <c r="C312" s="460" t="s">
        <v>206</v>
      </c>
      <c r="D312" s="461" t="s">
        <v>611</v>
      </c>
      <c r="E312" s="461" t="s">
        <v>1155</v>
      </c>
      <c r="F312" s="463">
        <f t="shared" si="311"/>
        <v>5.4</v>
      </c>
      <c r="G312" s="463">
        <f t="shared" si="304"/>
        <v>5.4</v>
      </c>
      <c r="H312" s="460">
        <v>5.4</v>
      </c>
      <c r="I312" s="460"/>
      <c r="J312" s="460"/>
      <c r="K312" s="460"/>
      <c r="L312" s="460"/>
      <c r="M312" s="460"/>
      <c r="N312" s="460"/>
      <c r="O312" s="459">
        <f>SUM(P312:S312)</f>
        <v>0</v>
      </c>
      <c r="P312" s="460"/>
      <c r="Q312" s="460"/>
      <c r="R312" s="460"/>
      <c r="S312" s="460"/>
      <c r="T312" s="460"/>
      <c r="U312" s="463"/>
      <c r="V312" s="460"/>
      <c r="W312" s="460"/>
      <c r="X312" s="463">
        <f t="shared" si="305"/>
        <v>0</v>
      </c>
      <c r="Y312" s="463">
        <f t="shared" si="306"/>
        <v>0</v>
      </c>
      <c r="Z312" s="460"/>
      <c r="AA312" s="460"/>
      <c r="AB312" s="460"/>
      <c r="AC312" s="460"/>
      <c r="AD312" s="460"/>
      <c r="AE312" s="460"/>
      <c r="AF312" s="459">
        <f t="shared" si="307"/>
        <v>0</v>
      </c>
      <c r="AG312" s="460"/>
      <c r="AH312" s="460"/>
      <c r="AI312" s="460"/>
      <c r="AJ312" s="460"/>
      <c r="AK312" s="460"/>
      <c r="AL312" s="460"/>
      <c r="AM312" s="463">
        <f>AN312+AU312+AZ312</f>
        <v>5.4</v>
      </c>
      <c r="AN312" s="463">
        <f>SUM(AO312:AT312)</f>
        <v>5.4</v>
      </c>
      <c r="AO312" s="460">
        <f t="shared" ref="AO312:AT312" si="313">H312+Z312</f>
        <v>5.4</v>
      </c>
      <c r="AP312" s="460">
        <f t="shared" si="313"/>
        <v>0</v>
      </c>
      <c r="AQ312" s="460">
        <f t="shared" si="313"/>
        <v>0</v>
      </c>
      <c r="AR312" s="460">
        <f t="shared" si="313"/>
        <v>0</v>
      </c>
      <c r="AS312" s="460">
        <f t="shared" si="313"/>
        <v>0</v>
      </c>
      <c r="AT312" s="460">
        <f t="shared" si="313"/>
        <v>0</v>
      </c>
      <c r="AU312" s="463">
        <f>SUM(AV312:AY312)</f>
        <v>0</v>
      </c>
      <c r="AV312" s="460">
        <f t="shared" si="309"/>
        <v>0</v>
      </c>
      <c r="AW312" s="460">
        <f t="shared" si="310"/>
        <v>0</v>
      </c>
      <c r="AX312" s="460">
        <f>R312+AI312</f>
        <v>0</v>
      </c>
      <c r="AY312" s="460">
        <f>S312+AJ312</f>
        <v>0</v>
      </c>
      <c r="AZ312" s="463">
        <f>U312+AK312</f>
        <v>0</v>
      </c>
      <c r="BA312" s="482"/>
      <c r="BB312" s="482"/>
    </row>
    <row r="313" s="425" customFormat="1" ht="39" customHeight="1" spans="1:54">
      <c r="A313" s="459">
        <v>308</v>
      </c>
      <c r="B313" s="460" t="s">
        <v>880</v>
      </c>
      <c r="C313" s="460" t="s">
        <v>206</v>
      </c>
      <c r="D313" s="461" t="s">
        <v>609</v>
      </c>
      <c r="E313" s="461" t="s">
        <v>1155</v>
      </c>
      <c r="F313" s="463">
        <f t="shared" si="311"/>
        <v>10.2</v>
      </c>
      <c r="G313" s="463">
        <f t="shared" si="304"/>
        <v>10.2</v>
      </c>
      <c r="H313" s="460">
        <v>10.2</v>
      </c>
      <c r="I313" s="460"/>
      <c r="J313" s="460"/>
      <c r="K313" s="460"/>
      <c r="L313" s="460"/>
      <c r="M313" s="460"/>
      <c r="N313" s="460"/>
      <c r="O313" s="459">
        <f>SUM(P313:S313)</f>
        <v>0</v>
      </c>
      <c r="P313" s="460"/>
      <c r="Q313" s="460"/>
      <c r="R313" s="460"/>
      <c r="S313" s="460"/>
      <c r="T313" s="460"/>
      <c r="U313" s="463"/>
      <c r="V313" s="460"/>
      <c r="W313" s="460"/>
      <c r="X313" s="463">
        <f t="shared" si="305"/>
        <v>0</v>
      </c>
      <c r="Y313" s="463">
        <f t="shared" si="306"/>
        <v>0</v>
      </c>
      <c r="Z313" s="460"/>
      <c r="AA313" s="460"/>
      <c r="AB313" s="460"/>
      <c r="AC313" s="460"/>
      <c r="AD313" s="460"/>
      <c r="AE313" s="460"/>
      <c r="AF313" s="459">
        <f t="shared" si="307"/>
        <v>0</v>
      </c>
      <c r="AG313" s="460"/>
      <c r="AH313" s="460"/>
      <c r="AI313" s="460"/>
      <c r="AJ313" s="460"/>
      <c r="AK313" s="460"/>
      <c r="AL313" s="460"/>
      <c r="AM313" s="463">
        <f>AN313+AU313+AZ313</f>
        <v>10.2</v>
      </c>
      <c r="AN313" s="463">
        <f>SUM(AO313:AT313)</f>
        <v>10.2</v>
      </c>
      <c r="AO313" s="460">
        <f t="shared" ref="AO313:AT313" si="314">H313+Z313</f>
        <v>10.2</v>
      </c>
      <c r="AP313" s="460">
        <f t="shared" si="314"/>
        <v>0</v>
      </c>
      <c r="AQ313" s="460">
        <f t="shared" si="314"/>
        <v>0</v>
      </c>
      <c r="AR313" s="460">
        <f t="shared" si="314"/>
        <v>0</v>
      </c>
      <c r="AS313" s="460">
        <f t="shared" si="314"/>
        <v>0</v>
      </c>
      <c r="AT313" s="460">
        <f t="shared" si="314"/>
        <v>0</v>
      </c>
      <c r="AU313" s="463">
        <f>SUM(AV313:AY313)</f>
        <v>0</v>
      </c>
      <c r="AV313" s="460">
        <f t="shared" si="309"/>
        <v>0</v>
      </c>
      <c r="AW313" s="460">
        <f t="shared" si="310"/>
        <v>0</v>
      </c>
      <c r="AX313" s="460">
        <f>R313+AI313</f>
        <v>0</v>
      </c>
      <c r="AY313" s="460">
        <f>S313+AJ313</f>
        <v>0</v>
      </c>
      <c r="AZ313" s="463">
        <f>U313+AK313</f>
        <v>0</v>
      </c>
      <c r="BA313" s="482"/>
      <c r="BB313" s="482"/>
    </row>
    <row r="314" s="425" customFormat="1" ht="39" customHeight="1" spans="1:54">
      <c r="A314" s="459">
        <v>309</v>
      </c>
      <c r="B314" s="460" t="s">
        <v>880</v>
      </c>
      <c r="C314" s="460" t="s">
        <v>206</v>
      </c>
      <c r="D314" s="461" t="s">
        <v>608</v>
      </c>
      <c r="E314" s="461" t="s">
        <v>1153</v>
      </c>
      <c r="F314" s="463">
        <f t="shared" si="311"/>
        <v>16.24</v>
      </c>
      <c r="G314" s="463">
        <f t="shared" si="304"/>
        <v>16.24</v>
      </c>
      <c r="H314" s="460">
        <v>8.8</v>
      </c>
      <c r="I314" s="460"/>
      <c r="J314" s="460">
        <v>7.44</v>
      </c>
      <c r="K314" s="460"/>
      <c r="L314" s="460"/>
      <c r="M314" s="460"/>
      <c r="N314" s="460"/>
      <c r="O314" s="459">
        <f t="shared" ref="O314:O323" si="315">SUM(P314:S314)</f>
        <v>0</v>
      </c>
      <c r="P314" s="460"/>
      <c r="Q314" s="460"/>
      <c r="R314" s="460"/>
      <c r="S314" s="460"/>
      <c r="T314" s="460"/>
      <c r="U314" s="463"/>
      <c r="V314" s="460"/>
      <c r="W314" s="460"/>
      <c r="X314" s="463">
        <f t="shared" si="305"/>
        <v>0.06</v>
      </c>
      <c r="Y314" s="463">
        <f t="shared" si="306"/>
        <v>0.06</v>
      </c>
      <c r="Z314" s="460"/>
      <c r="AA314" s="460"/>
      <c r="AB314" s="460">
        <v>0.06</v>
      </c>
      <c r="AC314" s="460"/>
      <c r="AD314" s="460"/>
      <c r="AE314" s="460"/>
      <c r="AF314" s="459">
        <f t="shared" si="307"/>
        <v>0</v>
      </c>
      <c r="AG314" s="460"/>
      <c r="AH314" s="460"/>
      <c r="AI314" s="460"/>
      <c r="AJ314" s="460"/>
      <c r="AK314" s="460"/>
      <c r="AL314" s="460"/>
      <c r="AM314" s="463">
        <f t="shared" ref="AM314:AM323" si="316">AN314+AU314+AZ314</f>
        <v>16.3</v>
      </c>
      <c r="AN314" s="463">
        <f t="shared" ref="AN314:AN323" si="317">SUM(AO314:AT314)</f>
        <v>16.3</v>
      </c>
      <c r="AO314" s="460">
        <f t="shared" ref="AO314:AO323" si="318">H314+Z314</f>
        <v>8.8</v>
      </c>
      <c r="AP314" s="460">
        <f t="shared" ref="AP314:AP323" si="319">I314+AA314</f>
        <v>0</v>
      </c>
      <c r="AQ314" s="460">
        <f t="shared" ref="AQ314:AQ323" si="320">J314+AB314</f>
        <v>7.5</v>
      </c>
      <c r="AR314" s="460">
        <f t="shared" ref="AR314:AR323" si="321">K314+AC314</f>
        <v>0</v>
      </c>
      <c r="AS314" s="460">
        <f t="shared" ref="AS314:AS323" si="322">L314+AD314</f>
        <v>0</v>
      </c>
      <c r="AT314" s="460">
        <f t="shared" ref="AT314:AT323" si="323">M314+AE314</f>
        <v>0</v>
      </c>
      <c r="AU314" s="463">
        <f t="shared" ref="AU314:AU323" si="324">SUM(AV314:AY314)</f>
        <v>0</v>
      </c>
      <c r="AV314" s="460">
        <f t="shared" si="309"/>
        <v>0</v>
      </c>
      <c r="AW314" s="460">
        <f t="shared" si="310"/>
        <v>0</v>
      </c>
      <c r="AX314" s="460">
        <f t="shared" ref="AX314:AX323" si="325">R314+AI314</f>
        <v>0</v>
      </c>
      <c r="AY314" s="460">
        <f t="shared" ref="AY314:AY323" si="326">S314+AJ314</f>
        <v>0</v>
      </c>
      <c r="AZ314" s="463">
        <f t="shared" ref="AZ314:AZ323" si="327">U314+AK314</f>
        <v>0</v>
      </c>
      <c r="BA314" s="482"/>
      <c r="BB314" s="482"/>
    </row>
    <row r="315" s="425" customFormat="1" ht="39" customHeight="1" spans="1:54">
      <c r="A315" s="459">
        <v>310</v>
      </c>
      <c r="B315" s="460" t="s">
        <v>880</v>
      </c>
      <c r="C315" s="460" t="s">
        <v>206</v>
      </c>
      <c r="D315" s="461" t="s">
        <v>613</v>
      </c>
      <c r="E315" s="461" t="s">
        <v>1156</v>
      </c>
      <c r="F315" s="463">
        <f t="shared" si="311"/>
        <v>31.2</v>
      </c>
      <c r="G315" s="463">
        <f t="shared" si="304"/>
        <v>4.2</v>
      </c>
      <c r="H315" s="460">
        <v>4.2</v>
      </c>
      <c r="I315" s="460"/>
      <c r="J315" s="460"/>
      <c r="K315" s="460"/>
      <c r="L315" s="460"/>
      <c r="M315" s="460"/>
      <c r="N315" s="460"/>
      <c r="O315" s="459">
        <f t="shared" si="315"/>
        <v>0</v>
      </c>
      <c r="P315" s="460"/>
      <c r="Q315" s="460"/>
      <c r="R315" s="460"/>
      <c r="S315" s="460"/>
      <c r="T315" s="460"/>
      <c r="U315" s="463">
        <v>27</v>
      </c>
      <c r="V315" s="460" t="s">
        <v>838</v>
      </c>
      <c r="W315" s="460" t="s">
        <v>1157</v>
      </c>
      <c r="X315" s="463">
        <f t="shared" si="305"/>
        <v>0</v>
      </c>
      <c r="Y315" s="463">
        <f t="shared" si="306"/>
        <v>0</v>
      </c>
      <c r="Z315" s="460"/>
      <c r="AA315" s="460"/>
      <c r="AB315" s="460"/>
      <c r="AC315" s="460"/>
      <c r="AD315" s="460"/>
      <c r="AE315" s="460"/>
      <c r="AF315" s="459">
        <f t="shared" si="307"/>
        <v>0</v>
      </c>
      <c r="AG315" s="460"/>
      <c r="AH315" s="460"/>
      <c r="AI315" s="460"/>
      <c r="AJ315" s="460"/>
      <c r="AK315" s="460"/>
      <c r="AL315" s="460"/>
      <c r="AM315" s="463">
        <f t="shared" si="316"/>
        <v>31.2</v>
      </c>
      <c r="AN315" s="463">
        <f t="shared" si="317"/>
        <v>4.2</v>
      </c>
      <c r="AO315" s="460">
        <f t="shared" si="318"/>
        <v>4.2</v>
      </c>
      <c r="AP315" s="460">
        <f t="shared" si="319"/>
        <v>0</v>
      </c>
      <c r="AQ315" s="460">
        <f t="shared" si="320"/>
        <v>0</v>
      </c>
      <c r="AR315" s="460">
        <f t="shared" si="321"/>
        <v>0</v>
      </c>
      <c r="AS315" s="460">
        <f t="shared" si="322"/>
        <v>0</v>
      </c>
      <c r="AT315" s="460">
        <f t="shared" si="323"/>
        <v>0</v>
      </c>
      <c r="AU315" s="463">
        <f t="shared" si="324"/>
        <v>0</v>
      </c>
      <c r="AV315" s="460">
        <f t="shared" si="309"/>
        <v>0</v>
      </c>
      <c r="AW315" s="460">
        <f t="shared" si="310"/>
        <v>0</v>
      </c>
      <c r="AX315" s="460">
        <f t="shared" si="325"/>
        <v>0</v>
      </c>
      <c r="AY315" s="460">
        <f t="shared" si="326"/>
        <v>0</v>
      </c>
      <c r="AZ315" s="463">
        <f t="shared" si="327"/>
        <v>27</v>
      </c>
      <c r="BA315" s="482"/>
      <c r="BB315" s="482"/>
    </row>
    <row r="316" s="425" customFormat="1" ht="39" customHeight="1" spans="1:54">
      <c r="A316" s="459">
        <v>311</v>
      </c>
      <c r="B316" s="460" t="s">
        <v>889</v>
      </c>
      <c r="C316" s="460" t="s">
        <v>206</v>
      </c>
      <c r="D316" s="461" t="s">
        <v>615</v>
      </c>
      <c r="E316" s="461" t="s">
        <v>1158</v>
      </c>
      <c r="F316" s="463">
        <f t="shared" si="311"/>
        <v>1.2</v>
      </c>
      <c r="G316" s="463">
        <f t="shared" si="304"/>
        <v>1.2</v>
      </c>
      <c r="H316" s="460">
        <v>1.2</v>
      </c>
      <c r="I316" s="460"/>
      <c r="J316" s="460"/>
      <c r="K316" s="460"/>
      <c r="L316" s="460"/>
      <c r="M316" s="460"/>
      <c r="N316" s="460"/>
      <c r="O316" s="459">
        <f t="shared" si="315"/>
        <v>0</v>
      </c>
      <c r="P316" s="460"/>
      <c r="Q316" s="460"/>
      <c r="R316" s="460"/>
      <c r="S316" s="460"/>
      <c r="T316" s="460"/>
      <c r="U316" s="463"/>
      <c r="V316" s="460"/>
      <c r="W316" s="460"/>
      <c r="X316" s="463">
        <f t="shared" si="305"/>
        <v>0</v>
      </c>
      <c r="Y316" s="463">
        <f t="shared" si="306"/>
        <v>0</v>
      </c>
      <c r="Z316" s="460"/>
      <c r="AA316" s="460"/>
      <c r="AB316" s="460"/>
      <c r="AC316" s="460"/>
      <c r="AD316" s="460"/>
      <c r="AE316" s="460"/>
      <c r="AF316" s="459">
        <f t="shared" si="307"/>
        <v>0</v>
      </c>
      <c r="AG316" s="460"/>
      <c r="AH316" s="460"/>
      <c r="AI316" s="460"/>
      <c r="AJ316" s="460"/>
      <c r="AK316" s="460"/>
      <c r="AL316" s="460"/>
      <c r="AM316" s="463">
        <f t="shared" si="316"/>
        <v>1.2</v>
      </c>
      <c r="AN316" s="463">
        <f t="shared" si="317"/>
        <v>1.2</v>
      </c>
      <c r="AO316" s="460">
        <f t="shared" si="318"/>
        <v>1.2</v>
      </c>
      <c r="AP316" s="460">
        <f t="shared" si="319"/>
        <v>0</v>
      </c>
      <c r="AQ316" s="460">
        <f t="shared" si="320"/>
        <v>0</v>
      </c>
      <c r="AR316" s="460">
        <f t="shared" si="321"/>
        <v>0</v>
      </c>
      <c r="AS316" s="460">
        <f t="shared" si="322"/>
        <v>0</v>
      </c>
      <c r="AT316" s="460">
        <f t="shared" si="323"/>
        <v>0</v>
      </c>
      <c r="AU316" s="463">
        <f t="shared" si="324"/>
        <v>0</v>
      </c>
      <c r="AV316" s="460">
        <f t="shared" si="309"/>
        <v>0</v>
      </c>
      <c r="AW316" s="460">
        <f t="shared" si="310"/>
        <v>0</v>
      </c>
      <c r="AX316" s="460">
        <f t="shared" si="325"/>
        <v>0</v>
      </c>
      <c r="AY316" s="460">
        <f t="shared" si="326"/>
        <v>0</v>
      </c>
      <c r="AZ316" s="463">
        <f t="shared" si="327"/>
        <v>0</v>
      </c>
      <c r="BA316" s="482"/>
      <c r="BB316" s="482"/>
    </row>
    <row r="317" s="425" customFormat="1" ht="39" customHeight="1" spans="1:54">
      <c r="A317" s="459">
        <v>312</v>
      </c>
      <c r="B317" s="460" t="s">
        <v>880</v>
      </c>
      <c r="C317" s="460" t="s">
        <v>206</v>
      </c>
      <c r="D317" s="461" t="s">
        <v>1159</v>
      </c>
      <c r="E317" s="461" t="s">
        <v>1158</v>
      </c>
      <c r="F317" s="463">
        <f t="shared" ref="F317:F323" si="328">G317+O317+U317</f>
        <v>48.4</v>
      </c>
      <c r="G317" s="463">
        <f t="shared" si="304"/>
        <v>8.4</v>
      </c>
      <c r="H317" s="460">
        <v>8.4</v>
      </c>
      <c r="I317" s="460"/>
      <c r="J317" s="460"/>
      <c r="K317" s="460"/>
      <c r="L317" s="460"/>
      <c r="M317" s="460"/>
      <c r="N317" s="460"/>
      <c r="O317" s="459">
        <f t="shared" si="315"/>
        <v>20</v>
      </c>
      <c r="P317" s="460"/>
      <c r="Q317" s="460">
        <v>20</v>
      </c>
      <c r="R317" s="460"/>
      <c r="S317" s="460"/>
      <c r="T317" s="460"/>
      <c r="U317" s="463">
        <v>20</v>
      </c>
      <c r="V317" s="460" t="s">
        <v>838</v>
      </c>
      <c r="W317" s="460" t="s">
        <v>1160</v>
      </c>
      <c r="X317" s="463">
        <f t="shared" si="305"/>
        <v>24.54</v>
      </c>
      <c r="Y317" s="463">
        <f t="shared" si="306"/>
        <v>0</v>
      </c>
      <c r="Z317" s="460"/>
      <c r="AA317" s="460"/>
      <c r="AB317" s="460"/>
      <c r="AC317" s="460"/>
      <c r="AD317" s="460"/>
      <c r="AE317" s="460"/>
      <c r="AF317" s="459">
        <f t="shared" si="307"/>
        <v>24.54</v>
      </c>
      <c r="AG317" s="460"/>
      <c r="AH317" s="460">
        <v>24.54</v>
      </c>
      <c r="AI317" s="460"/>
      <c r="AJ317" s="460"/>
      <c r="AK317" s="460"/>
      <c r="AL317" s="460"/>
      <c r="AM317" s="463">
        <f t="shared" si="316"/>
        <v>72.94</v>
      </c>
      <c r="AN317" s="463">
        <f t="shared" si="317"/>
        <v>8.4</v>
      </c>
      <c r="AO317" s="460">
        <f t="shared" si="318"/>
        <v>8.4</v>
      </c>
      <c r="AP317" s="460">
        <f t="shared" si="319"/>
        <v>0</v>
      </c>
      <c r="AQ317" s="460">
        <f t="shared" si="320"/>
        <v>0</v>
      </c>
      <c r="AR317" s="460">
        <f t="shared" si="321"/>
        <v>0</v>
      </c>
      <c r="AS317" s="460">
        <f t="shared" si="322"/>
        <v>0</v>
      </c>
      <c r="AT317" s="460">
        <f t="shared" si="323"/>
        <v>0</v>
      </c>
      <c r="AU317" s="463">
        <f t="shared" si="324"/>
        <v>44.54</v>
      </c>
      <c r="AV317" s="460">
        <f t="shared" si="309"/>
        <v>0</v>
      </c>
      <c r="AW317" s="460">
        <f t="shared" si="310"/>
        <v>44.54</v>
      </c>
      <c r="AX317" s="460">
        <f t="shared" si="325"/>
        <v>0</v>
      </c>
      <c r="AY317" s="460">
        <f t="shared" si="326"/>
        <v>0</v>
      </c>
      <c r="AZ317" s="463">
        <f t="shared" si="327"/>
        <v>20</v>
      </c>
      <c r="BA317" s="482"/>
      <c r="BB317" s="482"/>
    </row>
    <row r="318" s="426" customFormat="1" ht="26" customHeight="1" spans="1:54">
      <c r="A318" s="452">
        <v>313</v>
      </c>
      <c r="B318" s="485"/>
      <c r="C318" s="485"/>
      <c r="D318" s="486" t="s">
        <v>138</v>
      </c>
      <c r="E318" s="452">
        <v>215</v>
      </c>
      <c r="F318" s="456">
        <f>SUM(F319:F323)</f>
        <v>0</v>
      </c>
      <c r="G318" s="456">
        <f t="shared" ref="G318:V318" si="329">SUM(G319:G323)</f>
        <v>0</v>
      </c>
      <c r="H318" s="456">
        <f t="shared" si="329"/>
        <v>0</v>
      </c>
      <c r="I318" s="456">
        <f t="shared" si="329"/>
        <v>0</v>
      </c>
      <c r="J318" s="456">
        <f t="shared" si="329"/>
        <v>0</v>
      </c>
      <c r="K318" s="456">
        <f t="shared" si="329"/>
        <v>0</v>
      </c>
      <c r="L318" s="456">
        <f t="shared" si="329"/>
        <v>0</v>
      </c>
      <c r="M318" s="456">
        <f t="shared" si="329"/>
        <v>0</v>
      </c>
      <c r="N318" s="456"/>
      <c r="O318" s="456">
        <f t="shared" si="329"/>
        <v>0</v>
      </c>
      <c r="P318" s="456">
        <f t="shared" si="329"/>
        <v>0</v>
      </c>
      <c r="Q318" s="456">
        <f t="shared" si="329"/>
        <v>0</v>
      </c>
      <c r="R318" s="456">
        <f t="shared" si="329"/>
        <v>0</v>
      </c>
      <c r="S318" s="456">
        <f t="shared" si="329"/>
        <v>0</v>
      </c>
      <c r="T318" s="456">
        <f t="shared" si="329"/>
        <v>0</v>
      </c>
      <c r="U318" s="456">
        <f t="shared" si="329"/>
        <v>0</v>
      </c>
      <c r="V318" s="456"/>
      <c r="W318" s="481"/>
      <c r="X318" s="456">
        <f t="shared" ref="X318:AL318" si="330">SUM(X319:X323)</f>
        <v>28</v>
      </c>
      <c r="Y318" s="468">
        <f t="shared" si="330"/>
        <v>0</v>
      </c>
      <c r="Z318" s="468">
        <f t="shared" si="330"/>
        <v>0</v>
      </c>
      <c r="AA318" s="468">
        <f t="shared" si="330"/>
        <v>0</v>
      </c>
      <c r="AB318" s="468">
        <f t="shared" si="330"/>
        <v>0</v>
      </c>
      <c r="AC318" s="468">
        <f t="shared" si="330"/>
        <v>0</v>
      </c>
      <c r="AD318" s="468">
        <f t="shared" si="330"/>
        <v>0</v>
      </c>
      <c r="AE318" s="468">
        <f t="shared" si="330"/>
        <v>0</v>
      </c>
      <c r="AF318" s="456">
        <f t="shared" si="330"/>
        <v>28</v>
      </c>
      <c r="AG318" s="456">
        <f t="shared" si="330"/>
        <v>28</v>
      </c>
      <c r="AH318" s="456">
        <f t="shared" si="330"/>
        <v>0</v>
      </c>
      <c r="AI318" s="456">
        <f t="shared" si="330"/>
        <v>0</v>
      </c>
      <c r="AJ318" s="456">
        <f t="shared" si="330"/>
        <v>0</v>
      </c>
      <c r="AK318" s="456">
        <f t="shared" si="330"/>
        <v>0</v>
      </c>
      <c r="AL318" s="456"/>
      <c r="AM318" s="456">
        <f t="shared" ref="AM318:BA318" si="331">SUM(AM319:AM323)</f>
        <v>28</v>
      </c>
      <c r="AN318" s="456">
        <f t="shared" si="331"/>
        <v>0</v>
      </c>
      <c r="AO318" s="456">
        <f t="shared" si="331"/>
        <v>0</v>
      </c>
      <c r="AP318" s="456">
        <f t="shared" si="331"/>
        <v>0</v>
      </c>
      <c r="AQ318" s="456">
        <f t="shared" si="331"/>
        <v>0</v>
      </c>
      <c r="AR318" s="456">
        <f t="shared" si="331"/>
        <v>0</v>
      </c>
      <c r="AS318" s="456">
        <f t="shared" si="331"/>
        <v>0</v>
      </c>
      <c r="AT318" s="456">
        <f t="shared" si="331"/>
        <v>0</v>
      </c>
      <c r="AU318" s="456">
        <f t="shared" si="331"/>
        <v>28</v>
      </c>
      <c r="AV318" s="456">
        <f t="shared" si="331"/>
        <v>28</v>
      </c>
      <c r="AW318" s="456">
        <f t="shared" si="331"/>
        <v>0</v>
      </c>
      <c r="AX318" s="456">
        <f t="shared" si="331"/>
        <v>0</v>
      </c>
      <c r="AY318" s="456">
        <f t="shared" si="331"/>
        <v>0</v>
      </c>
      <c r="AZ318" s="456">
        <f t="shared" si="331"/>
        <v>0</v>
      </c>
      <c r="BA318" s="489"/>
      <c r="BB318" s="489"/>
    </row>
    <row r="319" s="425" customFormat="1" ht="39" customHeight="1" spans="1:54">
      <c r="A319" s="459">
        <v>314</v>
      </c>
      <c r="B319" s="460" t="s">
        <v>1161</v>
      </c>
      <c r="C319" s="460" t="s">
        <v>778</v>
      </c>
      <c r="D319" s="461" t="s">
        <v>1162</v>
      </c>
      <c r="E319" s="461" t="s">
        <v>1163</v>
      </c>
      <c r="F319" s="463">
        <f t="shared" si="328"/>
        <v>0</v>
      </c>
      <c r="G319" s="463">
        <f t="shared" ref="G319:G323" si="332">SUM(H319:M319)</f>
        <v>0</v>
      </c>
      <c r="H319" s="460"/>
      <c r="I319" s="460"/>
      <c r="J319" s="460"/>
      <c r="K319" s="460"/>
      <c r="L319" s="460"/>
      <c r="M319" s="460"/>
      <c r="N319" s="460"/>
      <c r="O319" s="459">
        <f t="shared" si="315"/>
        <v>0</v>
      </c>
      <c r="P319" s="460"/>
      <c r="Q319" s="460"/>
      <c r="R319" s="460"/>
      <c r="S319" s="460"/>
      <c r="T319" s="460"/>
      <c r="U319" s="463"/>
      <c r="V319" s="460"/>
      <c r="W319" s="460"/>
      <c r="X319" s="463">
        <f t="shared" ref="X319:X323" si="333">Y319+AF319+AK319</f>
        <v>12</v>
      </c>
      <c r="Y319" s="463">
        <f t="shared" ref="Y319:Y323" si="334">SUM(Z319:AE319)</f>
        <v>0</v>
      </c>
      <c r="Z319" s="460"/>
      <c r="AA319" s="460"/>
      <c r="AB319" s="460"/>
      <c r="AC319" s="460"/>
      <c r="AD319" s="460"/>
      <c r="AE319" s="460"/>
      <c r="AF319" s="459">
        <f>SUM(AG319:AJ319)</f>
        <v>12</v>
      </c>
      <c r="AG319" s="460">
        <v>12</v>
      </c>
      <c r="AH319" s="460"/>
      <c r="AI319" s="460"/>
      <c r="AJ319" s="460"/>
      <c r="AK319" s="460"/>
      <c r="AL319" s="460"/>
      <c r="AM319" s="463">
        <f t="shared" si="316"/>
        <v>12</v>
      </c>
      <c r="AN319" s="463">
        <f t="shared" si="317"/>
        <v>0</v>
      </c>
      <c r="AO319" s="460">
        <f t="shared" si="318"/>
        <v>0</v>
      </c>
      <c r="AP319" s="460">
        <f t="shared" si="319"/>
        <v>0</v>
      </c>
      <c r="AQ319" s="460">
        <f t="shared" si="320"/>
        <v>0</v>
      </c>
      <c r="AR319" s="460">
        <f t="shared" si="321"/>
        <v>0</v>
      </c>
      <c r="AS319" s="460">
        <f t="shared" si="322"/>
        <v>0</v>
      </c>
      <c r="AT319" s="460">
        <f t="shared" si="323"/>
        <v>0</v>
      </c>
      <c r="AU319" s="463">
        <f t="shared" si="324"/>
        <v>12</v>
      </c>
      <c r="AV319" s="460">
        <f t="shared" ref="AV319:AV323" si="335">P319+AG319</f>
        <v>12</v>
      </c>
      <c r="AW319" s="460">
        <f>Q319+AH319</f>
        <v>0</v>
      </c>
      <c r="AX319" s="460">
        <f t="shared" si="325"/>
        <v>0</v>
      </c>
      <c r="AY319" s="460">
        <f t="shared" si="326"/>
        <v>0</v>
      </c>
      <c r="AZ319" s="463">
        <f t="shared" si="327"/>
        <v>0</v>
      </c>
      <c r="BA319" s="482"/>
      <c r="BB319" s="482"/>
    </row>
    <row r="320" s="425" customFormat="1" ht="39" customHeight="1" spans="1:54">
      <c r="A320" s="459">
        <v>315</v>
      </c>
      <c r="B320" s="460" t="s">
        <v>1161</v>
      </c>
      <c r="C320" s="460" t="s">
        <v>778</v>
      </c>
      <c r="D320" s="461" t="s">
        <v>1164</v>
      </c>
      <c r="E320" s="461" t="s">
        <v>1163</v>
      </c>
      <c r="F320" s="463">
        <f t="shared" si="328"/>
        <v>0</v>
      </c>
      <c r="G320" s="463">
        <f t="shared" si="332"/>
        <v>0</v>
      </c>
      <c r="H320" s="460"/>
      <c r="I320" s="460"/>
      <c r="J320" s="460"/>
      <c r="K320" s="460"/>
      <c r="L320" s="460"/>
      <c r="M320" s="460"/>
      <c r="N320" s="460"/>
      <c r="O320" s="459">
        <f t="shared" si="315"/>
        <v>0</v>
      </c>
      <c r="P320" s="460"/>
      <c r="Q320" s="460"/>
      <c r="R320" s="460"/>
      <c r="S320" s="460"/>
      <c r="T320" s="460"/>
      <c r="U320" s="463"/>
      <c r="V320" s="460"/>
      <c r="W320" s="460"/>
      <c r="X320" s="463">
        <f t="shared" si="333"/>
        <v>4</v>
      </c>
      <c r="Y320" s="463">
        <f t="shared" si="334"/>
        <v>0</v>
      </c>
      <c r="Z320" s="460"/>
      <c r="AA320" s="460"/>
      <c r="AB320" s="460"/>
      <c r="AC320" s="460"/>
      <c r="AD320" s="460"/>
      <c r="AE320" s="460"/>
      <c r="AF320" s="459">
        <f>SUM(AG320:AJ320)</f>
        <v>4</v>
      </c>
      <c r="AG320" s="460">
        <v>4</v>
      </c>
      <c r="AH320" s="460"/>
      <c r="AI320" s="460"/>
      <c r="AJ320" s="460"/>
      <c r="AK320" s="460"/>
      <c r="AL320" s="460"/>
      <c r="AM320" s="463">
        <f t="shared" si="316"/>
        <v>4</v>
      </c>
      <c r="AN320" s="463">
        <f t="shared" si="317"/>
        <v>0</v>
      </c>
      <c r="AO320" s="460">
        <f t="shared" si="318"/>
        <v>0</v>
      </c>
      <c r="AP320" s="460">
        <f t="shared" si="319"/>
        <v>0</v>
      </c>
      <c r="AQ320" s="460">
        <f t="shared" si="320"/>
        <v>0</v>
      </c>
      <c r="AR320" s="460">
        <f t="shared" si="321"/>
        <v>0</v>
      </c>
      <c r="AS320" s="460">
        <f t="shared" si="322"/>
        <v>0</v>
      </c>
      <c r="AT320" s="460">
        <f t="shared" si="323"/>
        <v>0</v>
      </c>
      <c r="AU320" s="463">
        <f t="shared" si="324"/>
        <v>4</v>
      </c>
      <c r="AV320" s="460">
        <f t="shared" si="335"/>
        <v>4</v>
      </c>
      <c r="AW320" s="460">
        <f>Q320+AH320</f>
        <v>0</v>
      </c>
      <c r="AX320" s="460">
        <f t="shared" si="325"/>
        <v>0</v>
      </c>
      <c r="AY320" s="460">
        <f t="shared" si="326"/>
        <v>0</v>
      </c>
      <c r="AZ320" s="463">
        <f t="shared" si="327"/>
        <v>0</v>
      </c>
      <c r="BA320" s="482"/>
      <c r="BB320" s="482"/>
    </row>
    <row r="321" s="425" customFormat="1" ht="39" customHeight="1" spans="1:54">
      <c r="A321" s="459">
        <v>316</v>
      </c>
      <c r="B321" s="460" t="s">
        <v>1161</v>
      </c>
      <c r="C321" s="460" t="s">
        <v>778</v>
      </c>
      <c r="D321" s="461" t="s">
        <v>1165</v>
      </c>
      <c r="E321" s="461" t="s">
        <v>1163</v>
      </c>
      <c r="F321" s="463">
        <f t="shared" si="328"/>
        <v>0</v>
      </c>
      <c r="G321" s="463">
        <f t="shared" si="332"/>
        <v>0</v>
      </c>
      <c r="H321" s="460"/>
      <c r="I321" s="460"/>
      <c r="J321" s="460"/>
      <c r="K321" s="460"/>
      <c r="L321" s="460"/>
      <c r="M321" s="460"/>
      <c r="N321" s="460"/>
      <c r="O321" s="459">
        <f t="shared" si="315"/>
        <v>0</v>
      </c>
      <c r="P321" s="460"/>
      <c r="Q321" s="460"/>
      <c r="R321" s="460"/>
      <c r="S321" s="460"/>
      <c r="T321" s="460"/>
      <c r="U321" s="463"/>
      <c r="V321" s="460"/>
      <c r="W321" s="460"/>
      <c r="X321" s="463">
        <f t="shared" si="333"/>
        <v>4</v>
      </c>
      <c r="Y321" s="463">
        <f t="shared" si="334"/>
        <v>0</v>
      </c>
      <c r="Z321" s="460"/>
      <c r="AA321" s="460"/>
      <c r="AB321" s="460"/>
      <c r="AC321" s="460"/>
      <c r="AD321" s="460"/>
      <c r="AE321" s="460"/>
      <c r="AF321" s="459">
        <f>SUM(AG321:AJ321)</f>
        <v>4</v>
      </c>
      <c r="AG321" s="460">
        <v>4</v>
      </c>
      <c r="AH321" s="460"/>
      <c r="AI321" s="460"/>
      <c r="AJ321" s="460"/>
      <c r="AK321" s="460"/>
      <c r="AL321" s="460"/>
      <c r="AM321" s="463">
        <f t="shared" si="316"/>
        <v>4</v>
      </c>
      <c r="AN321" s="463">
        <f t="shared" si="317"/>
        <v>0</v>
      </c>
      <c r="AO321" s="460">
        <f t="shared" si="318"/>
        <v>0</v>
      </c>
      <c r="AP321" s="460">
        <f t="shared" si="319"/>
        <v>0</v>
      </c>
      <c r="AQ321" s="460">
        <f t="shared" si="320"/>
        <v>0</v>
      </c>
      <c r="AR321" s="460">
        <f t="shared" si="321"/>
        <v>0</v>
      </c>
      <c r="AS321" s="460">
        <f t="shared" si="322"/>
        <v>0</v>
      </c>
      <c r="AT321" s="460">
        <f t="shared" si="323"/>
        <v>0</v>
      </c>
      <c r="AU321" s="463">
        <f t="shared" si="324"/>
        <v>4</v>
      </c>
      <c r="AV321" s="460">
        <f t="shared" si="335"/>
        <v>4</v>
      </c>
      <c r="AW321" s="460">
        <f>Q321+AH321</f>
        <v>0</v>
      </c>
      <c r="AX321" s="460">
        <f t="shared" si="325"/>
        <v>0</v>
      </c>
      <c r="AY321" s="460">
        <f t="shared" si="326"/>
        <v>0</v>
      </c>
      <c r="AZ321" s="463">
        <f t="shared" si="327"/>
        <v>0</v>
      </c>
      <c r="BA321" s="482"/>
      <c r="BB321" s="482"/>
    </row>
    <row r="322" s="425" customFormat="1" ht="39" customHeight="1" spans="1:54">
      <c r="A322" s="459">
        <v>317</v>
      </c>
      <c r="B322" s="460" t="s">
        <v>1161</v>
      </c>
      <c r="C322" s="460" t="s">
        <v>778</v>
      </c>
      <c r="D322" s="461" t="s">
        <v>1166</v>
      </c>
      <c r="E322" s="461" t="s">
        <v>1163</v>
      </c>
      <c r="F322" s="463">
        <f t="shared" si="328"/>
        <v>0</v>
      </c>
      <c r="G322" s="463">
        <f t="shared" si="332"/>
        <v>0</v>
      </c>
      <c r="H322" s="460"/>
      <c r="I322" s="460"/>
      <c r="J322" s="460"/>
      <c r="K322" s="460"/>
      <c r="L322" s="460"/>
      <c r="M322" s="460"/>
      <c r="N322" s="460"/>
      <c r="O322" s="459">
        <f t="shared" si="315"/>
        <v>0</v>
      </c>
      <c r="P322" s="460"/>
      <c r="Q322" s="460"/>
      <c r="R322" s="460"/>
      <c r="S322" s="460"/>
      <c r="T322" s="460"/>
      <c r="U322" s="463"/>
      <c r="V322" s="460"/>
      <c r="W322" s="460"/>
      <c r="X322" s="463">
        <f t="shared" si="333"/>
        <v>4</v>
      </c>
      <c r="Y322" s="463">
        <f t="shared" si="334"/>
        <v>0</v>
      </c>
      <c r="Z322" s="460"/>
      <c r="AA322" s="460"/>
      <c r="AB322" s="460"/>
      <c r="AC322" s="460"/>
      <c r="AD322" s="460"/>
      <c r="AE322" s="460"/>
      <c r="AF322" s="459">
        <f>SUM(AG322:AJ322)</f>
        <v>4</v>
      </c>
      <c r="AG322" s="460">
        <v>4</v>
      </c>
      <c r="AH322" s="460"/>
      <c r="AI322" s="460"/>
      <c r="AJ322" s="460"/>
      <c r="AK322" s="460"/>
      <c r="AL322" s="460"/>
      <c r="AM322" s="463">
        <f t="shared" si="316"/>
        <v>4</v>
      </c>
      <c r="AN322" s="463">
        <f t="shared" si="317"/>
        <v>0</v>
      </c>
      <c r="AO322" s="460">
        <f t="shared" si="318"/>
        <v>0</v>
      </c>
      <c r="AP322" s="460">
        <f t="shared" si="319"/>
        <v>0</v>
      </c>
      <c r="AQ322" s="460">
        <f t="shared" si="320"/>
        <v>0</v>
      </c>
      <c r="AR322" s="460">
        <f t="shared" si="321"/>
        <v>0</v>
      </c>
      <c r="AS322" s="460">
        <f t="shared" si="322"/>
        <v>0</v>
      </c>
      <c r="AT322" s="460">
        <f t="shared" si="323"/>
        <v>0</v>
      </c>
      <c r="AU322" s="463">
        <f t="shared" si="324"/>
        <v>4</v>
      </c>
      <c r="AV322" s="460">
        <f t="shared" si="335"/>
        <v>4</v>
      </c>
      <c r="AW322" s="460">
        <f>Q322+AH322</f>
        <v>0</v>
      </c>
      <c r="AX322" s="460">
        <f t="shared" si="325"/>
        <v>0</v>
      </c>
      <c r="AY322" s="460">
        <f t="shared" si="326"/>
        <v>0</v>
      </c>
      <c r="AZ322" s="463">
        <f t="shared" si="327"/>
        <v>0</v>
      </c>
      <c r="BA322" s="482"/>
      <c r="BB322" s="482"/>
    </row>
    <row r="323" s="425" customFormat="1" ht="39" customHeight="1" spans="1:54">
      <c r="A323" s="459">
        <v>318</v>
      </c>
      <c r="B323" s="460" t="s">
        <v>1161</v>
      </c>
      <c r="C323" s="460" t="s">
        <v>778</v>
      </c>
      <c r="D323" s="461" t="s">
        <v>1167</v>
      </c>
      <c r="E323" s="461" t="s">
        <v>1163</v>
      </c>
      <c r="F323" s="463">
        <f t="shared" si="328"/>
        <v>0</v>
      </c>
      <c r="G323" s="463">
        <f t="shared" si="332"/>
        <v>0</v>
      </c>
      <c r="H323" s="460"/>
      <c r="I323" s="460"/>
      <c r="J323" s="460"/>
      <c r="K323" s="460"/>
      <c r="L323" s="460"/>
      <c r="M323" s="460"/>
      <c r="N323" s="460"/>
      <c r="O323" s="459">
        <f t="shared" si="315"/>
        <v>0</v>
      </c>
      <c r="P323" s="460"/>
      <c r="Q323" s="460"/>
      <c r="R323" s="460"/>
      <c r="S323" s="460"/>
      <c r="T323" s="460"/>
      <c r="U323" s="463"/>
      <c r="V323" s="460"/>
      <c r="W323" s="460"/>
      <c r="X323" s="463">
        <f t="shared" si="333"/>
        <v>4</v>
      </c>
      <c r="Y323" s="463">
        <f t="shared" si="334"/>
        <v>0</v>
      </c>
      <c r="Z323" s="460"/>
      <c r="AA323" s="460"/>
      <c r="AB323" s="460"/>
      <c r="AC323" s="460"/>
      <c r="AD323" s="460"/>
      <c r="AE323" s="460"/>
      <c r="AF323" s="459">
        <f>SUM(AG323:AJ323)</f>
        <v>4</v>
      </c>
      <c r="AG323" s="460">
        <v>4</v>
      </c>
      <c r="AH323" s="460"/>
      <c r="AI323" s="460"/>
      <c r="AJ323" s="460"/>
      <c r="AK323" s="460"/>
      <c r="AL323" s="460"/>
      <c r="AM323" s="463">
        <f t="shared" si="316"/>
        <v>4</v>
      </c>
      <c r="AN323" s="463">
        <f t="shared" si="317"/>
        <v>0</v>
      </c>
      <c r="AO323" s="460">
        <f t="shared" si="318"/>
        <v>0</v>
      </c>
      <c r="AP323" s="460">
        <f t="shared" si="319"/>
        <v>0</v>
      </c>
      <c r="AQ323" s="460">
        <f t="shared" si="320"/>
        <v>0</v>
      </c>
      <c r="AR323" s="460">
        <f t="shared" si="321"/>
        <v>0</v>
      </c>
      <c r="AS323" s="460">
        <f t="shared" si="322"/>
        <v>0</v>
      </c>
      <c r="AT323" s="460">
        <f t="shared" si="323"/>
        <v>0</v>
      </c>
      <c r="AU323" s="463">
        <f t="shared" si="324"/>
        <v>4</v>
      </c>
      <c r="AV323" s="460">
        <f t="shared" si="335"/>
        <v>4</v>
      </c>
      <c r="AW323" s="460">
        <f>Q323+AH323</f>
        <v>0</v>
      </c>
      <c r="AX323" s="460">
        <f t="shared" si="325"/>
        <v>0</v>
      </c>
      <c r="AY323" s="460">
        <f t="shared" si="326"/>
        <v>0</v>
      </c>
      <c r="AZ323" s="463">
        <f t="shared" si="327"/>
        <v>0</v>
      </c>
      <c r="BA323" s="482"/>
      <c r="BB323" s="482"/>
    </row>
    <row r="324" s="426" customFormat="1" ht="27" customHeight="1" spans="1:54">
      <c r="A324" s="452">
        <v>319</v>
      </c>
      <c r="B324" s="485"/>
      <c r="C324" s="485"/>
      <c r="D324" s="486" t="s">
        <v>139</v>
      </c>
      <c r="E324" s="452">
        <v>216</v>
      </c>
      <c r="F324" s="456">
        <f>SUM(F325:F327)</f>
        <v>17.8</v>
      </c>
      <c r="G324" s="456">
        <f t="shared" ref="G324:AZ324" si="336">SUM(G325:G327)</f>
        <v>17.8</v>
      </c>
      <c r="H324" s="456">
        <f t="shared" si="336"/>
        <v>8.4</v>
      </c>
      <c r="I324" s="456">
        <f t="shared" si="336"/>
        <v>0</v>
      </c>
      <c r="J324" s="456">
        <f t="shared" si="336"/>
        <v>9.4</v>
      </c>
      <c r="K324" s="456">
        <f t="shared" si="336"/>
        <v>0</v>
      </c>
      <c r="L324" s="456">
        <f t="shared" si="336"/>
        <v>0</v>
      </c>
      <c r="M324" s="456">
        <f t="shared" si="336"/>
        <v>0</v>
      </c>
      <c r="N324" s="456"/>
      <c r="O324" s="456">
        <f t="shared" si="336"/>
        <v>0</v>
      </c>
      <c r="P324" s="456">
        <f t="shared" si="336"/>
        <v>0</v>
      </c>
      <c r="Q324" s="456">
        <f t="shared" si="336"/>
        <v>0</v>
      </c>
      <c r="R324" s="456">
        <f t="shared" si="336"/>
        <v>0</v>
      </c>
      <c r="S324" s="456">
        <f t="shared" si="336"/>
        <v>0</v>
      </c>
      <c r="T324" s="456">
        <f t="shared" si="336"/>
        <v>0</v>
      </c>
      <c r="U324" s="456">
        <f t="shared" si="336"/>
        <v>0</v>
      </c>
      <c r="V324" s="456">
        <f t="shared" si="336"/>
        <v>0</v>
      </c>
      <c r="W324" s="456"/>
      <c r="X324" s="456">
        <f t="shared" si="336"/>
        <v>73.35</v>
      </c>
      <c r="Y324" s="468">
        <f t="shared" si="336"/>
        <v>-1.37</v>
      </c>
      <c r="Z324" s="468">
        <f t="shared" si="336"/>
        <v>0</v>
      </c>
      <c r="AA324" s="468">
        <f t="shared" si="336"/>
        <v>0</v>
      </c>
      <c r="AB324" s="468">
        <f t="shared" si="336"/>
        <v>-1.37</v>
      </c>
      <c r="AC324" s="468">
        <f t="shared" si="336"/>
        <v>0</v>
      </c>
      <c r="AD324" s="468">
        <f t="shared" si="336"/>
        <v>0</v>
      </c>
      <c r="AE324" s="468">
        <f t="shared" si="336"/>
        <v>0</v>
      </c>
      <c r="AF324" s="456">
        <f t="shared" si="336"/>
        <v>74.72</v>
      </c>
      <c r="AG324" s="456">
        <f t="shared" si="336"/>
        <v>0.37</v>
      </c>
      <c r="AH324" s="456">
        <f t="shared" si="336"/>
        <v>0</v>
      </c>
      <c r="AI324" s="456">
        <f t="shared" si="336"/>
        <v>74.35</v>
      </c>
      <c r="AJ324" s="456">
        <f t="shared" si="336"/>
        <v>0</v>
      </c>
      <c r="AK324" s="456">
        <f t="shared" si="336"/>
        <v>0</v>
      </c>
      <c r="AL324" s="456"/>
      <c r="AM324" s="456">
        <f t="shared" si="336"/>
        <v>91.15</v>
      </c>
      <c r="AN324" s="456">
        <f t="shared" si="336"/>
        <v>16.43</v>
      </c>
      <c r="AO324" s="456">
        <f t="shared" si="336"/>
        <v>8.4</v>
      </c>
      <c r="AP324" s="456">
        <f t="shared" si="336"/>
        <v>0</v>
      </c>
      <c r="AQ324" s="456">
        <f t="shared" si="336"/>
        <v>8.03</v>
      </c>
      <c r="AR324" s="456">
        <f t="shared" si="336"/>
        <v>0</v>
      </c>
      <c r="AS324" s="456">
        <f t="shared" si="336"/>
        <v>0</v>
      </c>
      <c r="AT324" s="456">
        <f t="shared" si="336"/>
        <v>0</v>
      </c>
      <c r="AU324" s="456">
        <f t="shared" si="336"/>
        <v>74.72</v>
      </c>
      <c r="AV324" s="456">
        <f t="shared" si="336"/>
        <v>0.37</v>
      </c>
      <c r="AW324" s="456">
        <f t="shared" si="336"/>
        <v>0</v>
      </c>
      <c r="AX324" s="456">
        <f t="shared" si="336"/>
        <v>74.35</v>
      </c>
      <c r="AY324" s="456">
        <f t="shared" si="336"/>
        <v>0</v>
      </c>
      <c r="AZ324" s="456">
        <f t="shared" si="336"/>
        <v>0</v>
      </c>
      <c r="BA324" s="489"/>
      <c r="BB324" s="489"/>
    </row>
    <row r="325" s="425" customFormat="1" ht="39" customHeight="1" spans="1:54">
      <c r="A325" s="459">
        <v>320</v>
      </c>
      <c r="B325" s="460" t="s">
        <v>880</v>
      </c>
      <c r="C325" s="460" t="s">
        <v>206</v>
      </c>
      <c r="D325" s="461" t="s">
        <v>618</v>
      </c>
      <c r="E325" s="461" t="s">
        <v>1168</v>
      </c>
      <c r="F325" s="463">
        <f>G325+O325+U325</f>
        <v>16.6</v>
      </c>
      <c r="G325" s="463">
        <f>SUM(H325:M325)</f>
        <v>16.6</v>
      </c>
      <c r="H325" s="460">
        <v>7.2</v>
      </c>
      <c r="I325" s="460"/>
      <c r="J325" s="460">
        <v>9.4</v>
      </c>
      <c r="K325" s="460"/>
      <c r="L325" s="460"/>
      <c r="M325" s="460"/>
      <c r="N325" s="460"/>
      <c r="O325" s="459">
        <f>SUM(P325:S325)</f>
        <v>0</v>
      </c>
      <c r="P325" s="460"/>
      <c r="Q325" s="460"/>
      <c r="R325" s="460"/>
      <c r="S325" s="460"/>
      <c r="T325" s="460"/>
      <c r="U325" s="463"/>
      <c r="V325" s="460" t="s">
        <v>838</v>
      </c>
      <c r="W325" s="460" t="s">
        <v>1169</v>
      </c>
      <c r="X325" s="463">
        <f>Y325+AF325+AK325</f>
        <v>-1</v>
      </c>
      <c r="Y325" s="463">
        <f>SUM(Z325:AE325)</f>
        <v>-1.37</v>
      </c>
      <c r="Z325" s="460"/>
      <c r="AA325" s="460"/>
      <c r="AB325" s="460">
        <v>-1.37</v>
      </c>
      <c r="AC325" s="460"/>
      <c r="AD325" s="460"/>
      <c r="AE325" s="460"/>
      <c r="AF325" s="459">
        <f>SUM(AG325:AJ325)</f>
        <v>0.37</v>
      </c>
      <c r="AG325" s="460">
        <v>0.37</v>
      </c>
      <c r="AH325" s="460"/>
      <c r="AI325" s="460"/>
      <c r="AJ325" s="460"/>
      <c r="AK325" s="460"/>
      <c r="AL325" s="460"/>
      <c r="AM325" s="463">
        <f>AN325+AU325+AZ325</f>
        <v>15.6</v>
      </c>
      <c r="AN325" s="463">
        <f>SUM(AO325:AT325)</f>
        <v>15.23</v>
      </c>
      <c r="AO325" s="460">
        <f t="shared" ref="AO325:AT325" si="337">H325+Z325</f>
        <v>7.2</v>
      </c>
      <c r="AP325" s="460">
        <f t="shared" si="337"/>
        <v>0</v>
      </c>
      <c r="AQ325" s="460">
        <f t="shared" si="337"/>
        <v>8.03</v>
      </c>
      <c r="AR325" s="460">
        <f t="shared" si="337"/>
        <v>0</v>
      </c>
      <c r="AS325" s="460">
        <f t="shared" si="337"/>
        <v>0</v>
      </c>
      <c r="AT325" s="460">
        <f t="shared" si="337"/>
        <v>0</v>
      </c>
      <c r="AU325" s="463">
        <f>SUM(AV325:AY325)</f>
        <v>0.37</v>
      </c>
      <c r="AV325" s="460">
        <f>P325+AG325</f>
        <v>0.37</v>
      </c>
      <c r="AW325" s="460">
        <f>Q325+AH325</f>
        <v>0</v>
      </c>
      <c r="AX325" s="460">
        <f>R325+AI325</f>
        <v>0</v>
      </c>
      <c r="AY325" s="460">
        <f>S325+AJ325</f>
        <v>0</v>
      </c>
      <c r="AZ325" s="463">
        <f>U325+AK325</f>
        <v>0</v>
      </c>
      <c r="BA325" s="482"/>
      <c r="BB325" s="482"/>
    </row>
    <row r="326" s="425" customFormat="1" ht="39" customHeight="1" spans="1:54">
      <c r="A326" s="459">
        <v>321</v>
      </c>
      <c r="B326" s="460" t="s">
        <v>880</v>
      </c>
      <c r="C326" s="460" t="s">
        <v>206</v>
      </c>
      <c r="D326" s="461" t="s">
        <v>620</v>
      </c>
      <c r="E326" s="461" t="s">
        <v>1170</v>
      </c>
      <c r="F326" s="463">
        <f>G326+O326+U326</f>
        <v>1.2</v>
      </c>
      <c r="G326" s="463">
        <f>SUM(H326:M326)</f>
        <v>1.2</v>
      </c>
      <c r="H326" s="460">
        <v>1.2</v>
      </c>
      <c r="I326" s="460"/>
      <c r="J326" s="460"/>
      <c r="K326" s="460"/>
      <c r="L326" s="460"/>
      <c r="M326" s="460"/>
      <c r="N326" s="460"/>
      <c r="O326" s="459">
        <f>SUM(P326:S326)</f>
        <v>0</v>
      </c>
      <c r="P326" s="460"/>
      <c r="Q326" s="460"/>
      <c r="R326" s="460"/>
      <c r="S326" s="460"/>
      <c r="T326" s="460"/>
      <c r="U326" s="463"/>
      <c r="V326" s="460" t="s">
        <v>838</v>
      </c>
      <c r="W326" s="460" t="s">
        <v>1171</v>
      </c>
      <c r="X326" s="463">
        <f>Y326+AF326+AK326</f>
        <v>0</v>
      </c>
      <c r="Y326" s="463">
        <f>SUM(Z326:AE326)</f>
        <v>0</v>
      </c>
      <c r="Z326" s="460"/>
      <c r="AA326" s="460"/>
      <c r="AB326" s="460"/>
      <c r="AC326" s="460"/>
      <c r="AD326" s="460"/>
      <c r="AE326" s="460"/>
      <c r="AF326" s="459">
        <f>SUM(AG326:AJ326)</f>
        <v>0</v>
      </c>
      <c r="AG326" s="460"/>
      <c r="AH326" s="460"/>
      <c r="AI326" s="460"/>
      <c r="AJ326" s="460"/>
      <c r="AK326" s="460"/>
      <c r="AL326" s="460"/>
      <c r="AM326" s="463">
        <f>AN326+AU326+AZ326</f>
        <v>1.2</v>
      </c>
      <c r="AN326" s="463">
        <f>SUM(AO326:AT326)</f>
        <v>1.2</v>
      </c>
      <c r="AO326" s="460">
        <f t="shared" ref="AO326:AT326" si="338">H326+Z326</f>
        <v>1.2</v>
      </c>
      <c r="AP326" s="460">
        <f t="shared" si="338"/>
        <v>0</v>
      </c>
      <c r="AQ326" s="460">
        <f t="shared" si="338"/>
        <v>0</v>
      </c>
      <c r="AR326" s="460">
        <f t="shared" si="338"/>
        <v>0</v>
      </c>
      <c r="AS326" s="460">
        <f t="shared" si="338"/>
        <v>0</v>
      </c>
      <c r="AT326" s="460">
        <f t="shared" si="338"/>
        <v>0</v>
      </c>
      <c r="AU326" s="463">
        <f>SUM(AV326:AY326)</f>
        <v>0</v>
      </c>
      <c r="AV326" s="460">
        <f>P326+AG326</f>
        <v>0</v>
      </c>
      <c r="AW326" s="460">
        <f>Q326+AH326</f>
        <v>0</v>
      </c>
      <c r="AX326" s="460">
        <f>R326+AI326</f>
        <v>0</v>
      </c>
      <c r="AY326" s="460">
        <f>S326+AJ326</f>
        <v>0</v>
      </c>
      <c r="AZ326" s="463">
        <f>U326+AK326</f>
        <v>0</v>
      </c>
      <c r="BA326" s="482"/>
      <c r="BB326" s="482"/>
    </row>
    <row r="327" s="425" customFormat="1" ht="39" customHeight="1" spans="1:54">
      <c r="A327" s="459">
        <v>322</v>
      </c>
      <c r="B327" s="460" t="s">
        <v>880</v>
      </c>
      <c r="C327" s="460" t="s">
        <v>778</v>
      </c>
      <c r="D327" s="461" t="s">
        <v>1172</v>
      </c>
      <c r="E327" s="461" t="s">
        <v>1173</v>
      </c>
      <c r="F327" s="463">
        <f>G327+O327+U327</f>
        <v>0</v>
      </c>
      <c r="G327" s="463">
        <f>SUM(H327:M327)</f>
        <v>0</v>
      </c>
      <c r="H327" s="460"/>
      <c r="I327" s="460"/>
      <c r="J327" s="460"/>
      <c r="K327" s="460"/>
      <c r="L327" s="460"/>
      <c r="M327" s="460"/>
      <c r="N327" s="460"/>
      <c r="O327" s="459">
        <f>SUM(P327:S327)</f>
        <v>0</v>
      </c>
      <c r="P327" s="460"/>
      <c r="Q327" s="460"/>
      <c r="R327" s="460"/>
      <c r="S327" s="460"/>
      <c r="T327" s="460"/>
      <c r="U327" s="463"/>
      <c r="V327" s="460"/>
      <c r="W327" s="460"/>
      <c r="X327" s="463">
        <f>Y327+AF327+AK327</f>
        <v>74.35</v>
      </c>
      <c r="Y327" s="463">
        <f>SUM(Z327:AE327)</f>
        <v>0</v>
      </c>
      <c r="Z327" s="460"/>
      <c r="AA327" s="460"/>
      <c r="AB327" s="460"/>
      <c r="AC327" s="460"/>
      <c r="AD327" s="460"/>
      <c r="AE327" s="460"/>
      <c r="AF327" s="459">
        <f>SUM(AG327:AJ327)</f>
        <v>74.35</v>
      </c>
      <c r="AG327" s="460"/>
      <c r="AH327" s="460"/>
      <c r="AI327" s="460">
        <v>74.35</v>
      </c>
      <c r="AJ327" s="460"/>
      <c r="AK327" s="460"/>
      <c r="AL327" s="460"/>
      <c r="AM327" s="463">
        <f>AN327+AU327+AZ327</f>
        <v>74.35</v>
      </c>
      <c r="AN327" s="463">
        <f>SUM(AO327:AT327)</f>
        <v>0</v>
      </c>
      <c r="AO327" s="460">
        <f t="shared" ref="AO327:AT327" si="339">H327+Z327</f>
        <v>0</v>
      </c>
      <c r="AP327" s="460">
        <f t="shared" si="339"/>
        <v>0</v>
      </c>
      <c r="AQ327" s="460">
        <f t="shared" si="339"/>
        <v>0</v>
      </c>
      <c r="AR327" s="460">
        <f t="shared" si="339"/>
        <v>0</v>
      </c>
      <c r="AS327" s="460">
        <f t="shared" si="339"/>
        <v>0</v>
      </c>
      <c r="AT327" s="460">
        <f t="shared" si="339"/>
        <v>0</v>
      </c>
      <c r="AU327" s="463">
        <f>SUM(AV327:AY327)</f>
        <v>74.35</v>
      </c>
      <c r="AV327" s="460">
        <f>P327+AG327</f>
        <v>0</v>
      </c>
      <c r="AW327" s="460">
        <f>Q327+AH327</f>
        <v>0</v>
      </c>
      <c r="AX327" s="460">
        <f>R327+AI327</f>
        <v>74.35</v>
      </c>
      <c r="AY327" s="460">
        <f>S327+AJ327</f>
        <v>0</v>
      </c>
      <c r="AZ327" s="463">
        <f>U327+AK327</f>
        <v>0</v>
      </c>
      <c r="BA327" s="482"/>
      <c r="BB327" s="482"/>
    </row>
    <row r="328" s="426" customFormat="1" ht="26" customHeight="1" spans="1:54">
      <c r="A328" s="452">
        <v>323</v>
      </c>
      <c r="B328" s="485"/>
      <c r="C328" s="485"/>
      <c r="D328" s="486" t="s">
        <v>140</v>
      </c>
      <c r="E328" s="452">
        <v>217</v>
      </c>
      <c r="F328" s="456">
        <f>SUM(F329:F330)</f>
        <v>164</v>
      </c>
      <c r="G328" s="456">
        <f t="shared" ref="G328:M328" si="340">SUM(G329:G330)</f>
        <v>100</v>
      </c>
      <c r="H328" s="456">
        <f t="shared" si="340"/>
        <v>0</v>
      </c>
      <c r="I328" s="456">
        <f t="shared" si="340"/>
        <v>0</v>
      </c>
      <c r="J328" s="456">
        <f t="shared" si="340"/>
        <v>0</v>
      </c>
      <c r="K328" s="456">
        <f t="shared" si="340"/>
        <v>0</v>
      </c>
      <c r="L328" s="456">
        <f t="shared" si="340"/>
        <v>0</v>
      </c>
      <c r="M328" s="456">
        <f t="shared" si="340"/>
        <v>100</v>
      </c>
      <c r="N328" s="456"/>
      <c r="O328" s="456">
        <f>SUM(O329:O330)</f>
        <v>0</v>
      </c>
      <c r="P328" s="456">
        <f>SUM(P329:P330)</f>
        <v>0</v>
      </c>
      <c r="Q328" s="456">
        <f>SUM(Q329:Q330)</f>
        <v>0</v>
      </c>
      <c r="R328" s="456">
        <f>SUM(R329:R330)</f>
        <v>0</v>
      </c>
      <c r="S328" s="456">
        <f>SUM(S329:S330)</f>
        <v>0</v>
      </c>
      <c r="T328" s="456"/>
      <c r="U328" s="456">
        <f>SUM(U329:U330)</f>
        <v>64</v>
      </c>
      <c r="V328" s="456"/>
      <c r="W328" s="481"/>
      <c r="X328" s="468">
        <f t="shared" ref="X328:AH328" si="341">SUM(X329:X330)</f>
        <v>-70</v>
      </c>
      <c r="Y328" s="468">
        <f t="shared" si="341"/>
        <v>-100</v>
      </c>
      <c r="Z328" s="468">
        <f t="shared" si="341"/>
        <v>0</v>
      </c>
      <c r="AA328" s="468">
        <f t="shared" si="341"/>
        <v>0</v>
      </c>
      <c r="AB328" s="468">
        <f t="shared" si="341"/>
        <v>0</v>
      </c>
      <c r="AC328" s="468">
        <f t="shared" si="341"/>
        <v>0</v>
      </c>
      <c r="AD328" s="468">
        <f t="shared" si="341"/>
        <v>0</v>
      </c>
      <c r="AE328" s="468">
        <f t="shared" si="341"/>
        <v>-100</v>
      </c>
      <c r="AF328" s="468">
        <f t="shared" si="341"/>
        <v>0</v>
      </c>
      <c r="AG328" s="468">
        <f t="shared" si="341"/>
        <v>0</v>
      </c>
      <c r="AH328" s="468">
        <f t="shared" si="341"/>
        <v>0</v>
      </c>
      <c r="AI328" s="468">
        <f t="shared" ref="AI328:BA328" si="342">SUM(AI329:AI330)</f>
        <v>0</v>
      </c>
      <c r="AJ328" s="468">
        <f t="shared" si="342"/>
        <v>0</v>
      </c>
      <c r="AK328" s="468">
        <f t="shared" si="342"/>
        <v>30</v>
      </c>
      <c r="AL328" s="456"/>
      <c r="AM328" s="468">
        <f t="shared" si="342"/>
        <v>94</v>
      </c>
      <c r="AN328" s="468">
        <f t="shared" si="342"/>
        <v>0</v>
      </c>
      <c r="AO328" s="468">
        <f t="shared" si="342"/>
        <v>0</v>
      </c>
      <c r="AP328" s="468">
        <f t="shared" si="342"/>
        <v>0</v>
      </c>
      <c r="AQ328" s="468">
        <f t="shared" si="342"/>
        <v>0</v>
      </c>
      <c r="AR328" s="468">
        <f t="shared" si="342"/>
        <v>0</v>
      </c>
      <c r="AS328" s="468">
        <f t="shared" si="342"/>
        <v>0</v>
      </c>
      <c r="AT328" s="468">
        <f t="shared" si="342"/>
        <v>0</v>
      </c>
      <c r="AU328" s="468">
        <f t="shared" si="342"/>
        <v>0</v>
      </c>
      <c r="AV328" s="468">
        <f t="shared" si="342"/>
        <v>0</v>
      </c>
      <c r="AW328" s="468">
        <f t="shared" si="342"/>
        <v>0</v>
      </c>
      <c r="AX328" s="468">
        <f t="shared" si="342"/>
        <v>0</v>
      </c>
      <c r="AY328" s="468">
        <f t="shared" si="342"/>
        <v>0</v>
      </c>
      <c r="AZ328" s="468">
        <f t="shared" si="342"/>
        <v>94</v>
      </c>
      <c r="BA328" s="489"/>
      <c r="BB328" s="489"/>
    </row>
    <row r="329" s="425" customFormat="1" ht="36" customHeight="1" spans="1:54">
      <c r="A329" s="459">
        <v>324</v>
      </c>
      <c r="B329" s="460" t="s">
        <v>856</v>
      </c>
      <c r="C329" s="460" t="s">
        <v>778</v>
      </c>
      <c r="D329" s="461" t="s">
        <v>1174</v>
      </c>
      <c r="E329" s="461" t="s">
        <v>1175</v>
      </c>
      <c r="F329" s="463">
        <f>G329+O329+U329</f>
        <v>100</v>
      </c>
      <c r="G329" s="463">
        <f>SUM(H329:M329)</f>
        <v>100</v>
      </c>
      <c r="H329" s="460"/>
      <c r="I329" s="460"/>
      <c r="J329" s="460"/>
      <c r="K329" s="460"/>
      <c r="L329" s="460"/>
      <c r="M329" s="460">
        <v>100</v>
      </c>
      <c r="N329" s="460" t="s">
        <v>1176</v>
      </c>
      <c r="O329" s="459">
        <f>SUM(P329:S329)</f>
        <v>0</v>
      </c>
      <c r="P329" s="460"/>
      <c r="Q329" s="460"/>
      <c r="R329" s="460"/>
      <c r="S329" s="460"/>
      <c r="T329" s="460"/>
      <c r="U329" s="463"/>
      <c r="V329" s="460"/>
      <c r="W329" s="461"/>
      <c r="X329" s="463">
        <f>Y329+AF329+AK329</f>
        <v>-100</v>
      </c>
      <c r="Y329" s="463">
        <f>SUM(Z329:AE329)</f>
        <v>-100</v>
      </c>
      <c r="Z329" s="460"/>
      <c r="AA329" s="460"/>
      <c r="AB329" s="460"/>
      <c r="AC329" s="460"/>
      <c r="AD329" s="460"/>
      <c r="AE329" s="460">
        <f>-2.5-97.5</f>
        <v>-100</v>
      </c>
      <c r="AF329" s="459">
        <f>SUM(AG329:AJ329)</f>
        <v>0</v>
      </c>
      <c r="AG329" s="460"/>
      <c r="AH329" s="460"/>
      <c r="AI329" s="460"/>
      <c r="AJ329" s="460"/>
      <c r="AK329" s="460"/>
      <c r="AL329" s="460" t="s">
        <v>1177</v>
      </c>
      <c r="AM329" s="463">
        <f>AN329+AU329+AZ329</f>
        <v>0</v>
      </c>
      <c r="AN329" s="463">
        <f>SUM(AO329:AT329)</f>
        <v>0</v>
      </c>
      <c r="AO329" s="460">
        <f t="shared" ref="AO329:AT329" si="343">H329+Z329</f>
        <v>0</v>
      </c>
      <c r="AP329" s="460">
        <f t="shared" si="343"/>
        <v>0</v>
      </c>
      <c r="AQ329" s="460">
        <f t="shared" si="343"/>
        <v>0</v>
      </c>
      <c r="AR329" s="460">
        <f t="shared" si="343"/>
        <v>0</v>
      </c>
      <c r="AS329" s="460">
        <f t="shared" si="343"/>
        <v>0</v>
      </c>
      <c r="AT329" s="460">
        <f t="shared" si="343"/>
        <v>0</v>
      </c>
      <c r="AU329" s="463">
        <f>SUM(AV329:AY329)</f>
        <v>0</v>
      </c>
      <c r="AV329" s="460">
        <f>P329+AG329</f>
        <v>0</v>
      </c>
      <c r="AW329" s="460">
        <f>Q329+AH329</f>
        <v>0</v>
      </c>
      <c r="AX329" s="460">
        <f>R329+AI329</f>
        <v>0</v>
      </c>
      <c r="AY329" s="460">
        <f>S329+AJ329</f>
        <v>0</v>
      </c>
      <c r="AZ329" s="463">
        <f>U329+AK329</f>
        <v>0</v>
      </c>
      <c r="BA329" s="482"/>
      <c r="BB329" s="482"/>
    </row>
    <row r="330" s="425" customFormat="1" ht="39" customHeight="1" spans="1:54">
      <c r="A330" s="459">
        <v>325</v>
      </c>
      <c r="B330" s="460" t="s">
        <v>856</v>
      </c>
      <c r="C330" s="460" t="s">
        <v>206</v>
      </c>
      <c r="D330" s="461" t="s">
        <v>281</v>
      </c>
      <c r="E330" s="461" t="s">
        <v>1175</v>
      </c>
      <c r="F330" s="463">
        <f t="shared" ref="F330:F343" si="344">G330+O330+U330</f>
        <v>64</v>
      </c>
      <c r="G330" s="463">
        <f>SUM(H330:M330)</f>
        <v>0</v>
      </c>
      <c r="H330" s="460"/>
      <c r="I330" s="460"/>
      <c r="J330" s="460"/>
      <c r="K330" s="460"/>
      <c r="L330" s="460"/>
      <c r="M330" s="460"/>
      <c r="N330" s="460"/>
      <c r="O330" s="459">
        <f>SUM(P330:S330)</f>
        <v>0</v>
      </c>
      <c r="P330" s="460"/>
      <c r="Q330" s="460"/>
      <c r="R330" s="460"/>
      <c r="S330" s="460"/>
      <c r="T330" s="460"/>
      <c r="U330" s="463">
        <v>64</v>
      </c>
      <c r="V330" s="460" t="s">
        <v>838</v>
      </c>
      <c r="W330" s="461" t="s">
        <v>1178</v>
      </c>
      <c r="X330" s="463">
        <f>Y330+AF330+AK330</f>
        <v>30</v>
      </c>
      <c r="Y330" s="463">
        <f>SUM(Z330:AE330)</f>
        <v>0</v>
      </c>
      <c r="Z330" s="460"/>
      <c r="AA330" s="460"/>
      <c r="AB330" s="460"/>
      <c r="AC330" s="460"/>
      <c r="AD330" s="460"/>
      <c r="AE330" s="460"/>
      <c r="AF330" s="459">
        <f>SUM(AG330:AJ330)</f>
        <v>0</v>
      </c>
      <c r="AG330" s="460"/>
      <c r="AH330" s="460"/>
      <c r="AI330" s="460"/>
      <c r="AJ330" s="460"/>
      <c r="AK330" s="460">
        <v>30</v>
      </c>
      <c r="AL330" s="460" t="s">
        <v>1179</v>
      </c>
      <c r="AM330" s="463">
        <f>AN330+AU330+AZ330</f>
        <v>94</v>
      </c>
      <c r="AN330" s="463">
        <f>SUM(AO330:AT330)</f>
        <v>0</v>
      </c>
      <c r="AO330" s="460">
        <f t="shared" ref="AO330:AT330" si="345">H330+Z330</f>
        <v>0</v>
      </c>
      <c r="AP330" s="460">
        <f t="shared" si="345"/>
        <v>0</v>
      </c>
      <c r="AQ330" s="460">
        <f t="shared" si="345"/>
        <v>0</v>
      </c>
      <c r="AR330" s="460">
        <f t="shared" si="345"/>
        <v>0</v>
      </c>
      <c r="AS330" s="460">
        <f t="shared" si="345"/>
        <v>0</v>
      </c>
      <c r="AT330" s="460">
        <f t="shared" si="345"/>
        <v>0</v>
      </c>
      <c r="AU330" s="463">
        <f>SUM(AV330:AY330)</f>
        <v>0</v>
      </c>
      <c r="AV330" s="460">
        <f>P330+AG330</f>
        <v>0</v>
      </c>
      <c r="AW330" s="460">
        <f>Q330+AH330</f>
        <v>0</v>
      </c>
      <c r="AX330" s="460">
        <f>R330+AI330</f>
        <v>0</v>
      </c>
      <c r="AY330" s="460">
        <f>S330+AJ330</f>
        <v>0</v>
      </c>
      <c r="AZ330" s="463">
        <f>U330+AK330</f>
        <v>94</v>
      </c>
      <c r="BA330" s="482"/>
      <c r="BB330" s="482"/>
    </row>
    <row r="331" s="426" customFormat="1" ht="24" spans="1:54">
      <c r="A331" s="452">
        <v>326</v>
      </c>
      <c r="B331" s="485"/>
      <c r="C331" s="485"/>
      <c r="D331" s="486" t="s">
        <v>142</v>
      </c>
      <c r="E331" s="452">
        <v>220</v>
      </c>
      <c r="F331" s="456">
        <f>SUM(F332:F338)</f>
        <v>862.25</v>
      </c>
      <c r="G331" s="456">
        <f>SUM(G332:G338)</f>
        <v>264.5</v>
      </c>
      <c r="H331" s="456">
        <f t="shared" ref="H331:M331" si="346">SUM(H332:H338)</f>
        <v>78.4</v>
      </c>
      <c r="I331" s="456">
        <f t="shared" si="346"/>
        <v>0</v>
      </c>
      <c r="J331" s="456">
        <f t="shared" si="346"/>
        <v>36.1</v>
      </c>
      <c r="K331" s="456">
        <f t="shared" si="346"/>
        <v>0</v>
      </c>
      <c r="L331" s="456">
        <f t="shared" si="346"/>
        <v>0</v>
      </c>
      <c r="M331" s="456">
        <f t="shared" si="346"/>
        <v>150</v>
      </c>
      <c r="N331" s="456"/>
      <c r="O331" s="456">
        <f>SUM(O332:O338)</f>
        <v>597.75</v>
      </c>
      <c r="P331" s="456">
        <f>SUM(P332:P338)</f>
        <v>7.75</v>
      </c>
      <c r="Q331" s="456">
        <f>SUM(Q332:Q338)</f>
        <v>90</v>
      </c>
      <c r="R331" s="456">
        <f>SUM(R332:R338)</f>
        <v>0</v>
      </c>
      <c r="S331" s="456">
        <f>SUM(S332:S338)</f>
        <v>500</v>
      </c>
      <c r="T331" s="456"/>
      <c r="U331" s="456">
        <f>SUM(U332:U338)</f>
        <v>0</v>
      </c>
      <c r="V331" s="456"/>
      <c r="W331" s="481"/>
      <c r="X331" s="468">
        <f t="shared" ref="X331:AM331" si="347">SUM(X332:X338)</f>
        <v>580.2021</v>
      </c>
      <c r="Y331" s="468">
        <f t="shared" si="347"/>
        <v>435.83</v>
      </c>
      <c r="Z331" s="468">
        <f t="shared" si="347"/>
        <v>16.2</v>
      </c>
      <c r="AA331" s="468">
        <f t="shared" si="347"/>
        <v>0</v>
      </c>
      <c r="AB331" s="468">
        <f t="shared" si="347"/>
        <v>0.63</v>
      </c>
      <c r="AC331" s="468">
        <f t="shared" si="347"/>
        <v>0</v>
      </c>
      <c r="AD331" s="468">
        <f t="shared" si="347"/>
        <v>0</v>
      </c>
      <c r="AE331" s="468">
        <f t="shared" si="347"/>
        <v>419</v>
      </c>
      <c r="AF331" s="468">
        <f t="shared" si="347"/>
        <v>141.3721</v>
      </c>
      <c r="AG331" s="468">
        <f t="shared" si="347"/>
        <v>9.41</v>
      </c>
      <c r="AH331" s="468">
        <f t="shared" si="347"/>
        <v>50.9</v>
      </c>
      <c r="AI331" s="468">
        <f t="shared" si="347"/>
        <v>0</v>
      </c>
      <c r="AJ331" s="468">
        <f t="shared" si="347"/>
        <v>81.0621</v>
      </c>
      <c r="AK331" s="468">
        <f t="shared" si="347"/>
        <v>3</v>
      </c>
      <c r="AL331" s="456"/>
      <c r="AM331" s="468">
        <f t="shared" ref="AL331:BA331" si="348">SUM(AM332:AM338)</f>
        <v>1442.4521</v>
      </c>
      <c r="AN331" s="468">
        <f t="shared" si="348"/>
        <v>700.33</v>
      </c>
      <c r="AO331" s="468">
        <f t="shared" si="348"/>
        <v>94.6</v>
      </c>
      <c r="AP331" s="468">
        <f t="shared" si="348"/>
        <v>0</v>
      </c>
      <c r="AQ331" s="468">
        <f t="shared" si="348"/>
        <v>36.73</v>
      </c>
      <c r="AR331" s="468">
        <f t="shared" si="348"/>
        <v>0</v>
      </c>
      <c r="AS331" s="468">
        <f t="shared" si="348"/>
        <v>0</v>
      </c>
      <c r="AT331" s="468">
        <f t="shared" si="348"/>
        <v>569</v>
      </c>
      <c r="AU331" s="468">
        <f t="shared" si="348"/>
        <v>739.1221</v>
      </c>
      <c r="AV331" s="468">
        <f t="shared" si="348"/>
        <v>17.16</v>
      </c>
      <c r="AW331" s="468">
        <f t="shared" si="348"/>
        <v>140.9</v>
      </c>
      <c r="AX331" s="468">
        <f t="shared" si="348"/>
        <v>0</v>
      </c>
      <c r="AY331" s="468">
        <f t="shared" si="348"/>
        <v>581.0621</v>
      </c>
      <c r="AZ331" s="468">
        <f t="shared" si="348"/>
        <v>3</v>
      </c>
      <c r="BA331" s="489"/>
      <c r="BB331" s="489"/>
    </row>
    <row r="332" s="425" customFormat="1" ht="48" spans="1:54">
      <c r="A332" s="459">
        <v>327</v>
      </c>
      <c r="B332" s="460" t="s">
        <v>1117</v>
      </c>
      <c r="C332" s="460" t="s">
        <v>203</v>
      </c>
      <c r="D332" s="461" t="s">
        <v>622</v>
      </c>
      <c r="E332" s="461" t="s">
        <v>1180</v>
      </c>
      <c r="F332" s="463">
        <f t="shared" si="344"/>
        <v>176.25</v>
      </c>
      <c r="G332" s="463">
        <f t="shared" ref="G332:G338" si="349">SUM(H332:M332)</f>
        <v>128.5</v>
      </c>
      <c r="H332" s="460">
        <v>42.4</v>
      </c>
      <c r="I332" s="460"/>
      <c r="J332" s="460">
        <v>36.1</v>
      </c>
      <c r="K332" s="460"/>
      <c r="L332" s="460"/>
      <c r="M332" s="460">
        <v>50</v>
      </c>
      <c r="N332" s="460" t="s">
        <v>1181</v>
      </c>
      <c r="O332" s="459">
        <f>SUM(P332:S332)</f>
        <v>47.75</v>
      </c>
      <c r="P332" s="460">
        <v>7.75</v>
      </c>
      <c r="Q332" s="460">
        <v>40</v>
      </c>
      <c r="R332" s="460"/>
      <c r="S332" s="460"/>
      <c r="T332" s="460"/>
      <c r="U332" s="463"/>
      <c r="V332" s="460"/>
      <c r="W332" s="460"/>
      <c r="X332" s="463">
        <f>Y332+AF332+AK332</f>
        <v>465.18</v>
      </c>
      <c r="Y332" s="463">
        <f>SUM(Z332:AE332)</f>
        <v>419.63</v>
      </c>
      <c r="Z332" s="460"/>
      <c r="AA332" s="460"/>
      <c r="AB332" s="460">
        <v>0.63</v>
      </c>
      <c r="AC332" s="460"/>
      <c r="AD332" s="460"/>
      <c r="AE332" s="460">
        <v>419</v>
      </c>
      <c r="AF332" s="459">
        <f>SUM(AG332:AJ332)</f>
        <v>44.05</v>
      </c>
      <c r="AG332" s="460">
        <f>1.41+8</f>
        <v>9.41</v>
      </c>
      <c r="AH332" s="460">
        <v>34.64</v>
      </c>
      <c r="AI332" s="460"/>
      <c r="AJ332" s="460"/>
      <c r="AK332" s="460">
        <v>1.5</v>
      </c>
      <c r="AL332" s="460" t="s">
        <v>1182</v>
      </c>
      <c r="AM332" s="463">
        <f t="shared" ref="AM332:AM338" si="350">AN332+AU332+AZ332</f>
        <v>641.43</v>
      </c>
      <c r="AN332" s="463">
        <f t="shared" ref="AN332:AN338" si="351">SUM(AO332:AT332)</f>
        <v>548.13</v>
      </c>
      <c r="AO332" s="460">
        <f t="shared" ref="AO332:AT332" si="352">H332+Z332</f>
        <v>42.4</v>
      </c>
      <c r="AP332" s="460">
        <f t="shared" si="352"/>
        <v>0</v>
      </c>
      <c r="AQ332" s="460">
        <f t="shared" si="352"/>
        <v>36.73</v>
      </c>
      <c r="AR332" s="460">
        <f t="shared" si="352"/>
        <v>0</v>
      </c>
      <c r="AS332" s="460">
        <f t="shared" si="352"/>
        <v>0</v>
      </c>
      <c r="AT332" s="460">
        <f t="shared" si="352"/>
        <v>469</v>
      </c>
      <c r="AU332" s="463">
        <f t="shared" ref="AU332:AU338" si="353">SUM(AV332:AY332)</f>
        <v>91.8</v>
      </c>
      <c r="AV332" s="460">
        <f t="shared" ref="AV332:AV338" si="354">P332+AG332</f>
        <v>17.16</v>
      </c>
      <c r="AW332" s="460">
        <f t="shared" ref="AW332:AW338" si="355">Q332+AH332</f>
        <v>74.64</v>
      </c>
      <c r="AX332" s="460">
        <f t="shared" ref="AX332:AX338" si="356">R332+AI332</f>
        <v>0</v>
      </c>
      <c r="AY332" s="460">
        <f t="shared" ref="AY332:AY338" si="357">S332+AJ332</f>
        <v>0</v>
      </c>
      <c r="AZ332" s="463">
        <f t="shared" ref="AZ332:AZ338" si="358">U332+AK332</f>
        <v>1.5</v>
      </c>
      <c r="BA332" s="482"/>
      <c r="BB332" s="482"/>
    </row>
    <row r="333" s="425" customFormat="1" ht="34" customHeight="1" spans="1:54">
      <c r="A333" s="459">
        <v>328</v>
      </c>
      <c r="B333" s="460" t="s">
        <v>1117</v>
      </c>
      <c r="C333" s="460" t="s">
        <v>206</v>
      </c>
      <c r="D333" s="461" t="s">
        <v>625</v>
      </c>
      <c r="E333" s="461" t="s">
        <v>1183</v>
      </c>
      <c r="F333" s="463">
        <f t="shared" si="344"/>
        <v>15</v>
      </c>
      <c r="G333" s="463">
        <f t="shared" si="349"/>
        <v>15</v>
      </c>
      <c r="H333" s="460">
        <v>15</v>
      </c>
      <c r="I333" s="460"/>
      <c r="J333" s="460"/>
      <c r="K333" s="460"/>
      <c r="L333" s="460"/>
      <c r="M333" s="460"/>
      <c r="N333" s="460"/>
      <c r="O333" s="459">
        <f t="shared" ref="O333:O338" si="359">SUM(P333:S333)</f>
        <v>0</v>
      </c>
      <c r="P333" s="460"/>
      <c r="Q333" s="460"/>
      <c r="R333" s="460"/>
      <c r="S333" s="460"/>
      <c r="T333" s="460"/>
      <c r="U333" s="463"/>
      <c r="V333" s="460"/>
      <c r="W333" s="460"/>
      <c r="X333" s="463">
        <f t="shared" ref="X333:X338" si="360">Y333+AF333+AK333</f>
        <v>0</v>
      </c>
      <c r="Y333" s="463">
        <f t="shared" ref="Y333:Y338" si="361">SUM(Z333:AE333)</f>
        <v>0</v>
      </c>
      <c r="Z333" s="460"/>
      <c r="AA333" s="460"/>
      <c r="AB333" s="460"/>
      <c r="AC333" s="460"/>
      <c r="AD333" s="460"/>
      <c r="AE333" s="460"/>
      <c r="AF333" s="459">
        <f t="shared" ref="AF333:AF338" si="362">SUM(AG333:AJ333)</f>
        <v>0</v>
      </c>
      <c r="AG333" s="460"/>
      <c r="AH333" s="460"/>
      <c r="AI333" s="460"/>
      <c r="AJ333" s="460"/>
      <c r="AK333" s="460"/>
      <c r="AL333" s="460"/>
      <c r="AM333" s="463">
        <f t="shared" si="350"/>
        <v>15</v>
      </c>
      <c r="AN333" s="463">
        <f t="shared" si="351"/>
        <v>15</v>
      </c>
      <c r="AO333" s="460">
        <f t="shared" ref="AO333:AT333" si="363">H333+Z333</f>
        <v>15</v>
      </c>
      <c r="AP333" s="460">
        <f t="shared" si="363"/>
        <v>0</v>
      </c>
      <c r="AQ333" s="460">
        <f t="shared" si="363"/>
        <v>0</v>
      </c>
      <c r="AR333" s="460">
        <f t="shared" si="363"/>
        <v>0</v>
      </c>
      <c r="AS333" s="460">
        <f t="shared" si="363"/>
        <v>0</v>
      </c>
      <c r="AT333" s="460">
        <f t="shared" si="363"/>
        <v>0</v>
      </c>
      <c r="AU333" s="463">
        <f t="shared" si="353"/>
        <v>0</v>
      </c>
      <c r="AV333" s="460">
        <f t="shared" si="354"/>
        <v>0</v>
      </c>
      <c r="AW333" s="460">
        <f t="shared" si="355"/>
        <v>0</v>
      </c>
      <c r="AX333" s="460">
        <f t="shared" si="356"/>
        <v>0</v>
      </c>
      <c r="AY333" s="460">
        <f t="shared" si="357"/>
        <v>0</v>
      </c>
      <c r="AZ333" s="463">
        <f t="shared" si="358"/>
        <v>0</v>
      </c>
      <c r="BA333" s="482"/>
      <c r="BB333" s="482"/>
    </row>
    <row r="334" s="425" customFormat="1" ht="34" customHeight="1" spans="1:54">
      <c r="A334" s="459">
        <v>329</v>
      </c>
      <c r="B334" s="460" t="s">
        <v>1117</v>
      </c>
      <c r="C334" s="460" t="s">
        <v>206</v>
      </c>
      <c r="D334" s="461" t="s">
        <v>627</v>
      </c>
      <c r="E334" s="461" t="s">
        <v>1183</v>
      </c>
      <c r="F334" s="463">
        <f t="shared" si="344"/>
        <v>66.6</v>
      </c>
      <c r="G334" s="463">
        <f t="shared" si="349"/>
        <v>66.6</v>
      </c>
      <c r="H334" s="460">
        <v>6.6</v>
      </c>
      <c r="I334" s="460"/>
      <c r="J334" s="460"/>
      <c r="K334" s="460"/>
      <c r="L334" s="460"/>
      <c r="M334" s="460">
        <v>60</v>
      </c>
      <c r="N334" s="460" t="s">
        <v>1184</v>
      </c>
      <c r="O334" s="459">
        <f t="shared" si="359"/>
        <v>0</v>
      </c>
      <c r="P334" s="460"/>
      <c r="Q334" s="460"/>
      <c r="R334" s="460"/>
      <c r="S334" s="460"/>
      <c r="T334" s="460"/>
      <c r="U334" s="463"/>
      <c r="V334" s="460"/>
      <c r="W334" s="460"/>
      <c r="X334" s="463">
        <f t="shared" si="360"/>
        <v>25</v>
      </c>
      <c r="Y334" s="463">
        <f t="shared" si="361"/>
        <v>0</v>
      </c>
      <c r="Z334" s="460"/>
      <c r="AA334" s="460"/>
      <c r="AB334" s="460"/>
      <c r="AC334" s="460"/>
      <c r="AD334" s="460"/>
      <c r="AE334" s="460"/>
      <c r="AF334" s="459">
        <f t="shared" si="362"/>
        <v>25</v>
      </c>
      <c r="AG334" s="460"/>
      <c r="AH334" s="460"/>
      <c r="AI334" s="460"/>
      <c r="AJ334" s="460">
        <v>25</v>
      </c>
      <c r="AK334" s="460"/>
      <c r="AL334" s="460" t="s">
        <v>1185</v>
      </c>
      <c r="AM334" s="463">
        <f t="shared" si="350"/>
        <v>91.6</v>
      </c>
      <c r="AN334" s="463">
        <f t="shared" si="351"/>
        <v>66.6</v>
      </c>
      <c r="AO334" s="460">
        <f t="shared" ref="AO334:AT334" si="364">H334+Z334</f>
        <v>6.6</v>
      </c>
      <c r="AP334" s="460">
        <f t="shared" si="364"/>
        <v>0</v>
      </c>
      <c r="AQ334" s="460">
        <f t="shared" si="364"/>
        <v>0</v>
      </c>
      <c r="AR334" s="460">
        <f t="shared" si="364"/>
        <v>0</v>
      </c>
      <c r="AS334" s="460">
        <f t="shared" si="364"/>
        <v>0</v>
      </c>
      <c r="AT334" s="460">
        <f t="shared" si="364"/>
        <v>60</v>
      </c>
      <c r="AU334" s="463">
        <f t="shared" si="353"/>
        <v>25</v>
      </c>
      <c r="AV334" s="460">
        <f t="shared" si="354"/>
        <v>0</v>
      </c>
      <c r="AW334" s="460">
        <f t="shared" si="355"/>
        <v>0</v>
      </c>
      <c r="AX334" s="460">
        <f t="shared" si="356"/>
        <v>0</v>
      </c>
      <c r="AY334" s="460">
        <f t="shared" si="357"/>
        <v>25</v>
      </c>
      <c r="AZ334" s="463">
        <f t="shared" si="358"/>
        <v>0</v>
      </c>
      <c r="BA334" s="482"/>
      <c r="BB334" s="482"/>
    </row>
    <row r="335" s="425" customFormat="1" ht="34" customHeight="1" spans="1:54">
      <c r="A335" s="459">
        <v>330</v>
      </c>
      <c r="B335" s="460" t="s">
        <v>1117</v>
      </c>
      <c r="C335" s="460" t="s">
        <v>206</v>
      </c>
      <c r="D335" s="461" t="s">
        <v>628</v>
      </c>
      <c r="E335" s="461" t="s">
        <v>1183</v>
      </c>
      <c r="F335" s="463">
        <f t="shared" si="344"/>
        <v>50</v>
      </c>
      <c r="G335" s="463">
        <f t="shared" si="349"/>
        <v>0</v>
      </c>
      <c r="H335" s="460"/>
      <c r="I335" s="460"/>
      <c r="J335" s="460"/>
      <c r="K335" s="460"/>
      <c r="L335" s="460"/>
      <c r="M335" s="460"/>
      <c r="N335" s="460"/>
      <c r="O335" s="459">
        <f t="shared" si="359"/>
        <v>50</v>
      </c>
      <c r="P335" s="460"/>
      <c r="Q335" s="460">
        <v>50</v>
      </c>
      <c r="R335" s="460"/>
      <c r="S335" s="460"/>
      <c r="T335" s="460"/>
      <c r="U335" s="463"/>
      <c r="V335" s="460"/>
      <c r="W335" s="460"/>
      <c r="X335" s="463">
        <f t="shared" si="360"/>
        <v>88.5221</v>
      </c>
      <c r="Y335" s="463">
        <f t="shared" si="361"/>
        <v>16.2</v>
      </c>
      <c r="Z335" s="460">
        <v>16.2</v>
      </c>
      <c r="AA335" s="460"/>
      <c r="AB335" s="460"/>
      <c r="AC335" s="460"/>
      <c r="AD335" s="460"/>
      <c r="AE335" s="460"/>
      <c r="AF335" s="459">
        <f t="shared" si="362"/>
        <v>72.3221</v>
      </c>
      <c r="AG335" s="460"/>
      <c r="AH335" s="460">
        <v>16.26</v>
      </c>
      <c r="AI335" s="460"/>
      <c r="AJ335" s="505">
        <f>30+26.0621</f>
        <v>56.0621</v>
      </c>
      <c r="AK335" s="460"/>
      <c r="AL335" s="460" t="s">
        <v>1186</v>
      </c>
      <c r="AM335" s="463">
        <f t="shared" si="350"/>
        <v>138.5221</v>
      </c>
      <c r="AN335" s="463">
        <f t="shared" si="351"/>
        <v>16.2</v>
      </c>
      <c r="AO335" s="460">
        <f t="shared" ref="AO335:AT335" si="365">H335+Z335</f>
        <v>16.2</v>
      </c>
      <c r="AP335" s="460">
        <f t="shared" si="365"/>
        <v>0</v>
      </c>
      <c r="AQ335" s="460">
        <f t="shared" si="365"/>
        <v>0</v>
      </c>
      <c r="AR335" s="460">
        <f t="shared" si="365"/>
        <v>0</v>
      </c>
      <c r="AS335" s="460">
        <f t="shared" si="365"/>
        <v>0</v>
      </c>
      <c r="AT335" s="460">
        <f t="shared" si="365"/>
        <v>0</v>
      </c>
      <c r="AU335" s="463">
        <f t="shared" si="353"/>
        <v>122.3221</v>
      </c>
      <c r="AV335" s="460">
        <f t="shared" si="354"/>
        <v>0</v>
      </c>
      <c r="AW335" s="460">
        <f t="shared" si="355"/>
        <v>66.26</v>
      </c>
      <c r="AX335" s="460">
        <f t="shared" si="356"/>
        <v>0</v>
      </c>
      <c r="AY335" s="460">
        <f t="shared" si="357"/>
        <v>56.0621</v>
      </c>
      <c r="AZ335" s="463">
        <f t="shared" si="358"/>
        <v>0</v>
      </c>
      <c r="BA335" s="482"/>
      <c r="BB335" s="482"/>
    </row>
    <row r="336" s="425" customFormat="1" ht="36" spans="1:54">
      <c r="A336" s="459">
        <v>331</v>
      </c>
      <c r="B336" s="460" t="s">
        <v>1117</v>
      </c>
      <c r="C336" s="460" t="s">
        <v>206</v>
      </c>
      <c r="D336" s="461" t="s">
        <v>629</v>
      </c>
      <c r="E336" s="461" t="s">
        <v>1183</v>
      </c>
      <c r="F336" s="463">
        <f t="shared" si="344"/>
        <v>506</v>
      </c>
      <c r="G336" s="463">
        <f t="shared" si="349"/>
        <v>6</v>
      </c>
      <c r="H336" s="460">
        <v>6</v>
      </c>
      <c r="I336" s="460"/>
      <c r="J336" s="460"/>
      <c r="K336" s="460"/>
      <c r="L336" s="460"/>
      <c r="M336" s="460"/>
      <c r="N336" s="460"/>
      <c r="O336" s="459">
        <f t="shared" si="359"/>
        <v>500</v>
      </c>
      <c r="P336" s="460"/>
      <c r="Q336" s="460"/>
      <c r="R336" s="460"/>
      <c r="S336" s="460">
        <v>500</v>
      </c>
      <c r="T336" s="460" t="s">
        <v>1187</v>
      </c>
      <c r="U336" s="463"/>
      <c r="V336" s="460"/>
      <c r="W336" s="460"/>
      <c r="X336" s="463">
        <f t="shared" si="360"/>
        <v>0</v>
      </c>
      <c r="Y336" s="463">
        <f t="shared" si="361"/>
        <v>0</v>
      </c>
      <c r="Z336" s="460"/>
      <c r="AA336" s="460"/>
      <c r="AB336" s="460"/>
      <c r="AC336" s="460"/>
      <c r="AD336" s="460"/>
      <c r="AE336" s="460"/>
      <c r="AF336" s="459">
        <f t="shared" si="362"/>
        <v>0</v>
      </c>
      <c r="AG336" s="460"/>
      <c r="AH336" s="460"/>
      <c r="AI336" s="460"/>
      <c r="AJ336" s="460"/>
      <c r="AK336" s="460"/>
      <c r="AL336" s="460"/>
      <c r="AM336" s="463">
        <f t="shared" si="350"/>
        <v>506</v>
      </c>
      <c r="AN336" s="463">
        <f t="shared" si="351"/>
        <v>6</v>
      </c>
      <c r="AO336" s="460">
        <f t="shared" ref="AO336:AT336" si="366">H336+Z336</f>
        <v>6</v>
      </c>
      <c r="AP336" s="460">
        <f t="shared" si="366"/>
        <v>0</v>
      </c>
      <c r="AQ336" s="460">
        <f t="shared" si="366"/>
        <v>0</v>
      </c>
      <c r="AR336" s="460">
        <f t="shared" si="366"/>
        <v>0</v>
      </c>
      <c r="AS336" s="460">
        <f t="shared" si="366"/>
        <v>0</v>
      </c>
      <c r="AT336" s="460">
        <f t="shared" si="366"/>
        <v>0</v>
      </c>
      <c r="AU336" s="463">
        <f t="shared" si="353"/>
        <v>500</v>
      </c>
      <c r="AV336" s="460">
        <f t="shared" si="354"/>
        <v>0</v>
      </c>
      <c r="AW336" s="460">
        <f t="shared" si="355"/>
        <v>0</v>
      </c>
      <c r="AX336" s="460">
        <f t="shared" si="356"/>
        <v>0</v>
      </c>
      <c r="AY336" s="460">
        <f t="shared" si="357"/>
        <v>500</v>
      </c>
      <c r="AZ336" s="463">
        <f t="shared" si="358"/>
        <v>0</v>
      </c>
      <c r="BA336" s="482"/>
      <c r="BB336" s="482"/>
    </row>
    <row r="337" s="425" customFormat="1" ht="34" customHeight="1" spans="1:54">
      <c r="A337" s="459">
        <v>332</v>
      </c>
      <c r="B337" s="460" t="s">
        <v>1117</v>
      </c>
      <c r="C337" s="460" t="s">
        <v>206</v>
      </c>
      <c r="D337" s="461" t="s">
        <v>630</v>
      </c>
      <c r="E337" s="461" t="s">
        <v>1188</v>
      </c>
      <c r="F337" s="463">
        <f t="shared" si="344"/>
        <v>18.4</v>
      </c>
      <c r="G337" s="463">
        <f t="shared" si="349"/>
        <v>18.4</v>
      </c>
      <c r="H337" s="460">
        <v>8.4</v>
      </c>
      <c r="I337" s="460"/>
      <c r="J337" s="460"/>
      <c r="K337" s="460"/>
      <c r="L337" s="460"/>
      <c r="M337" s="460">
        <v>10</v>
      </c>
      <c r="N337" s="460" t="s">
        <v>1189</v>
      </c>
      <c r="O337" s="459">
        <f t="shared" si="359"/>
        <v>0</v>
      </c>
      <c r="P337" s="460"/>
      <c r="Q337" s="460"/>
      <c r="R337" s="460"/>
      <c r="S337" s="460"/>
      <c r="T337" s="460"/>
      <c r="U337" s="463"/>
      <c r="V337" s="460"/>
      <c r="W337" s="460"/>
      <c r="X337" s="463">
        <f t="shared" si="360"/>
        <v>0</v>
      </c>
      <c r="Y337" s="463">
        <f t="shared" si="361"/>
        <v>0</v>
      </c>
      <c r="Z337" s="460"/>
      <c r="AA337" s="460"/>
      <c r="AB337" s="460"/>
      <c r="AC337" s="460"/>
      <c r="AD337" s="460"/>
      <c r="AE337" s="460"/>
      <c r="AF337" s="459">
        <f t="shared" si="362"/>
        <v>0</v>
      </c>
      <c r="AG337" s="460"/>
      <c r="AH337" s="460"/>
      <c r="AI337" s="460"/>
      <c r="AJ337" s="460"/>
      <c r="AK337" s="460"/>
      <c r="AL337" s="460"/>
      <c r="AM337" s="463">
        <f t="shared" si="350"/>
        <v>18.4</v>
      </c>
      <c r="AN337" s="463">
        <f t="shared" si="351"/>
        <v>18.4</v>
      </c>
      <c r="AO337" s="460">
        <f t="shared" ref="AO337:AT337" si="367">H337+Z337</f>
        <v>8.4</v>
      </c>
      <c r="AP337" s="460">
        <f t="shared" si="367"/>
        <v>0</v>
      </c>
      <c r="AQ337" s="460">
        <f t="shared" si="367"/>
        <v>0</v>
      </c>
      <c r="AR337" s="460">
        <f t="shared" si="367"/>
        <v>0</v>
      </c>
      <c r="AS337" s="460">
        <f t="shared" si="367"/>
        <v>0</v>
      </c>
      <c r="AT337" s="460">
        <f t="shared" si="367"/>
        <v>10</v>
      </c>
      <c r="AU337" s="463">
        <f t="shared" si="353"/>
        <v>0</v>
      </c>
      <c r="AV337" s="460">
        <f t="shared" si="354"/>
        <v>0</v>
      </c>
      <c r="AW337" s="460">
        <f t="shared" si="355"/>
        <v>0</v>
      </c>
      <c r="AX337" s="460">
        <f t="shared" si="356"/>
        <v>0</v>
      </c>
      <c r="AY337" s="460">
        <f t="shared" si="357"/>
        <v>0</v>
      </c>
      <c r="AZ337" s="463">
        <f t="shared" si="358"/>
        <v>0</v>
      </c>
      <c r="BA337" s="482"/>
      <c r="BB337" s="482"/>
    </row>
    <row r="338" s="425" customFormat="1" ht="34" customHeight="1" spans="1:54">
      <c r="A338" s="459">
        <v>333</v>
      </c>
      <c r="B338" s="460" t="s">
        <v>1135</v>
      </c>
      <c r="C338" s="460" t="s">
        <v>483</v>
      </c>
      <c r="D338" s="461" t="s">
        <v>632</v>
      </c>
      <c r="E338" s="461" t="s">
        <v>1190</v>
      </c>
      <c r="F338" s="463">
        <f t="shared" si="344"/>
        <v>30</v>
      </c>
      <c r="G338" s="463">
        <f t="shared" si="349"/>
        <v>30</v>
      </c>
      <c r="H338" s="460"/>
      <c r="I338" s="460"/>
      <c r="J338" s="460"/>
      <c r="K338" s="460"/>
      <c r="L338" s="460"/>
      <c r="M338" s="460">
        <v>30</v>
      </c>
      <c r="N338" s="460" t="s">
        <v>1191</v>
      </c>
      <c r="O338" s="459">
        <f t="shared" si="359"/>
        <v>0</v>
      </c>
      <c r="P338" s="460"/>
      <c r="Q338" s="460"/>
      <c r="R338" s="460"/>
      <c r="S338" s="460"/>
      <c r="T338" s="460"/>
      <c r="U338" s="463"/>
      <c r="V338" s="460"/>
      <c r="W338" s="460"/>
      <c r="X338" s="463">
        <f t="shared" si="360"/>
        <v>1.5</v>
      </c>
      <c r="Y338" s="463">
        <f t="shared" si="361"/>
        <v>0</v>
      </c>
      <c r="Z338" s="460"/>
      <c r="AA338" s="460"/>
      <c r="AB338" s="460"/>
      <c r="AC338" s="460"/>
      <c r="AD338" s="460"/>
      <c r="AE338" s="460"/>
      <c r="AF338" s="459">
        <f t="shared" si="362"/>
        <v>0</v>
      </c>
      <c r="AG338" s="460"/>
      <c r="AH338" s="460"/>
      <c r="AI338" s="460"/>
      <c r="AJ338" s="460"/>
      <c r="AK338" s="460">
        <v>1.5</v>
      </c>
      <c r="AL338" s="460" t="s">
        <v>846</v>
      </c>
      <c r="AM338" s="463">
        <f t="shared" si="350"/>
        <v>31.5</v>
      </c>
      <c r="AN338" s="463">
        <f t="shared" si="351"/>
        <v>30</v>
      </c>
      <c r="AO338" s="460">
        <f t="shared" ref="AO338:AT338" si="368">H338+Z338</f>
        <v>0</v>
      </c>
      <c r="AP338" s="460">
        <f t="shared" si="368"/>
        <v>0</v>
      </c>
      <c r="AQ338" s="460">
        <f t="shared" si="368"/>
        <v>0</v>
      </c>
      <c r="AR338" s="460">
        <f t="shared" si="368"/>
        <v>0</v>
      </c>
      <c r="AS338" s="460">
        <f t="shared" si="368"/>
        <v>0</v>
      </c>
      <c r="AT338" s="460">
        <f t="shared" si="368"/>
        <v>30</v>
      </c>
      <c r="AU338" s="463">
        <f t="shared" si="353"/>
        <v>0</v>
      </c>
      <c r="AV338" s="460">
        <f t="shared" si="354"/>
        <v>0</v>
      </c>
      <c r="AW338" s="460">
        <f t="shared" si="355"/>
        <v>0</v>
      </c>
      <c r="AX338" s="460">
        <f t="shared" si="356"/>
        <v>0</v>
      </c>
      <c r="AY338" s="460">
        <f t="shared" si="357"/>
        <v>0</v>
      </c>
      <c r="AZ338" s="463">
        <f t="shared" si="358"/>
        <v>1.5</v>
      </c>
      <c r="BA338" s="482"/>
      <c r="BB338" s="482"/>
    </row>
    <row r="339" s="426" customFormat="1" ht="24" spans="1:54">
      <c r="A339" s="452">
        <v>334</v>
      </c>
      <c r="B339" s="485"/>
      <c r="C339" s="485"/>
      <c r="D339" s="486" t="s">
        <v>145</v>
      </c>
      <c r="E339" s="452">
        <v>224</v>
      </c>
      <c r="F339" s="456">
        <f t="shared" ref="F339:M339" si="369">SUM(F340:F343)</f>
        <v>173.93</v>
      </c>
      <c r="G339" s="456">
        <f t="shared" si="369"/>
        <v>65.56</v>
      </c>
      <c r="H339" s="456">
        <f t="shared" si="369"/>
        <v>34.8</v>
      </c>
      <c r="I339" s="456">
        <f t="shared" si="369"/>
        <v>16</v>
      </c>
      <c r="J339" s="456">
        <f t="shared" si="369"/>
        <v>14.76</v>
      </c>
      <c r="K339" s="456">
        <f t="shared" si="369"/>
        <v>0</v>
      </c>
      <c r="L339" s="456">
        <f t="shared" si="369"/>
        <v>0</v>
      </c>
      <c r="M339" s="456">
        <f t="shared" si="369"/>
        <v>0</v>
      </c>
      <c r="N339" s="456"/>
      <c r="O339" s="456">
        <f>SUM(O340:O343)</f>
        <v>49.77</v>
      </c>
      <c r="P339" s="456">
        <f>SUM(P340:P343)</f>
        <v>9.77</v>
      </c>
      <c r="Q339" s="456">
        <f>SUM(Q340:Q343)</f>
        <v>40</v>
      </c>
      <c r="R339" s="456">
        <f>SUM(R340:R343)</f>
        <v>0</v>
      </c>
      <c r="S339" s="456">
        <f>SUM(S340:S343)</f>
        <v>0</v>
      </c>
      <c r="T339" s="456"/>
      <c r="U339" s="456">
        <f>SUM(U340:U343)</f>
        <v>58.6</v>
      </c>
      <c r="V339" s="456"/>
      <c r="W339" s="481"/>
      <c r="X339" s="468">
        <f>SUM(X340:X343)</f>
        <v>533.81</v>
      </c>
      <c r="Y339" s="468">
        <f t="shared" ref="Y339:AL339" si="370">SUM(Y340:Y343)</f>
        <v>-2.56</v>
      </c>
      <c r="Z339" s="468">
        <f t="shared" si="370"/>
        <v>0</v>
      </c>
      <c r="AA339" s="468">
        <f t="shared" si="370"/>
        <v>0</v>
      </c>
      <c r="AB339" s="468">
        <f t="shared" si="370"/>
        <v>-2.56</v>
      </c>
      <c r="AC339" s="468">
        <f t="shared" si="370"/>
        <v>0</v>
      </c>
      <c r="AD339" s="468">
        <f t="shared" si="370"/>
        <v>0</v>
      </c>
      <c r="AE339" s="468">
        <f t="shared" si="370"/>
        <v>0</v>
      </c>
      <c r="AF339" s="468">
        <f t="shared" si="370"/>
        <v>533.37</v>
      </c>
      <c r="AG339" s="468">
        <f t="shared" si="370"/>
        <v>17.05</v>
      </c>
      <c r="AH339" s="468">
        <f t="shared" si="370"/>
        <v>20.32</v>
      </c>
      <c r="AI339" s="468">
        <f t="shared" si="370"/>
        <v>0</v>
      </c>
      <c r="AJ339" s="468">
        <f t="shared" si="370"/>
        <v>496</v>
      </c>
      <c r="AK339" s="468">
        <f t="shared" si="370"/>
        <v>3</v>
      </c>
      <c r="AL339" s="456"/>
      <c r="AM339" s="468">
        <f>SUM(AM340:AM343)</f>
        <v>707.74</v>
      </c>
      <c r="AN339" s="468">
        <f t="shared" ref="AN339:BA339" si="371">SUM(AN340:AN343)</f>
        <v>63</v>
      </c>
      <c r="AO339" s="468">
        <f t="shared" si="371"/>
        <v>34.8</v>
      </c>
      <c r="AP339" s="468">
        <f t="shared" si="371"/>
        <v>16</v>
      </c>
      <c r="AQ339" s="468">
        <f t="shared" si="371"/>
        <v>12.2</v>
      </c>
      <c r="AR339" s="468">
        <f t="shared" si="371"/>
        <v>0</v>
      </c>
      <c r="AS339" s="468">
        <f t="shared" si="371"/>
        <v>0</v>
      </c>
      <c r="AT339" s="468">
        <f t="shared" si="371"/>
        <v>0</v>
      </c>
      <c r="AU339" s="468">
        <f t="shared" si="371"/>
        <v>583.14</v>
      </c>
      <c r="AV339" s="468">
        <f t="shared" si="371"/>
        <v>26.82</v>
      </c>
      <c r="AW339" s="468">
        <f t="shared" si="371"/>
        <v>60.32</v>
      </c>
      <c r="AX339" s="468">
        <f t="shared" si="371"/>
        <v>0</v>
      </c>
      <c r="AY339" s="468">
        <f t="shared" si="371"/>
        <v>496</v>
      </c>
      <c r="AZ339" s="468">
        <f t="shared" si="371"/>
        <v>61.6</v>
      </c>
      <c r="BA339" s="489"/>
      <c r="BB339" s="489"/>
    </row>
    <row r="340" s="425" customFormat="1" ht="36" customHeight="1" spans="1:54">
      <c r="A340" s="459">
        <v>335</v>
      </c>
      <c r="B340" s="460" t="s">
        <v>836</v>
      </c>
      <c r="C340" s="460" t="s">
        <v>206</v>
      </c>
      <c r="D340" s="461" t="s">
        <v>640</v>
      </c>
      <c r="E340" s="461" t="s">
        <v>1192</v>
      </c>
      <c r="F340" s="463">
        <f t="shared" si="344"/>
        <v>12</v>
      </c>
      <c r="G340" s="463">
        <f>SUM(H340:M340)</f>
        <v>7.4</v>
      </c>
      <c r="H340" s="460">
        <v>5.4</v>
      </c>
      <c r="I340" s="460">
        <v>2</v>
      </c>
      <c r="J340" s="460"/>
      <c r="K340" s="460"/>
      <c r="L340" s="460"/>
      <c r="M340" s="460"/>
      <c r="N340" s="460"/>
      <c r="O340" s="459">
        <f>SUM(P340:S340)</f>
        <v>0</v>
      </c>
      <c r="P340" s="460"/>
      <c r="Q340" s="460"/>
      <c r="R340" s="460"/>
      <c r="S340" s="460"/>
      <c r="T340" s="460"/>
      <c r="U340" s="463">
        <v>4.6</v>
      </c>
      <c r="V340" s="460" t="s">
        <v>838</v>
      </c>
      <c r="W340" s="460" t="s">
        <v>1193</v>
      </c>
      <c r="X340" s="463">
        <f t="shared" ref="X340:X343" si="372">Y340+AF340+AK340</f>
        <v>0</v>
      </c>
      <c r="Y340" s="463">
        <f t="shared" ref="Y340:Y343" si="373">SUM(Z340:AE340)</f>
        <v>0</v>
      </c>
      <c r="Z340" s="460"/>
      <c r="AA340" s="460"/>
      <c r="AB340" s="460"/>
      <c r="AC340" s="460"/>
      <c r="AD340" s="460"/>
      <c r="AE340" s="460"/>
      <c r="AF340" s="459">
        <f>SUM(AG340:AJ340)</f>
        <v>0</v>
      </c>
      <c r="AG340" s="460"/>
      <c r="AH340" s="460"/>
      <c r="AI340" s="460"/>
      <c r="AJ340" s="460"/>
      <c r="AK340" s="460"/>
      <c r="AL340" s="460"/>
      <c r="AM340" s="463">
        <f>AN340+AU340+AZ340</f>
        <v>12</v>
      </c>
      <c r="AN340" s="463">
        <f>SUM(AO340:AT340)</f>
        <v>7.4</v>
      </c>
      <c r="AO340" s="460">
        <f t="shared" ref="AO340:AT340" si="374">H340+Z340</f>
        <v>5.4</v>
      </c>
      <c r="AP340" s="460">
        <f t="shared" si="374"/>
        <v>2</v>
      </c>
      <c r="AQ340" s="460">
        <f t="shared" si="374"/>
        <v>0</v>
      </c>
      <c r="AR340" s="460">
        <f t="shared" si="374"/>
        <v>0</v>
      </c>
      <c r="AS340" s="460">
        <f t="shared" si="374"/>
        <v>0</v>
      </c>
      <c r="AT340" s="460">
        <f t="shared" si="374"/>
        <v>0</v>
      </c>
      <c r="AU340" s="463">
        <f>SUM(AV340:AY340)</f>
        <v>0</v>
      </c>
      <c r="AV340" s="460">
        <f t="shared" ref="AV340:AV343" si="375">P340+AG340</f>
        <v>0</v>
      </c>
      <c r="AW340" s="460">
        <f>Q340+AH340</f>
        <v>0</v>
      </c>
      <c r="AX340" s="460">
        <f>R340+AI340</f>
        <v>0</v>
      </c>
      <c r="AY340" s="460">
        <f>S340+AJ340</f>
        <v>0</v>
      </c>
      <c r="AZ340" s="463">
        <f>U340+AK340</f>
        <v>4.6</v>
      </c>
      <c r="BA340" s="482"/>
      <c r="BB340" s="482"/>
    </row>
    <row r="341" s="425" customFormat="1" ht="60" spans="1:54">
      <c r="A341" s="459">
        <v>336</v>
      </c>
      <c r="B341" s="460" t="s">
        <v>880</v>
      </c>
      <c r="C341" s="460" t="s">
        <v>203</v>
      </c>
      <c r="D341" s="461" t="s">
        <v>634</v>
      </c>
      <c r="E341" s="461" t="s">
        <v>1194</v>
      </c>
      <c r="F341" s="463">
        <f t="shared" si="344"/>
        <v>147.33</v>
      </c>
      <c r="G341" s="463">
        <f>SUM(H341:M341)</f>
        <v>43.56</v>
      </c>
      <c r="H341" s="460">
        <v>16.8</v>
      </c>
      <c r="I341" s="460">
        <v>12</v>
      </c>
      <c r="J341" s="460">
        <v>14.76</v>
      </c>
      <c r="K341" s="460"/>
      <c r="L341" s="460"/>
      <c r="M341" s="460"/>
      <c r="N341" s="460"/>
      <c r="O341" s="459">
        <f>SUM(P341:S341)</f>
        <v>49.77</v>
      </c>
      <c r="P341" s="460">
        <v>9.77</v>
      </c>
      <c r="Q341" s="460">
        <v>40</v>
      </c>
      <c r="R341" s="460"/>
      <c r="S341" s="460"/>
      <c r="T341" s="460"/>
      <c r="U341" s="463">
        <v>54</v>
      </c>
      <c r="V341" s="460" t="s">
        <v>838</v>
      </c>
      <c r="W341" s="460" t="s">
        <v>1195</v>
      </c>
      <c r="X341" s="463">
        <f t="shared" si="372"/>
        <v>34.25</v>
      </c>
      <c r="Y341" s="463">
        <f t="shared" si="373"/>
        <v>-2.56</v>
      </c>
      <c r="Z341" s="460"/>
      <c r="AA341" s="460"/>
      <c r="AB341" s="460">
        <v>-2.56</v>
      </c>
      <c r="AC341" s="460"/>
      <c r="AD341" s="460"/>
      <c r="AE341" s="460"/>
      <c r="AF341" s="459">
        <f>SUM(AG341:AJ341)</f>
        <v>35.31</v>
      </c>
      <c r="AG341" s="460">
        <v>17.05</v>
      </c>
      <c r="AH341" s="460">
        <v>18.26</v>
      </c>
      <c r="AI341" s="460"/>
      <c r="AJ341" s="460"/>
      <c r="AK341" s="460">
        <v>1.5</v>
      </c>
      <c r="AL341" s="460" t="s">
        <v>846</v>
      </c>
      <c r="AM341" s="463">
        <f>AN341+AU341+AZ341</f>
        <v>181.58</v>
      </c>
      <c r="AN341" s="463">
        <f>SUM(AO341:AT341)</f>
        <v>41</v>
      </c>
      <c r="AO341" s="460">
        <f t="shared" ref="AO341:AT341" si="376">H341+Z341</f>
        <v>16.8</v>
      </c>
      <c r="AP341" s="460">
        <f t="shared" si="376"/>
        <v>12</v>
      </c>
      <c r="AQ341" s="460">
        <f t="shared" si="376"/>
        <v>12.2</v>
      </c>
      <c r="AR341" s="460">
        <f t="shared" si="376"/>
        <v>0</v>
      </c>
      <c r="AS341" s="460">
        <f t="shared" si="376"/>
        <v>0</v>
      </c>
      <c r="AT341" s="460">
        <f t="shared" si="376"/>
        <v>0</v>
      </c>
      <c r="AU341" s="463">
        <f>SUM(AV341:AY341)</f>
        <v>85.08</v>
      </c>
      <c r="AV341" s="460">
        <f t="shared" si="375"/>
        <v>26.82</v>
      </c>
      <c r="AW341" s="460">
        <f>Q341+AH341</f>
        <v>58.26</v>
      </c>
      <c r="AX341" s="460">
        <f>R341+AI341</f>
        <v>0</v>
      </c>
      <c r="AY341" s="460">
        <f>S341+AJ341</f>
        <v>0</v>
      </c>
      <c r="AZ341" s="463">
        <f>U341+AK341</f>
        <v>55.5</v>
      </c>
      <c r="BA341" s="482"/>
      <c r="BB341" s="482"/>
    </row>
    <row r="342" s="425" customFormat="1" ht="36" spans="1:54">
      <c r="A342" s="459">
        <v>337</v>
      </c>
      <c r="B342" s="460" t="s">
        <v>880</v>
      </c>
      <c r="C342" s="460" t="s">
        <v>206</v>
      </c>
      <c r="D342" s="461" t="s">
        <v>1196</v>
      </c>
      <c r="E342" s="461" t="s">
        <v>1197</v>
      </c>
      <c r="F342" s="463">
        <f t="shared" si="344"/>
        <v>14.6</v>
      </c>
      <c r="G342" s="463">
        <f>SUM(H342:M342)</f>
        <v>14.6</v>
      </c>
      <c r="H342" s="460">
        <v>12.6</v>
      </c>
      <c r="I342" s="460">
        <v>2</v>
      </c>
      <c r="J342" s="460"/>
      <c r="K342" s="460"/>
      <c r="L342" s="460"/>
      <c r="M342" s="460"/>
      <c r="N342" s="460"/>
      <c r="O342" s="459">
        <f>SUM(P342:S342)</f>
        <v>0</v>
      </c>
      <c r="P342" s="460"/>
      <c r="Q342" s="460"/>
      <c r="R342" s="460"/>
      <c r="S342" s="460"/>
      <c r="T342" s="460"/>
      <c r="U342" s="463"/>
      <c r="V342" s="460"/>
      <c r="W342" s="460"/>
      <c r="X342" s="463">
        <f t="shared" si="372"/>
        <v>0</v>
      </c>
      <c r="Y342" s="463">
        <f t="shared" si="373"/>
        <v>0</v>
      </c>
      <c r="Z342" s="460"/>
      <c r="AA342" s="460"/>
      <c r="AB342" s="460"/>
      <c r="AC342" s="460"/>
      <c r="AD342" s="460"/>
      <c r="AE342" s="460"/>
      <c r="AF342" s="459">
        <f>SUM(AG342:AJ342)</f>
        <v>0</v>
      </c>
      <c r="AG342" s="460"/>
      <c r="AH342" s="460"/>
      <c r="AI342" s="460"/>
      <c r="AJ342" s="460"/>
      <c r="AK342" s="460"/>
      <c r="AL342" s="460"/>
      <c r="AM342" s="463">
        <f>AN342+AU342+AZ342</f>
        <v>14.6</v>
      </c>
      <c r="AN342" s="463">
        <f>SUM(AO342:AT342)</f>
        <v>14.6</v>
      </c>
      <c r="AO342" s="460">
        <f t="shared" ref="AO342:AT342" si="377">H342+Z342</f>
        <v>12.6</v>
      </c>
      <c r="AP342" s="460">
        <f t="shared" si="377"/>
        <v>2</v>
      </c>
      <c r="AQ342" s="460">
        <f t="shared" si="377"/>
        <v>0</v>
      </c>
      <c r="AR342" s="460">
        <f t="shared" si="377"/>
        <v>0</v>
      </c>
      <c r="AS342" s="460">
        <f t="shared" si="377"/>
        <v>0</v>
      </c>
      <c r="AT342" s="460">
        <f t="shared" si="377"/>
        <v>0</v>
      </c>
      <c r="AU342" s="463">
        <f>SUM(AV342:AY342)</f>
        <v>0</v>
      </c>
      <c r="AV342" s="460">
        <f t="shared" si="375"/>
        <v>0</v>
      </c>
      <c r="AW342" s="460">
        <f>Q342+AH342</f>
        <v>0</v>
      </c>
      <c r="AX342" s="460">
        <f>R342+AI342</f>
        <v>0</v>
      </c>
      <c r="AY342" s="460">
        <f>S342+AJ342</f>
        <v>0</v>
      </c>
      <c r="AZ342" s="463">
        <f>U342+AK342</f>
        <v>0</v>
      </c>
      <c r="BA342" s="482"/>
      <c r="BB342" s="482"/>
    </row>
    <row r="343" ht="60" spans="1:54">
      <c r="A343" s="459">
        <v>338</v>
      </c>
      <c r="B343" s="497" t="s">
        <v>889</v>
      </c>
      <c r="C343" s="497" t="s">
        <v>203</v>
      </c>
      <c r="D343" s="497" t="s">
        <v>638</v>
      </c>
      <c r="E343" s="498" t="s">
        <v>639</v>
      </c>
      <c r="F343" s="463">
        <f t="shared" si="344"/>
        <v>0</v>
      </c>
      <c r="G343" s="463">
        <f>SUM(H343:M343)</f>
        <v>0</v>
      </c>
      <c r="H343" s="499"/>
      <c r="I343" s="499"/>
      <c r="J343" s="499"/>
      <c r="K343" s="499"/>
      <c r="L343" s="499"/>
      <c r="M343" s="499"/>
      <c r="N343" s="500"/>
      <c r="O343" s="459">
        <f>SUM(P343:S343)</f>
        <v>0</v>
      </c>
      <c r="P343" s="501"/>
      <c r="Q343" s="501"/>
      <c r="R343" s="501"/>
      <c r="S343" s="502"/>
      <c r="T343" s="502"/>
      <c r="U343" s="503"/>
      <c r="V343" s="502"/>
      <c r="W343" s="504"/>
      <c r="X343" s="463">
        <f t="shared" si="372"/>
        <v>499.56</v>
      </c>
      <c r="Y343" s="463">
        <f t="shared" si="373"/>
        <v>0</v>
      </c>
      <c r="Z343" s="460"/>
      <c r="AA343" s="460"/>
      <c r="AB343" s="460"/>
      <c r="AC343" s="460"/>
      <c r="AD343" s="460"/>
      <c r="AE343" s="460"/>
      <c r="AF343" s="459">
        <f>SUM(AG343:AJ343)</f>
        <v>498.06</v>
      </c>
      <c r="AG343" s="460"/>
      <c r="AH343" s="460">
        <v>2.06</v>
      </c>
      <c r="AI343" s="502"/>
      <c r="AJ343" s="501">
        <v>496</v>
      </c>
      <c r="AK343" s="501">
        <v>1.5</v>
      </c>
      <c r="AL343" s="506" t="s">
        <v>1198</v>
      </c>
      <c r="AM343" s="463">
        <f>AN343+AU343+AZ343</f>
        <v>499.56</v>
      </c>
      <c r="AN343" s="463">
        <f>SUM(AO343:AT343)</f>
        <v>0</v>
      </c>
      <c r="AO343" s="460">
        <f t="shared" ref="AO343:AT343" si="378">H343+Z343</f>
        <v>0</v>
      </c>
      <c r="AP343" s="460">
        <f t="shared" si="378"/>
        <v>0</v>
      </c>
      <c r="AQ343" s="460">
        <f t="shared" si="378"/>
        <v>0</v>
      </c>
      <c r="AR343" s="460">
        <f t="shared" si="378"/>
        <v>0</v>
      </c>
      <c r="AS343" s="460">
        <f t="shared" si="378"/>
        <v>0</v>
      </c>
      <c r="AT343" s="460">
        <f t="shared" si="378"/>
        <v>0</v>
      </c>
      <c r="AU343" s="463">
        <f>SUM(AV343:AY343)</f>
        <v>498.06</v>
      </c>
      <c r="AV343" s="460">
        <f t="shared" si="375"/>
        <v>0</v>
      </c>
      <c r="AW343" s="460">
        <f>Q343+AH343</f>
        <v>2.06</v>
      </c>
      <c r="AX343" s="460">
        <f>R343+AI343</f>
        <v>0</v>
      </c>
      <c r="AY343" s="460">
        <f>S343+AJ343</f>
        <v>496</v>
      </c>
      <c r="AZ343" s="463">
        <f>U343+AK343</f>
        <v>1.5</v>
      </c>
      <c r="BA343" s="165"/>
      <c r="BB343" s="507"/>
    </row>
  </sheetData>
  <autoFilter ref="A5:BB343">
    <extLst/>
  </autoFilter>
  <sortState ref="A28:BC61">
    <sortCondition ref="D28:D61"/>
  </sortState>
  <mergeCells count="23">
    <mergeCell ref="F3:W3"/>
    <mergeCell ref="X3:AL3"/>
    <mergeCell ref="AM3:AZ3"/>
    <mergeCell ref="G4:N4"/>
    <mergeCell ref="O4:T4"/>
    <mergeCell ref="U4:W4"/>
    <mergeCell ref="Y4:AE4"/>
    <mergeCell ref="AF4:AJ4"/>
    <mergeCell ref="AN4:AT4"/>
    <mergeCell ref="AU4:AY4"/>
    <mergeCell ref="A3:A5"/>
    <mergeCell ref="B3:B5"/>
    <mergeCell ref="C3:C5"/>
    <mergeCell ref="D3:D5"/>
    <mergeCell ref="D144:D145"/>
    <mergeCell ref="D264:D265"/>
    <mergeCell ref="E3:E5"/>
    <mergeCell ref="F4:F5"/>
    <mergeCell ref="X4:X5"/>
    <mergeCell ref="AL4:AL5"/>
    <mergeCell ref="AM4:AM5"/>
    <mergeCell ref="BA3:BA5"/>
    <mergeCell ref="BB3:BB5"/>
  </mergeCells>
  <pageMargins left="0.699305555555556" right="0.699305555555556" top="0.75" bottom="0.75" header="0.3" footer="0.3"/>
  <pageSetup paperSize="8" fitToHeight="0" orientation="landscape"/>
  <headerFooter>
    <oddFooter>&amp;C第 &amp;P 页，共 &amp;N 页</oddFooter>
  </headerFooter>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317"/>
  <sheetViews>
    <sheetView workbookViewId="0">
      <pane xSplit="8" ySplit="4" topLeftCell="I241" activePane="bottomRight" state="frozen"/>
      <selection/>
      <selection pane="topRight"/>
      <selection pane="bottomLeft"/>
      <selection pane="bottomRight" activeCell="P248" sqref="P248"/>
    </sheetView>
  </sheetViews>
  <sheetFormatPr defaultColWidth="9" defaultRowHeight="13.5"/>
  <cols>
    <col min="1" max="1" width="5.36666666666667" style="136" customWidth="1"/>
    <col min="2" max="2" width="12.6333333333333" style="136" hidden="1" customWidth="1"/>
    <col min="3" max="3" width="10.3166666666667" style="294" customWidth="1"/>
    <col min="4" max="4" width="18.1333333333333" style="317" customWidth="1"/>
    <col min="5" max="5" width="14.6666666666667" style="137" customWidth="1"/>
    <col min="6" max="6" width="13.25" style="3" customWidth="1"/>
    <col min="7" max="7" width="14.0833333333333" style="137" customWidth="1"/>
    <col min="8" max="8" width="27.7166666666667" style="3" customWidth="1"/>
    <col min="9" max="9" width="10.7916666666667" style="3" customWidth="1"/>
    <col min="10" max="10" width="10.25" style="321" hidden="1" customWidth="1"/>
    <col min="11" max="15" width="9.68333333333333" style="322" hidden="1" customWidth="1"/>
    <col min="16" max="16" width="10.4583333333333" style="3" customWidth="1"/>
    <col min="17" max="17" width="12.25" style="3" customWidth="1"/>
    <col min="18" max="19" width="10.4583333333333" style="3" hidden="1" customWidth="1"/>
    <col min="20" max="20" width="38.375" style="3" customWidth="1"/>
    <col min="21" max="21" width="23.5166666666667" style="317" hidden="1" customWidth="1"/>
    <col min="22" max="22" width="11.25" style="323" hidden="1" customWidth="1"/>
    <col min="23" max="23" width="14.625" customWidth="1"/>
    <col min="25" max="25" width="9.375"/>
  </cols>
  <sheetData>
    <row r="1" s="8" customFormat="1" ht="30" customHeight="1" spans="1:22">
      <c r="A1" s="139" t="s">
        <v>1199</v>
      </c>
      <c r="B1" s="139"/>
      <c r="C1" s="139"/>
      <c r="D1" s="141"/>
      <c r="E1" s="141"/>
      <c r="F1" s="139"/>
      <c r="G1" s="141"/>
      <c r="H1" s="324"/>
      <c r="I1" s="139"/>
      <c r="J1" s="350"/>
      <c r="K1" s="351"/>
      <c r="L1" s="351"/>
      <c r="M1" s="351"/>
      <c r="N1" s="351"/>
      <c r="O1" s="351"/>
      <c r="P1" s="139"/>
      <c r="Q1" s="139"/>
      <c r="R1" s="139"/>
      <c r="S1" s="139"/>
      <c r="T1" s="139"/>
      <c r="U1" s="141"/>
      <c r="V1" s="363"/>
    </row>
    <row r="2" s="8" customFormat="1" ht="18.95" customHeight="1" spans="2:22">
      <c r="B2" s="325"/>
      <c r="C2" s="325"/>
      <c r="D2" s="326"/>
      <c r="E2" s="327"/>
      <c r="F2" s="328"/>
      <c r="G2" s="326"/>
      <c r="H2" s="328"/>
      <c r="I2" s="156"/>
      <c r="J2" s="352"/>
      <c r="K2" s="353"/>
      <c r="L2" s="353"/>
      <c r="M2" s="353"/>
      <c r="N2" s="353"/>
      <c r="O2" s="353"/>
      <c r="P2" s="354"/>
      <c r="Q2" s="354"/>
      <c r="R2" s="354"/>
      <c r="S2" s="354"/>
      <c r="T2" s="157" t="s">
        <v>2</v>
      </c>
      <c r="U2" s="157"/>
      <c r="V2" s="363"/>
    </row>
    <row r="3" s="315" customFormat="1" ht="22" customHeight="1" spans="1:23">
      <c r="A3" s="146" t="s">
        <v>155</v>
      </c>
      <c r="B3" s="75" t="s">
        <v>178</v>
      </c>
      <c r="C3" s="75" t="s">
        <v>1200</v>
      </c>
      <c r="D3" s="75" t="s">
        <v>157</v>
      </c>
      <c r="E3" s="75" t="s">
        <v>156</v>
      </c>
      <c r="F3" s="75" t="s">
        <v>1201</v>
      </c>
      <c r="G3" s="75" t="s">
        <v>833</v>
      </c>
      <c r="H3" s="75" t="s">
        <v>1202</v>
      </c>
      <c r="I3" s="158" t="s">
        <v>1203</v>
      </c>
      <c r="J3" s="355"/>
      <c r="K3" s="355"/>
      <c r="L3" s="355"/>
      <c r="M3" s="355"/>
      <c r="N3" s="355"/>
      <c r="O3" s="355"/>
      <c r="P3" s="158"/>
      <c r="Q3" s="158"/>
      <c r="R3" s="159" t="s">
        <v>1204</v>
      </c>
      <c r="S3" s="159" t="s">
        <v>1205</v>
      </c>
      <c r="T3" s="75" t="s">
        <v>26</v>
      </c>
      <c r="U3" s="75" t="s">
        <v>1206</v>
      </c>
      <c r="V3" s="297" t="s">
        <v>1207</v>
      </c>
      <c r="W3" s="160" t="s">
        <v>1208</v>
      </c>
    </row>
    <row r="4" s="315" customFormat="1" ht="24" customHeight="1" spans="1:23">
      <c r="A4" s="146"/>
      <c r="B4" s="75"/>
      <c r="C4" s="75"/>
      <c r="D4" s="75"/>
      <c r="E4" s="75"/>
      <c r="F4" s="75"/>
      <c r="G4" s="75"/>
      <c r="H4" s="75"/>
      <c r="I4" s="158" t="s">
        <v>114</v>
      </c>
      <c r="J4" s="356" t="s">
        <v>1209</v>
      </c>
      <c r="K4" s="357" t="s">
        <v>1210</v>
      </c>
      <c r="L4" s="357" t="s">
        <v>1211</v>
      </c>
      <c r="M4" s="357" t="s">
        <v>1212</v>
      </c>
      <c r="N4" s="357" t="s">
        <v>148</v>
      </c>
      <c r="O4" s="357" t="s">
        <v>1213</v>
      </c>
      <c r="P4" s="158" t="s">
        <v>158</v>
      </c>
      <c r="Q4" s="158" t="s">
        <v>159</v>
      </c>
      <c r="R4" s="161"/>
      <c r="S4" s="161"/>
      <c r="T4" s="75"/>
      <c r="U4" s="75"/>
      <c r="V4" s="297"/>
      <c r="W4" s="160"/>
    </row>
    <row r="5" s="316" customFormat="1" ht="24" customHeight="1" spans="1:23">
      <c r="A5" s="329">
        <v>1</v>
      </c>
      <c r="B5" s="330"/>
      <c r="C5" s="331"/>
      <c r="D5" s="332"/>
      <c r="E5" s="333" t="s">
        <v>1214</v>
      </c>
      <c r="F5" s="333"/>
      <c r="G5" s="333"/>
      <c r="H5" s="334"/>
      <c r="I5" s="358">
        <f>SUM(I6:I18)</f>
        <v>2505.5</v>
      </c>
      <c r="J5" s="358">
        <f t="shared" ref="J5:S5" si="0">SUM(J6:J18)</f>
        <v>1429</v>
      </c>
      <c r="K5" s="358">
        <f t="shared" si="0"/>
        <v>0</v>
      </c>
      <c r="L5" s="358">
        <f t="shared" si="0"/>
        <v>1076.5</v>
      </c>
      <c r="M5" s="358">
        <f t="shared" si="0"/>
        <v>0</v>
      </c>
      <c r="N5" s="358">
        <f t="shared" si="0"/>
        <v>0</v>
      </c>
      <c r="O5" s="358">
        <f t="shared" si="0"/>
        <v>0</v>
      </c>
      <c r="P5" s="358">
        <f t="shared" si="0"/>
        <v>-1916.3</v>
      </c>
      <c r="Q5" s="358">
        <f t="shared" si="0"/>
        <v>589.2</v>
      </c>
      <c r="R5" s="358">
        <f t="shared" si="0"/>
        <v>607.46</v>
      </c>
      <c r="S5" s="358">
        <f t="shared" si="0"/>
        <v>161.64</v>
      </c>
      <c r="T5" s="334"/>
      <c r="U5" s="364"/>
      <c r="V5" s="365"/>
      <c r="W5" s="366"/>
    </row>
    <row r="6" s="315" customFormat="1" ht="29" customHeight="1" spans="1:23">
      <c r="A6" s="335">
        <v>2</v>
      </c>
      <c r="B6" s="336" t="s">
        <v>202</v>
      </c>
      <c r="C6" s="336" t="s">
        <v>889</v>
      </c>
      <c r="D6" s="304" t="s">
        <v>1215</v>
      </c>
      <c r="E6" s="304" t="s">
        <v>1216</v>
      </c>
      <c r="F6" s="1" t="s">
        <v>1217</v>
      </c>
      <c r="G6" s="304" t="s">
        <v>1218</v>
      </c>
      <c r="H6" s="304" t="s">
        <v>1219</v>
      </c>
      <c r="I6" s="359">
        <v>1000</v>
      </c>
      <c r="J6" s="360"/>
      <c r="K6" s="359"/>
      <c r="L6" s="359">
        <v>1000</v>
      </c>
      <c r="M6" s="359"/>
      <c r="N6" s="359"/>
      <c r="O6" s="359"/>
      <c r="P6" s="359">
        <v>-1000</v>
      </c>
      <c r="Q6" s="359">
        <f t="shared" ref="Q6:Q11" si="1">I6+P6</f>
        <v>0</v>
      </c>
      <c r="R6" s="359">
        <v>483.97</v>
      </c>
      <c r="S6" s="359"/>
      <c r="T6" s="304"/>
      <c r="U6" s="304" t="s">
        <v>1220</v>
      </c>
      <c r="V6" s="169" t="s">
        <v>1221</v>
      </c>
      <c r="W6" s="165">
        <v>1000</v>
      </c>
    </row>
    <row r="7" s="315" customFormat="1" ht="25" customHeight="1" spans="1:23">
      <c r="A7" s="335">
        <v>3</v>
      </c>
      <c r="B7" s="336" t="s">
        <v>202</v>
      </c>
      <c r="C7" s="336" t="s">
        <v>889</v>
      </c>
      <c r="D7" s="304" t="s">
        <v>1215</v>
      </c>
      <c r="E7" s="304" t="s">
        <v>1216</v>
      </c>
      <c r="F7" s="1" t="s">
        <v>1217</v>
      </c>
      <c r="G7" s="304" t="s">
        <v>1218</v>
      </c>
      <c r="H7" s="304" t="s">
        <v>1222</v>
      </c>
      <c r="I7" s="359">
        <v>63</v>
      </c>
      <c r="J7" s="360"/>
      <c r="K7" s="359"/>
      <c r="L7" s="359">
        <v>63</v>
      </c>
      <c r="M7" s="359"/>
      <c r="N7" s="359"/>
      <c r="O7" s="359"/>
      <c r="P7" s="359">
        <v>7.07</v>
      </c>
      <c r="Q7" s="359">
        <f t="shared" si="1"/>
        <v>70.07</v>
      </c>
      <c r="R7" s="367"/>
      <c r="S7" s="367"/>
      <c r="T7" s="304" t="s">
        <v>1223</v>
      </c>
      <c r="U7" s="304" t="s">
        <v>1224</v>
      </c>
      <c r="V7" s="169"/>
      <c r="W7" s="165"/>
    </row>
    <row r="8" s="315" customFormat="1" ht="24" customHeight="1" spans="1:23">
      <c r="A8" s="335">
        <v>4</v>
      </c>
      <c r="B8" s="336" t="s">
        <v>202</v>
      </c>
      <c r="C8" s="336" t="s">
        <v>889</v>
      </c>
      <c r="D8" s="304" t="s">
        <v>1215</v>
      </c>
      <c r="E8" s="304" t="s">
        <v>1216</v>
      </c>
      <c r="F8" s="1" t="s">
        <v>1217</v>
      </c>
      <c r="G8" s="304" t="s">
        <v>1218</v>
      </c>
      <c r="H8" s="304" t="s">
        <v>1225</v>
      </c>
      <c r="I8" s="359">
        <v>13.5</v>
      </c>
      <c r="J8" s="360"/>
      <c r="K8" s="359"/>
      <c r="L8" s="359">
        <v>13.5</v>
      </c>
      <c r="M8" s="359"/>
      <c r="N8" s="359"/>
      <c r="O8" s="359"/>
      <c r="P8" s="359"/>
      <c r="Q8" s="359">
        <f t="shared" si="1"/>
        <v>13.5</v>
      </c>
      <c r="R8" s="359"/>
      <c r="S8" s="359"/>
      <c r="T8" s="304"/>
      <c r="U8" s="304" t="s">
        <v>1226</v>
      </c>
      <c r="V8" s="169"/>
      <c r="W8" s="165"/>
    </row>
    <row r="9" s="315" customFormat="1" ht="24" customHeight="1" spans="1:23">
      <c r="A9" s="335">
        <v>5</v>
      </c>
      <c r="B9" s="336" t="s">
        <v>880</v>
      </c>
      <c r="C9" s="336" t="s">
        <v>1227</v>
      </c>
      <c r="D9" s="304" t="s">
        <v>1228</v>
      </c>
      <c r="E9" s="304" t="s">
        <v>1229</v>
      </c>
      <c r="F9" s="1" t="s">
        <v>1217</v>
      </c>
      <c r="G9" s="304" t="s">
        <v>1230</v>
      </c>
      <c r="H9" s="304" t="s">
        <v>1231</v>
      </c>
      <c r="I9" s="359">
        <v>900</v>
      </c>
      <c r="J9" s="360">
        <v>900</v>
      </c>
      <c r="K9" s="359"/>
      <c r="L9" s="359"/>
      <c r="M9" s="359"/>
      <c r="N9" s="359"/>
      <c r="O9" s="359"/>
      <c r="P9" s="359">
        <v>-900</v>
      </c>
      <c r="Q9" s="359">
        <f t="shared" si="1"/>
        <v>0</v>
      </c>
      <c r="R9" s="359"/>
      <c r="S9" s="359"/>
      <c r="T9" s="304"/>
      <c r="U9" s="304" t="s">
        <v>1232</v>
      </c>
      <c r="V9" s="169"/>
      <c r="W9" s="165">
        <v>900</v>
      </c>
    </row>
    <row r="10" s="315" customFormat="1" ht="24" customHeight="1" spans="1:23">
      <c r="A10" s="335">
        <v>6</v>
      </c>
      <c r="B10" s="336" t="s">
        <v>880</v>
      </c>
      <c r="C10" s="336" t="s">
        <v>880</v>
      </c>
      <c r="D10" s="304" t="s">
        <v>1228</v>
      </c>
      <c r="E10" s="304" t="s">
        <v>1229</v>
      </c>
      <c r="F10" s="1" t="s">
        <v>1217</v>
      </c>
      <c r="G10" s="304" t="s">
        <v>1230</v>
      </c>
      <c r="H10" s="304" t="s">
        <v>1233</v>
      </c>
      <c r="I10" s="359">
        <v>45</v>
      </c>
      <c r="J10" s="360">
        <v>45</v>
      </c>
      <c r="K10" s="359"/>
      <c r="L10" s="359"/>
      <c r="M10" s="359"/>
      <c r="N10" s="359"/>
      <c r="O10" s="359"/>
      <c r="P10" s="359"/>
      <c r="Q10" s="359">
        <f t="shared" si="1"/>
        <v>45</v>
      </c>
      <c r="R10" s="359"/>
      <c r="S10" s="359">
        <v>45</v>
      </c>
      <c r="T10" s="304"/>
      <c r="U10" s="368" t="s">
        <v>1234</v>
      </c>
      <c r="V10" s="169"/>
      <c r="W10" s="165"/>
    </row>
    <row r="11" s="315" customFormat="1" ht="24" customHeight="1" spans="1:23">
      <c r="A11" s="335">
        <v>7</v>
      </c>
      <c r="B11" s="336"/>
      <c r="C11" s="336" t="s">
        <v>880</v>
      </c>
      <c r="D11" s="304" t="s">
        <v>1228</v>
      </c>
      <c r="E11" s="304" t="s">
        <v>1229</v>
      </c>
      <c r="F11" s="1" t="s">
        <v>1217</v>
      </c>
      <c r="G11" s="304" t="s">
        <v>1230</v>
      </c>
      <c r="H11" s="304" t="s">
        <v>1235</v>
      </c>
      <c r="I11" s="359"/>
      <c r="J11" s="360"/>
      <c r="K11" s="359"/>
      <c r="L11" s="359"/>
      <c r="M11" s="359"/>
      <c r="N11" s="359"/>
      <c r="O11" s="359"/>
      <c r="P11" s="359">
        <v>72.69</v>
      </c>
      <c r="Q11" s="359">
        <f t="shared" si="1"/>
        <v>72.69</v>
      </c>
      <c r="R11" s="359">
        <v>72.69</v>
      </c>
      <c r="S11" s="359"/>
      <c r="T11" s="304" t="s">
        <v>1236</v>
      </c>
      <c r="U11" s="368"/>
      <c r="V11" s="169"/>
      <c r="W11" s="165"/>
    </row>
    <row r="12" s="315" customFormat="1" ht="28" customHeight="1" spans="1:23">
      <c r="A12" s="335">
        <v>8</v>
      </c>
      <c r="B12" s="336" t="s">
        <v>880</v>
      </c>
      <c r="C12" s="336" t="s">
        <v>880</v>
      </c>
      <c r="D12" s="304" t="s">
        <v>1237</v>
      </c>
      <c r="E12" s="304" t="s">
        <v>1229</v>
      </c>
      <c r="F12" s="1" t="s">
        <v>1217</v>
      </c>
      <c r="G12" s="304" t="s">
        <v>1230</v>
      </c>
      <c r="H12" s="304" t="s">
        <v>1238</v>
      </c>
      <c r="I12" s="359">
        <v>63</v>
      </c>
      <c r="J12" s="360">
        <v>63</v>
      </c>
      <c r="K12" s="359"/>
      <c r="L12" s="359"/>
      <c r="M12" s="359"/>
      <c r="N12" s="359"/>
      <c r="O12" s="359"/>
      <c r="P12" s="359"/>
      <c r="Q12" s="359">
        <f t="shared" ref="Q12:Q19" si="2">I12+P12</f>
        <v>63</v>
      </c>
      <c r="R12" s="359"/>
      <c r="S12" s="359"/>
      <c r="T12" s="304"/>
      <c r="U12" s="304" t="s">
        <v>1239</v>
      </c>
      <c r="V12" s="169"/>
      <c r="W12" s="165"/>
    </row>
    <row r="13" s="315" customFormat="1" ht="28" customHeight="1" spans="1:23">
      <c r="A13" s="335">
        <v>9</v>
      </c>
      <c r="B13" s="336" t="s">
        <v>880</v>
      </c>
      <c r="C13" s="336" t="s">
        <v>880</v>
      </c>
      <c r="D13" s="304" t="s">
        <v>1240</v>
      </c>
      <c r="E13" s="304" t="s">
        <v>1241</v>
      </c>
      <c r="F13" s="1" t="s">
        <v>1217</v>
      </c>
      <c r="G13" s="304" t="s">
        <v>1230</v>
      </c>
      <c r="H13" s="304" t="s">
        <v>1242</v>
      </c>
      <c r="I13" s="359">
        <v>45</v>
      </c>
      <c r="J13" s="360">
        <v>45</v>
      </c>
      <c r="K13" s="359"/>
      <c r="L13" s="359"/>
      <c r="M13" s="359"/>
      <c r="N13" s="359"/>
      <c r="O13" s="359"/>
      <c r="P13" s="359"/>
      <c r="Q13" s="359">
        <f t="shared" si="2"/>
        <v>45</v>
      </c>
      <c r="R13" s="359"/>
      <c r="S13" s="359">
        <v>45</v>
      </c>
      <c r="T13" s="304"/>
      <c r="U13" s="304" t="s">
        <v>1243</v>
      </c>
      <c r="V13" s="169"/>
      <c r="W13" s="165"/>
    </row>
    <row r="14" s="315" customFormat="1" ht="24" customHeight="1" spans="1:23">
      <c r="A14" s="335">
        <v>10</v>
      </c>
      <c r="B14" s="336" t="s">
        <v>880</v>
      </c>
      <c r="C14" s="336" t="s">
        <v>880</v>
      </c>
      <c r="D14" s="304" t="s">
        <v>1240</v>
      </c>
      <c r="E14" s="304" t="s">
        <v>1241</v>
      </c>
      <c r="F14" s="1" t="s">
        <v>1217</v>
      </c>
      <c r="G14" s="304" t="s">
        <v>1230</v>
      </c>
      <c r="H14" s="304" t="s">
        <v>1244</v>
      </c>
      <c r="I14" s="359">
        <v>10</v>
      </c>
      <c r="J14" s="360">
        <v>10</v>
      </c>
      <c r="K14" s="359"/>
      <c r="L14" s="359"/>
      <c r="M14" s="359"/>
      <c r="N14" s="359"/>
      <c r="O14" s="359"/>
      <c r="P14" s="359"/>
      <c r="Q14" s="359">
        <f t="shared" si="2"/>
        <v>10</v>
      </c>
      <c r="R14" s="359"/>
      <c r="S14" s="359">
        <v>10</v>
      </c>
      <c r="T14" s="304"/>
      <c r="U14" s="304" t="s">
        <v>1245</v>
      </c>
      <c r="V14" s="169" t="s">
        <v>1221</v>
      </c>
      <c r="W14" s="165"/>
    </row>
    <row r="15" s="315" customFormat="1" ht="24" customHeight="1" spans="1:23">
      <c r="A15" s="335">
        <v>11</v>
      </c>
      <c r="B15" s="336"/>
      <c r="C15" s="336" t="s">
        <v>880</v>
      </c>
      <c r="D15" s="304" t="s">
        <v>1246</v>
      </c>
      <c r="E15" s="304" t="s">
        <v>1241</v>
      </c>
      <c r="F15" s="1" t="s">
        <v>1217</v>
      </c>
      <c r="G15" s="304" t="s">
        <v>1230</v>
      </c>
      <c r="H15" s="304" t="s">
        <v>1247</v>
      </c>
      <c r="I15" s="359"/>
      <c r="J15" s="360"/>
      <c r="K15" s="359"/>
      <c r="L15" s="359"/>
      <c r="M15" s="359"/>
      <c r="N15" s="359"/>
      <c r="O15" s="359"/>
      <c r="P15" s="359">
        <v>49.3</v>
      </c>
      <c r="Q15" s="359">
        <f t="shared" si="2"/>
        <v>49.3</v>
      </c>
      <c r="R15" s="359"/>
      <c r="S15" s="359"/>
      <c r="T15" s="304" t="s">
        <v>1248</v>
      </c>
      <c r="U15" s="304"/>
      <c r="V15" s="169"/>
      <c r="W15" s="165"/>
    </row>
    <row r="16" s="315" customFormat="1" ht="36" spans="1:23">
      <c r="A16" s="335">
        <v>12</v>
      </c>
      <c r="B16" s="336"/>
      <c r="C16" s="336" t="s">
        <v>880</v>
      </c>
      <c r="D16" s="304" t="s">
        <v>1246</v>
      </c>
      <c r="E16" s="304" t="s">
        <v>1241</v>
      </c>
      <c r="F16" s="1" t="s">
        <v>1217</v>
      </c>
      <c r="G16" s="304" t="s">
        <v>1230</v>
      </c>
      <c r="H16" s="304" t="s">
        <v>1249</v>
      </c>
      <c r="I16" s="359"/>
      <c r="J16" s="360"/>
      <c r="K16" s="359"/>
      <c r="L16" s="359"/>
      <c r="M16" s="359"/>
      <c r="N16" s="359"/>
      <c r="O16" s="359"/>
      <c r="P16" s="359">
        <v>61.64</v>
      </c>
      <c r="Q16" s="359">
        <f t="shared" si="2"/>
        <v>61.64</v>
      </c>
      <c r="R16" s="359"/>
      <c r="S16" s="359">
        <v>61.64</v>
      </c>
      <c r="T16" s="304" t="s">
        <v>1250</v>
      </c>
      <c r="U16" s="304"/>
      <c r="V16" s="169"/>
      <c r="W16" s="165"/>
    </row>
    <row r="17" s="315" customFormat="1" ht="24" customHeight="1" spans="1:23">
      <c r="A17" s="335">
        <v>13</v>
      </c>
      <c r="B17" s="336" t="s">
        <v>889</v>
      </c>
      <c r="C17" s="336" t="s">
        <v>889</v>
      </c>
      <c r="D17" s="304" t="s">
        <v>1251</v>
      </c>
      <c r="E17" s="304" t="s">
        <v>1252</v>
      </c>
      <c r="F17" s="1" t="s">
        <v>1217</v>
      </c>
      <c r="G17" s="304" t="s">
        <v>1230</v>
      </c>
      <c r="H17" s="304" t="s">
        <v>1253</v>
      </c>
      <c r="I17" s="359">
        <v>207</v>
      </c>
      <c r="J17" s="360">
        <v>207</v>
      </c>
      <c r="K17" s="359"/>
      <c r="L17" s="359"/>
      <c r="M17" s="359"/>
      <c r="N17" s="359"/>
      <c r="O17" s="359"/>
      <c r="P17" s="359">
        <v>-207</v>
      </c>
      <c r="Q17" s="359">
        <f t="shared" si="2"/>
        <v>0</v>
      </c>
      <c r="R17" s="359"/>
      <c r="S17" s="359"/>
      <c r="T17" s="304"/>
      <c r="U17" s="304" t="s">
        <v>1254</v>
      </c>
      <c r="V17" s="169"/>
      <c r="W17" s="165">
        <v>207</v>
      </c>
    </row>
    <row r="18" s="315" customFormat="1" ht="24" customHeight="1" spans="1:23">
      <c r="A18" s="335">
        <v>14</v>
      </c>
      <c r="B18" s="336" t="s">
        <v>202</v>
      </c>
      <c r="C18" s="336" t="s">
        <v>889</v>
      </c>
      <c r="D18" s="304" t="s">
        <v>1255</v>
      </c>
      <c r="E18" s="304" t="s">
        <v>1256</v>
      </c>
      <c r="F18" s="1" t="s">
        <v>1217</v>
      </c>
      <c r="G18" s="304" t="s">
        <v>1230</v>
      </c>
      <c r="H18" s="304" t="s">
        <v>1257</v>
      </c>
      <c r="I18" s="359">
        <v>159</v>
      </c>
      <c r="J18" s="360">
        <v>159</v>
      </c>
      <c r="K18" s="359"/>
      <c r="L18" s="359"/>
      <c r="M18" s="359"/>
      <c r="N18" s="359"/>
      <c r="O18" s="359"/>
      <c r="P18" s="359"/>
      <c r="Q18" s="359">
        <f t="shared" si="2"/>
        <v>159</v>
      </c>
      <c r="R18" s="359">
        <v>50.8</v>
      </c>
      <c r="S18" s="359"/>
      <c r="T18" s="304"/>
      <c r="U18" s="304" t="s">
        <v>1258</v>
      </c>
      <c r="V18" s="169"/>
      <c r="W18" s="165"/>
    </row>
    <row r="19" s="316" customFormat="1" ht="24" customHeight="1" spans="1:23">
      <c r="A19" s="329">
        <v>15</v>
      </c>
      <c r="B19" s="337"/>
      <c r="C19" s="337"/>
      <c r="D19" s="332"/>
      <c r="E19" s="333" t="s">
        <v>1259</v>
      </c>
      <c r="F19" s="333"/>
      <c r="G19" s="333"/>
      <c r="H19" s="334"/>
      <c r="I19" s="358">
        <f>SUM(I20:I26)</f>
        <v>468</v>
      </c>
      <c r="J19" s="358">
        <f t="shared" ref="J19:S19" si="3">SUM(J20:J26)</f>
        <v>0</v>
      </c>
      <c r="K19" s="358">
        <f t="shared" si="3"/>
        <v>0</v>
      </c>
      <c r="L19" s="358">
        <f t="shared" si="3"/>
        <v>468</v>
      </c>
      <c r="M19" s="358">
        <f t="shared" si="3"/>
        <v>0</v>
      </c>
      <c r="N19" s="358">
        <f t="shared" si="3"/>
        <v>0</v>
      </c>
      <c r="O19" s="358">
        <f t="shared" si="3"/>
        <v>0</v>
      </c>
      <c r="P19" s="358">
        <f t="shared" si="3"/>
        <v>299</v>
      </c>
      <c r="Q19" s="358">
        <f t="shared" si="3"/>
        <v>767</v>
      </c>
      <c r="R19" s="358">
        <f t="shared" si="3"/>
        <v>163.31</v>
      </c>
      <c r="S19" s="358">
        <f t="shared" si="3"/>
        <v>0</v>
      </c>
      <c r="T19" s="369"/>
      <c r="U19" s="364"/>
      <c r="V19" s="365"/>
      <c r="W19" s="366"/>
    </row>
    <row r="20" s="315" customFormat="1" ht="24" customHeight="1" spans="1:23">
      <c r="A20" s="335">
        <v>16</v>
      </c>
      <c r="B20" s="336" t="s">
        <v>202</v>
      </c>
      <c r="C20" s="336" t="s">
        <v>889</v>
      </c>
      <c r="D20" s="304" t="s">
        <v>1260</v>
      </c>
      <c r="E20" s="304" t="s">
        <v>1261</v>
      </c>
      <c r="F20" s="1" t="s">
        <v>1217</v>
      </c>
      <c r="G20" s="304" t="s">
        <v>1218</v>
      </c>
      <c r="H20" s="304" t="s">
        <v>1262</v>
      </c>
      <c r="I20" s="359">
        <v>18</v>
      </c>
      <c r="J20" s="360"/>
      <c r="K20" s="359"/>
      <c r="L20" s="359">
        <v>18</v>
      </c>
      <c r="M20" s="359"/>
      <c r="N20" s="359"/>
      <c r="O20" s="359"/>
      <c r="P20" s="359"/>
      <c r="Q20" s="359">
        <f t="shared" ref="Q20:Q26" si="4">I20+P20</f>
        <v>18</v>
      </c>
      <c r="R20" s="359">
        <v>13</v>
      </c>
      <c r="S20" s="359"/>
      <c r="T20" s="304"/>
      <c r="U20" s="304" t="s">
        <v>1262</v>
      </c>
      <c r="V20" s="169"/>
      <c r="W20" s="165"/>
    </row>
    <row r="21" s="315" customFormat="1" ht="24" customHeight="1" spans="1:23">
      <c r="A21" s="335">
        <v>17</v>
      </c>
      <c r="B21" s="336" t="s">
        <v>202</v>
      </c>
      <c r="C21" s="336" t="s">
        <v>889</v>
      </c>
      <c r="D21" s="304" t="s">
        <v>1260</v>
      </c>
      <c r="E21" s="304" t="s">
        <v>1263</v>
      </c>
      <c r="F21" s="1" t="s">
        <v>1217</v>
      </c>
      <c r="G21" s="304" t="s">
        <v>1218</v>
      </c>
      <c r="H21" s="304" t="s">
        <v>1264</v>
      </c>
      <c r="I21" s="359">
        <v>450</v>
      </c>
      <c r="J21" s="360"/>
      <c r="K21" s="359"/>
      <c r="L21" s="359">
        <v>450</v>
      </c>
      <c r="M21" s="359"/>
      <c r="N21" s="359"/>
      <c r="O21" s="359"/>
      <c r="P21" s="359">
        <v>-450</v>
      </c>
      <c r="Q21" s="359">
        <f t="shared" si="4"/>
        <v>0</v>
      </c>
      <c r="R21" s="359">
        <v>61.99</v>
      </c>
      <c r="S21" s="359"/>
      <c r="T21" s="304"/>
      <c r="U21" s="304" t="s">
        <v>1264</v>
      </c>
      <c r="V21" s="169"/>
      <c r="W21" s="165">
        <v>450</v>
      </c>
    </row>
    <row r="22" s="315" customFormat="1" ht="24" customHeight="1" spans="1:23">
      <c r="A22" s="335">
        <v>18</v>
      </c>
      <c r="B22" s="336"/>
      <c r="C22" s="336" t="s">
        <v>1227</v>
      </c>
      <c r="D22" s="304" t="s">
        <v>1265</v>
      </c>
      <c r="E22" s="304" t="s">
        <v>1263</v>
      </c>
      <c r="F22" s="1" t="s">
        <v>1217</v>
      </c>
      <c r="G22" s="304" t="s">
        <v>1230</v>
      </c>
      <c r="H22" s="304" t="s">
        <v>1266</v>
      </c>
      <c r="I22" s="359"/>
      <c r="J22" s="360"/>
      <c r="K22" s="359"/>
      <c r="L22" s="359"/>
      <c r="M22" s="359"/>
      <c r="N22" s="359"/>
      <c r="O22" s="359"/>
      <c r="P22" s="359">
        <v>5</v>
      </c>
      <c r="Q22" s="359">
        <f t="shared" si="4"/>
        <v>5</v>
      </c>
      <c r="R22" s="359">
        <v>0</v>
      </c>
      <c r="S22" s="359"/>
      <c r="T22" s="304" t="s">
        <v>1267</v>
      </c>
      <c r="U22" s="304"/>
      <c r="V22" s="169"/>
      <c r="W22" s="165"/>
    </row>
    <row r="23" s="315" customFormat="1" ht="24" customHeight="1" spans="1:23">
      <c r="A23" s="335">
        <v>19</v>
      </c>
      <c r="B23" s="336"/>
      <c r="C23" s="336" t="s">
        <v>1227</v>
      </c>
      <c r="D23" s="304" t="s">
        <v>1268</v>
      </c>
      <c r="E23" s="304" t="s">
        <v>1263</v>
      </c>
      <c r="F23" s="1" t="s">
        <v>1217</v>
      </c>
      <c r="G23" s="304" t="s">
        <v>1230</v>
      </c>
      <c r="H23" s="304" t="s">
        <v>1269</v>
      </c>
      <c r="I23" s="359"/>
      <c r="J23" s="360"/>
      <c r="K23" s="359"/>
      <c r="L23" s="359"/>
      <c r="M23" s="359"/>
      <c r="N23" s="359"/>
      <c r="O23" s="359"/>
      <c r="P23" s="359"/>
      <c r="Q23" s="359">
        <f t="shared" si="4"/>
        <v>0</v>
      </c>
      <c r="R23" s="359">
        <v>0</v>
      </c>
      <c r="S23" s="359"/>
      <c r="T23" s="304" t="s">
        <v>1270</v>
      </c>
      <c r="U23" s="304"/>
      <c r="V23" s="169"/>
      <c r="W23" s="169">
        <v>124</v>
      </c>
    </row>
    <row r="24" s="315" customFormat="1" ht="24" customHeight="1" spans="1:23">
      <c r="A24" s="335">
        <v>20</v>
      </c>
      <c r="B24" s="336"/>
      <c r="C24" s="336" t="s">
        <v>1227</v>
      </c>
      <c r="D24" s="338" t="s">
        <v>1271</v>
      </c>
      <c r="E24" s="304" t="s">
        <v>1263</v>
      </c>
      <c r="F24" s="1" t="s">
        <v>1217</v>
      </c>
      <c r="G24" s="304" t="s">
        <v>1230</v>
      </c>
      <c r="H24" s="304" t="s">
        <v>1272</v>
      </c>
      <c r="I24" s="359"/>
      <c r="J24" s="360"/>
      <c r="K24" s="359"/>
      <c r="L24" s="359"/>
      <c r="M24" s="359"/>
      <c r="N24" s="359"/>
      <c r="O24" s="359"/>
      <c r="P24" s="359">
        <v>724</v>
      </c>
      <c r="Q24" s="359">
        <f t="shared" si="4"/>
        <v>724</v>
      </c>
      <c r="R24" s="359"/>
      <c r="S24" s="359"/>
      <c r="T24" s="304" t="s">
        <v>1273</v>
      </c>
      <c r="U24" s="304"/>
      <c r="V24" s="169"/>
      <c r="W24" s="169"/>
    </row>
    <row r="25" s="315" customFormat="1" ht="24" customHeight="1" spans="1:23">
      <c r="A25" s="335">
        <v>21</v>
      </c>
      <c r="B25" s="336"/>
      <c r="C25" s="336" t="s">
        <v>1227</v>
      </c>
      <c r="D25" s="304" t="s">
        <v>1274</v>
      </c>
      <c r="E25" s="304" t="s">
        <v>1263</v>
      </c>
      <c r="F25" s="1" t="s">
        <v>1217</v>
      </c>
      <c r="G25" s="304" t="s">
        <v>1230</v>
      </c>
      <c r="H25" s="304" t="s">
        <v>1275</v>
      </c>
      <c r="I25" s="359"/>
      <c r="J25" s="360"/>
      <c r="K25" s="359"/>
      <c r="L25" s="359"/>
      <c r="M25" s="359"/>
      <c r="N25" s="359"/>
      <c r="O25" s="359"/>
      <c r="P25" s="359">
        <v>20</v>
      </c>
      <c r="Q25" s="359">
        <f t="shared" si="4"/>
        <v>20</v>
      </c>
      <c r="R25" s="359">
        <v>0</v>
      </c>
      <c r="S25" s="359"/>
      <c r="T25" s="304" t="s">
        <v>1276</v>
      </c>
      <c r="U25" s="304"/>
      <c r="V25" s="169"/>
      <c r="W25" s="165"/>
    </row>
    <row r="26" s="315" customFormat="1" ht="24" spans="1:23">
      <c r="A26" s="335">
        <v>22</v>
      </c>
      <c r="B26" s="336"/>
      <c r="C26" s="336" t="s">
        <v>1227</v>
      </c>
      <c r="D26" s="304" t="s">
        <v>1274</v>
      </c>
      <c r="E26" s="304" t="s">
        <v>1263</v>
      </c>
      <c r="F26" s="1" t="s">
        <v>1217</v>
      </c>
      <c r="G26" s="304" t="s">
        <v>1230</v>
      </c>
      <c r="H26" s="304" t="s">
        <v>1277</v>
      </c>
      <c r="I26" s="359"/>
      <c r="J26" s="360"/>
      <c r="K26" s="359"/>
      <c r="L26" s="359"/>
      <c r="M26" s="359"/>
      <c r="N26" s="359"/>
      <c r="O26" s="359"/>
      <c r="P26" s="359"/>
      <c r="Q26" s="359">
        <f t="shared" si="4"/>
        <v>0</v>
      </c>
      <c r="R26" s="359">
        <v>88.32</v>
      </c>
      <c r="S26" s="359"/>
      <c r="T26" s="304" t="s">
        <v>1276</v>
      </c>
      <c r="U26" s="304"/>
      <c r="V26" s="169"/>
      <c r="W26" s="169">
        <v>2073.556975</v>
      </c>
    </row>
    <row r="27" s="316" customFormat="1" ht="24" customHeight="1" spans="1:23">
      <c r="A27" s="329">
        <v>23</v>
      </c>
      <c r="B27" s="337"/>
      <c r="C27" s="337"/>
      <c r="D27" s="332"/>
      <c r="E27" s="333" t="s">
        <v>1278</v>
      </c>
      <c r="F27" s="333"/>
      <c r="G27" s="333"/>
      <c r="H27" s="334"/>
      <c r="I27" s="358">
        <f>SUM(I28:I51)</f>
        <v>2954.274</v>
      </c>
      <c r="J27" s="358">
        <f t="shared" ref="J27:S27" si="5">SUM(J28:J51)</f>
        <v>900</v>
      </c>
      <c r="K27" s="358">
        <f t="shared" si="5"/>
        <v>878.194</v>
      </c>
      <c r="L27" s="358">
        <f t="shared" si="5"/>
        <v>1176.08</v>
      </c>
      <c r="M27" s="358">
        <f t="shared" si="5"/>
        <v>0</v>
      </c>
      <c r="N27" s="358">
        <f t="shared" si="5"/>
        <v>0</v>
      </c>
      <c r="O27" s="358">
        <f t="shared" si="5"/>
        <v>0</v>
      </c>
      <c r="P27" s="358">
        <f t="shared" si="5"/>
        <v>2280.365</v>
      </c>
      <c r="Q27" s="358">
        <f t="shared" si="5"/>
        <v>5234.639</v>
      </c>
      <c r="R27" s="358">
        <f t="shared" si="5"/>
        <v>4040.19</v>
      </c>
      <c r="S27" s="358">
        <f t="shared" si="5"/>
        <v>0</v>
      </c>
      <c r="T27" s="369"/>
      <c r="U27" s="364"/>
      <c r="V27" s="365"/>
      <c r="W27" s="366"/>
    </row>
    <row r="28" s="315" customFormat="1" ht="24" customHeight="1" spans="1:23">
      <c r="A28" s="335">
        <v>24</v>
      </c>
      <c r="B28" s="339" t="s">
        <v>889</v>
      </c>
      <c r="C28" s="339" t="s">
        <v>889</v>
      </c>
      <c r="D28" s="340" t="s">
        <v>1279</v>
      </c>
      <c r="E28" s="340" t="s">
        <v>1280</v>
      </c>
      <c r="F28" s="341" t="s">
        <v>1217</v>
      </c>
      <c r="G28" s="340" t="s">
        <v>1218</v>
      </c>
      <c r="H28" s="342" t="s">
        <v>1281</v>
      </c>
      <c r="I28" s="359">
        <v>45</v>
      </c>
      <c r="J28" s="360"/>
      <c r="K28" s="359"/>
      <c r="L28" s="359">
        <v>45</v>
      </c>
      <c r="M28" s="359"/>
      <c r="N28" s="359"/>
      <c r="O28" s="359"/>
      <c r="P28" s="359"/>
      <c r="Q28" s="359">
        <f t="shared" ref="Q28:Q37" si="6">I28+P28</f>
        <v>45</v>
      </c>
      <c r="R28" s="359">
        <v>43.5</v>
      </c>
      <c r="S28" s="359"/>
      <c r="T28" s="304"/>
      <c r="U28" s="370" t="s">
        <v>1281</v>
      </c>
      <c r="V28" s="169" t="s">
        <v>1221</v>
      </c>
      <c r="W28" s="165"/>
    </row>
    <row r="29" s="315" customFormat="1" ht="24" customHeight="1" spans="1:23">
      <c r="A29" s="335">
        <v>25</v>
      </c>
      <c r="B29" s="339" t="s">
        <v>889</v>
      </c>
      <c r="C29" s="339" t="s">
        <v>889</v>
      </c>
      <c r="D29" s="340" t="s">
        <v>1279</v>
      </c>
      <c r="E29" s="340" t="s">
        <v>1280</v>
      </c>
      <c r="F29" s="341" t="s">
        <v>1217</v>
      </c>
      <c r="G29" s="340" t="s">
        <v>1218</v>
      </c>
      <c r="H29" s="342" t="s">
        <v>1282</v>
      </c>
      <c r="I29" s="359">
        <v>239.08</v>
      </c>
      <c r="J29" s="360"/>
      <c r="K29" s="359"/>
      <c r="L29" s="359">
        <v>239.08</v>
      </c>
      <c r="M29" s="359"/>
      <c r="N29" s="359"/>
      <c r="O29" s="359"/>
      <c r="P29" s="359">
        <v>-239.08</v>
      </c>
      <c r="Q29" s="359">
        <f t="shared" si="6"/>
        <v>0</v>
      </c>
      <c r="R29" s="359"/>
      <c r="S29" s="359"/>
      <c r="T29" s="304" t="s">
        <v>1283</v>
      </c>
      <c r="U29" s="370" t="s">
        <v>1282</v>
      </c>
      <c r="V29" s="169" t="s">
        <v>1221</v>
      </c>
      <c r="W29" s="165"/>
    </row>
    <row r="30" s="315" customFormat="1" ht="24" customHeight="1" spans="1:23">
      <c r="A30" s="335">
        <v>26</v>
      </c>
      <c r="B30" s="339" t="s">
        <v>889</v>
      </c>
      <c r="C30" s="339" t="s">
        <v>889</v>
      </c>
      <c r="D30" s="340" t="s">
        <v>1279</v>
      </c>
      <c r="E30" s="340" t="s">
        <v>1280</v>
      </c>
      <c r="F30" s="341" t="s">
        <v>1217</v>
      </c>
      <c r="G30" s="340" t="s">
        <v>1218</v>
      </c>
      <c r="H30" s="342" t="s">
        <v>1284</v>
      </c>
      <c r="I30" s="359">
        <v>55</v>
      </c>
      <c r="J30" s="360"/>
      <c r="K30" s="359"/>
      <c r="L30" s="359">
        <v>55</v>
      </c>
      <c r="M30" s="359"/>
      <c r="N30" s="359"/>
      <c r="O30" s="359"/>
      <c r="P30" s="359">
        <v>-55</v>
      </c>
      <c r="Q30" s="359">
        <f t="shared" si="6"/>
        <v>0</v>
      </c>
      <c r="R30" s="359"/>
      <c r="S30" s="359"/>
      <c r="T30" s="304" t="s">
        <v>1283</v>
      </c>
      <c r="U30" s="342" t="s">
        <v>1284</v>
      </c>
      <c r="V30" s="169" t="s">
        <v>1221</v>
      </c>
      <c r="W30" s="165"/>
    </row>
    <row r="31" s="315" customFormat="1" ht="24" customHeight="1" spans="1:23">
      <c r="A31" s="335">
        <v>27</v>
      </c>
      <c r="B31" s="339" t="s">
        <v>889</v>
      </c>
      <c r="C31" s="339" t="s">
        <v>889</v>
      </c>
      <c r="D31" s="340" t="s">
        <v>1279</v>
      </c>
      <c r="E31" s="340" t="s">
        <v>1280</v>
      </c>
      <c r="F31" s="341" t="s">
        <v>1217</v>
      </c>
      <c r="G31" s="340" t="s">
        <v>1218</v>
      </c>
      <c r="H31" s="342" t="s">
        <v>1285</v>
      </c>
      <c r="I31" s="359">
        <v>42</v>
      </c>
      <c r="J31" s="360"/>
      <c r="K31" s="359"/>
      <c r="L31" s="359">
        <v>42</v>
      </c>
      <c r="M31" s="359"/>
      <c r="N31" s="359"/>
      <c r="O31" s="359"/>
      <c r="P31" s="359">
        <v>-42</v>
      </c>
      <c r="Q31" s="359">
        <f t="shared" si="6"/>
        <v>0</v>
      </c>
      <c r="R31" s="359"/>
      <c r="S31" s="359"/>
      <c r="T31" s="304" t="s">
        <v>1283</v>
      </c>
      <c r="U31" s="342" t="s">
        <v>1285</v>
      </c>
      <c r="V31" s="169" t="s">
        <v>1221</v>
      </c>
      <c r="W31" s="165"/>
    </row>
    <row r="32" s="315" customFormat="1" ht="24" customHeight="1" spans="1:23">
      <c r="A32" s="335">
        <v>28</v>
      </c>
      <c r="B32" s="339" t="s">
        <v>889</v>
      </c>
      <c r="C32" s="339" t="s">
        <v>889</v>
      </c>
      <c r="D32" s="340" t="s">
        <v>1279</v>
      </c>
      <c r="E32" s="340" t="s">
        <v>1280</v>
      </c>
      <c r="F32" s="341" t="s">
        <v>1217</v>
      </c>
      <c r="G32" s="340" t="s">
        <v>1218</v>
      </c>
      <c r="H32" s="342" t="s">
        <v>1286</v>
      </c>
      <c r="I32" s="359">
        <v>1</v>
      </c>
      <c r="J32" s="360"/>
      <c r="K32" s="359"/>
      <c r="L32" s="359">
        <v>1</v>
      </c>
      <c r="M32" s="359"/>
      <c r="N32" s="359"/>
      <c r="O32" s="359"/>
      <c r="P32" s="359">
        <v>-1</v>
      </c>
      <c r="Q32" s="359">
        <f t="shared" si="6"/>
        <v>0</v>
      </c>
      <c r="R32" s="359"/>
      <c r="S32" s="359"/>
      <c r="T32" s="304" t="s">
        <v>1283</v>
      </c>
      <c r="U32" s="342" t="s">
        <v>1286</v>
      </c>
      <c r="V32" s="169" t="s">
        <v>1221</v>
      </c>
      <c r="W32" s="165"/>
    </row>
    <row r="33" s="315" customFormat="1" ht="24" customHeight="1" spans="1:23">
      <c r="A33" s="335">
        <v>29</v>
      </c>
      <c r="B33" s="339" t="s">
        <v>889</v>
      </c>
      <c r="C33" s="339" t="s">
        <v>889</v>
      </c>
      <c r="D33" s="340" t="s">
        <v>1279</v>
      </c>
      <c r="E33" s="340" t="s">
        <v>1280</v>
      </c>
      <c r="F33" s="341" t="s">
        <v>1217</v>
      </c>
      <c r="G33" s="340" t="s">
        <v>1218</v>
      </c>
      <c r="H33" s="342" t="s">
        <v>1287</v>
      </c>
      <c r="I33" s="359">
        <v>794</v>
      </c>
      <c r="J33" s="360"/>
      <c r="K33" s="359"/>
      <c r="L33" s="359">
        <v>794</v>
      </c>
      <c r="M33" s="359"/>
      <c r="N33" s="359"/>
      <c r="O33" s="359"/>
      <c r="P33" s="359">
        <v>-794</v>
      </c>
      <c r="Q33" s="359">
        <f t="shared" si="6"/>
        <v>0</v>
      </c>
      <c r="R33" s="359"/>
      <c r="S33" s="359"/>
      <c r="T33" s="304" t="s">
        <v>1283</v>
      </c>
      <c r="U33" s="342" t="s">
        <v>1287</v>
      </c>
      <c r="V33" s="169" t="s">
        <v>1221</v>
      </c>
      <c r="W33" s="165"/>
    </row>
    <row r="34" s="315" customFormat="1" ht="24" customHeight="1" spans="1:23">
      <c r="A34" s="335">
        <v>30</v>
      </c>
      <c r="B34" s="339"/>
      <c r="C34" s="339" t="s">
        <v>1288</v>
      </c>
      <c r="D34" s="340" t="s">
        <v>1289</v>
      </c>
      <c r="E34" s="340" t="s">
        <v>1290</v>
      </c>
      <c r="F34" s="341" t="s">
        <v>1217</v>
      </c>
      <c r="G34" s="340" t="s">
        <v>1218</v>
      </c>
      <c r="H34" s="342" t="s">
        <v>1291</v>
      </c>
      <c r="I34" s="359"/>
      <c r="J34" s="360"/>
      <c r="K34" s="359"/>
      <c r="L34" s="359"/>
      <c r="M34" s="359"/>
      <c r="N34" s="359"/>
      <c r="O34" s="359"/>
      <c r="P34" s="359">
        <v>1000</v>
      </c>
      <c r="Q34" s="359">
        <f t="shared" si="6"/>
        <v>1000</v>
      </c>
      <c r="R34" s="359">
        <v>1000</v>
      </c>
      <c r="S34" s="359"/>
      <c r="T34" s="304" t="s">
        <v>1292</v>
      </c>
      <c r="U34" s="342"/>
      <c r="V34" s="169"/>
      <c r="W34" s="165"/>
    </row>
    <row r="35" s="315" customFormat="1" ht="24" customHeight="1" spans="1:23">
      <c r="A35" s="335">
        <v>31</v>
      </c>
      <c r="B35" s="339"/>
      <c r="C35" s="339" t="s">
        <v>1288</v>
      </c>
      <c r="D35" s="340" t="s">
        <v>1279</v>
      </c>
      <c r="E35" s="340" t="s">
        <v>1293</v>
      </c>
      <c r="F35" s="341" t="s">
        <v>1217</v>
      </c>
      <c r="G35" s="340" t="s">
        <v>1218</v>
      </c>
      <c r="H35" s="342" t="s">
        <v>1294</v>
      </c>
      <c r="I35" s="359"/>
      <c r="J35" s="360"/>
      <c r="K35" s="359"/>
      <c r="L35" s="359"/>
      <c r="M35" s="359"/>
      <c r="N35" s="359"/>
      <c r="O35" s="359"/>
      <c r="P35" s="359">
        <v>2500</v>
      </c>
      <c r="Q35" s="359">
        <f t="shared" si="6"/>
        <v>2500</v>
      </c>
      <c r="R35" s="359">
        <v>2500</v>
      </c>
      <c r="S35" s="359"/>
      <c r="T35" s="304" t="s">
        <v>1295</v>
      </c>
      <c r="U35" s="342"/>
      <c r="V35" s="169"/>
      <c r="W35" s="165"/>
    </row>
    <row r="36" s="315" customFormat="1" ht="24" customHeight="1" spans="1:23">
      <c r="A36" s="335">
        <v>32</v>
      </c>
      <c r="B36" s="339" t="s">
        <v>889</v>
      </c>
      <c r="C36" s="339" t="s">
        <v>889</v>
      </c>
      <c r="D36" s="340" t="s">
        <v>1279</v>
      </c>
      <c r="E36" s="340" t="s">
        <v>1293</v>
      </c>
      <c r="F36" s="341" t="s">
        <v>1217</v>
      </c>
      <c r="G36" s="340" t="s">
        <v>1296</v>
      </c>
      <c r="H36" s="342" t="s">
        <v>1297</v>
      </c>
      <c r="I36" s="359">
        <v>16.2</v>
      </c>
      <c r="J36" s="360"/>
      <c r="K36" s="359">
        <v>16.2</v>
      </c>
      <c r="L36" s="359"/>
      <c r="M36" s="359"/>
      <c r="N36" s="359"/>
      <c r="O36" s="359"/>
      <c r="P36" s="359">
        <v>0.6</v>
      </c>
      <c r="Q36" s="359">
        <f t="shared" si="6"/>
        <v>16.8</v>
      </c>
      <c r="R36" s="359">
        <v>10.17</v>
      </c>
      <c r="S36" s="359"/>
      <c r="T36" s="304" t="s">
        <v>1298</v>
      </c>
      <c r="U36" s="371" t="s">
        <v>1299</v>
      </c>
      <c r="V36" s="169" t="s">
        <v>1221</v>
      </c>
      <c r="W36" s="165"/>
    </row>
    <row r="37" s="315" customFormat="1" ht="24" customHeight="1" spans="1:23">
      <c r="A37" s="335">
        <v>33</v>
      </c>
      <c r="B37" s="339" t="s">
        <v>889</v>
      </c>
      <c r="C37" s="339" t="s">
        <v>889</v>
      </c>
      <c r="D37" s="340" t="s">
        <v>1279</v>
      </c>
      <c r="E37" s="340" t="s">
        <v>1293</v>
      </c>
      <c r="F37" s="341" t="s">
        <v>1217</v>
      </c>
      <c r="G37" s="340" t="s">
        <v>1296</v>
      </c>
      <c r="H37" s="342" t="s">
        <v>1300</v>
      </c>
      <c r="I37" s="359">
        <v>14.2</v>
      </c>
      <c r="J37" s="360"/>
      <c r="K37" s="359">
        <v>14.2</v>
      </c>
      <c r="L37" s="359"/>
      <c r="M37" s="359"/>
      <c r="N37" s="359"/>
      <c r="O37" s="359"/>
      <c r="P37" s="359"/>
      <c r="Q37" s="359">
        <f t="shared" si="6"/>
        <v>14.2</v>
      </c>
      <c r="R37" s="359">
        <v>9.2</v>
      </c>
      <c r="S37" s="359"/>
      <c r="T37" s="304"/>
      <c r="U37" s="371" t="s">
        <v>1299</v>
      </c>
      <c r="V37" s="169" t="s">
        <v>1221</v>
      </c>
      <c r="W37" s="165"/>
    </row>
    <row r="38" s="315" customFormat="1" ht="24" customHeight="1" spans="1:23">
      <c r="A38" s="335">
        <v>34</v>
      </c>
      <c r="B38" s="339" t="s">
        <v>889</v>
      </c>
      <c r="C38" s="339" t="s">
        <v>889</v>
      </c>
      <c r="D38" s="340" t="s">
        <v>1279</v>
      </c>
      <c r="E38" s="340" t="s">
        <v>1293</v>
      </c>
      <c r="F38" s="341" t="s">
        <v>1217</v>
      </c>
      <c r="G38" s="340" t="s">
        <v>1296</v>
      </c>
      <c r="H38" s="342" t="s">
        <v>1301</v>
      </c>
      <c r="I38" s="359">
        <v>82.2</v>
      </c>
      <c r="J38" s="360"/>
      <c r="K38" s="359">
        <v>82.2</v>
      </c>
      <c r="L38" s="359"/>
      <c r="M38" s="359"/>
      <c r="N38" s="359"/>
      <c r="O38" s="359"/>
      <c r="P38" s="359">
        <v>-44.53</v>
      </c>
      <c r="Q38" s="359">
        <f t="shared" ref="Q36:Q51" si="7">I38+P38</f>
        <v>37.67</v>
      </c>
      <c r="R38" s="359">
        <v>6.74</v>
      </c>
      <c r="S38" s="359"/>
      <c r="T38" s="304" t="s">
        <v>1298</v>
      </c>
      <c r="U38" s="371" t="s">
        <v>1299</v>
      </c>
      <c r="V38" s="169" t="s">
        <v>1221</v>
      </c>
      <c r="W38" s="165"/>
    </row>
    <row r="39" s="315" customFormat="1" ht="24" customHeight="1" spans="1:23">
      <c r="A39" s="335">
        <v>35</v>
      </c>
      <c r="B39" s="339" t="s">
        <v>889</v>
      </c>
      <c r="C39" s="339" t="s">
        <v>889</v>
      </c>
      <c r="D39" s="340" t="s">
        <v>1279</v>
      </c>
      <c r="E39" s="340" t="s">
        <v>1293</v>
      </c>
      <c r="F39" s="341" t="s">
        <v>1217</v>
      </c>
      <c r="G39" s="340" t="s">
        <v>1296</v>
      </c>
      <c r="H39" s="342" t="s">
        <v>1302</v>
      </c>
      <c r="I39" s="359">
        <v>54.5</v>
      </c>
      <c r="J39" s="360"/>
      <c r="K39" s="359">
        <v>54.5</v>
      </c>
      <c r="L39" s="359"/>
      <c r="M39" s="359"/>
      <c r="N39" s="359"/>
      <c r="O39" s="359"/>
      <c r="P39" s="359">
        <v>6.5</v>
      </c>
      <c r="Q39" s="359">
        <f t="shared" si="7"/>
        <v>61</v>
      </c>
      <c r="R39" s="359">
        <v>39.56</v>
      </c>
      <c r="S39" s="359"/>
      <c r="T39" s="304" t="s">
        <v>1298</v>
      </c>
      <c r="U39" s="371" t="s">
        <v>1299</v>
      </c>
      <c r="V39" s="169" t="s">
        <v>1221</v>
      </c>
      <c r="W39" s="165"/>
    </row>
    <row r="40" s="315" customFormat="1" ht="24" customHeight="1" spans="1:23">
      <c r="A40" s="335">
        <v>36</v>
      </c>
      <c r="B40" s="339" t="s">
        <v>889</v>
      </c>
      <c r="C40" s="339" t="s">
        <v>889</v>
      </c>
      <c r="D40" s="340" t="s">
        <v>1279</v>
      </c>
      <c r="E40" s="340" t="s">
        <v>1293</v>
      </c>
      <c r="F40" s="341" t="s">
        <v>1217</v>
      </c>
      <c r="G40" s="340" t="s">
        <v>1296</v>
      </c>
      <c r="H40" s="342" t="s">
        <v>1303</v>
      </c>
      <c r="I40" s="359">
        <v>143.2</v>
      </c>
      <c r="J40" s="360"/>
      <c r="K40" s="359">
        <v>143.2</v>
      </c>
      <c r="L40" s="359"/>
      <c r="M40" s="359"/>
      <c r="N40" s="359"/>
      <c r="O40" s="359"/>
      <c r="P40" s="359"/>
      <c r="Q40" s="359">
        <f t="shared" si="7"/>
        <v>143.2</v>
      </c>
      <c r="R40" s="359">
        <v>71.19</v>
      </c>
      <c r="S40" s="359"/>
      <c r="T40" s="304"/>
      <c r="U40" s="371" t="s">
        <v>1299</v>
      </c>
      <c r="V40" s="169" t="s">
        <v>1221</v>
      </c>
      <c r="W40" s="165"/>
    </row>
    <row r="41" s="315" customFormat="1" ht="24" customHeight="1" spans="1:23">
      <c r="A41" s="335">
        <v>37</v>
      </c>
      <c r="B41" s="339" t="s">
        <v>889</v>
      </c>
      <c r="C41" s="339" t="s">
        <v>889</v>
      </c>
      <c r="D41" s="340" t="s">
        <v>1279</v>
      </c>
      <c r="E41" s="340" t="s">
        <v>1293</v>
      </c>
      <c r="F41" s="341" t="s">
        <v>1217</v>
      </c>
      <c r="G41" s="340" t="s">
        <v>1296</v>
      </c>
      <c r="H41" s="342" t="s">
        <v>1304</v>
      </c>
      <c r="I41" s="359">
        <v>24.8</v>
      </c>
      <c r="J41" s="360"/>
      <c r="K41" s="359">
        <v>24.8</v>
      </c>
      <c r="L41" s="359"/>
      <c r="M41" s="359"/>
      <c r="N41" s="359"/>
      <c r="O41" s="359"/>
      <c r="P41" s="359">
        <v>-13.3</v>
      </c>
      <c r="Q41" s="359">
        <f t="shared" si="7"/>
        <v>11.5</v>
      </c>
      <c r="R41" s="359"/>
      <c r="S41" s="359"/>
      <c r="T41" s="304" t="s">
        <v>1298</v>
      </c>
      <c r="U41" s="371" t="s">
        <v>1299</v>
      </c>
      <c r="V41" s="169" t="s">
        <v>1221</v>
      </c>
      <c r="W41" s="165"/>
    </row>
    <row r="42" s="315" customFormat="1" ht="24" customHeight="1" spans="1:23">
      <c r="A42" s="335">
        <v>38</v>
      </c>
      <c r="B42" s="339" t="s">
        <v>889</v>
      </c>
      <c r="C42" s="339" t="s">
        <v>889</v>
      </c>
      <c r="D42" s="340" t="s">
        <v>1279</v>
      </c>
      <c r="E42" s="340" t="s">
        <v>1293</v>
      </c>
      <c r="F42" s="341" t="s">
        <v>1217</v>
      </c>
      <c r="G42" s="340" t="s">
        <v>1296</v>
      </c>
      <c r="H42" s="342" t="s">
        <v>1305</v>
      </c>
      <c r="I42" s="359">
        <v>9.4</v>
      </c>
      <c r="J42" s="360"/>
      <c r="K42" s="359">
        <v>9.4</v>
      </c>
      <c r="L42" s="359"/>
      <c r="M42" s="359"/>
      <c r="N42" s="359"/>
      <c r="O42" s="359"/>
      <c r="P42" s="359">
        <v>-0.9</v>
      </c>
      <c r="Q42" s="359">
        <f t="shared" si="7"/>
        <v>8.5</v>
      </c>
      <c r="R42" s="359"/>
      <c r="S42" s="359"/>
      <c r="T42" s="304"/>
      <c r="U42" s="371" t="s">
        <v>1299</v>
      </c>
      <c r="V42" s="169" t="s">
        <v>1221</v>
      </c>
      <c r="W42" s="165"/>
    </row>
    <row r="43" s="315" customFormat="1" ht="24" customHeight="1" spans="1:23">
      <c r="A43" s="335">
        <v>39</v>
      </c>
      <c r="B43" s="339" t="s">
        <v>889</v>
      </c>
      <c r="C43" s="339" t="s">
        <v>889</v>
      </c>
      <c r="D43" s="340" t="s">
        <v>1279</v>
      </c>
      <c r="E43" s="340" t="s">
        <v>1293</v>
      </c>
      <c r="F43" s="341" t="s">
        <v>1217</v>
      </c>
      <c r="G43" s="340" t="s">
        <v>1296</v>
      </c>
      <c r="H43" s="342" t="s">
        <v>1306</v>
      </c>
      <c r="I43" s="359">
        <v>23.494</v>
      </c>
      <c r="J43" s="360"/>
      <c r="K43" s="359">
        <v>23.494</v>
      </c>
      <c r="L43" s="359"/>
      <c r="M43" s="359"/>
      <c r="N43" s="359"/>
      <c r="O43" s="359"/>
      <c r="P43" s="359"/>
      <c r="Q43" s="359">
        <f t="shared" si="7"/>
        <v>23.494</v>
      </c>
      <c r="R43" s="359"/>
      <c r="S43" s="359"/>
      <c r="T43" s="304"/>
      <c r="U43" s="371" t="s">
        <v>1299</v>
      </c>
      <c r="V43" s="169" t="s">
        <v>1221</v>
      </c>
      <c r="W43" s="165"/>
    </row>
    <row r="44" s="315" customFormat="1" ht="24" customHeight="1" spans="1:23">
      <c r="A44" s="335">
        <v>40</v>
      </c>
      <c r="B44" s="336" t="s">
        <v>889</v>
      </c>
      <c r="C44" s="336" t="s">
        <v>889</v>
      </c>
      <c r="D44" s="304" t="s">
        <v>1289</v>
      </c>
      <c r="E44" s="340" t="s">
        <v>1293</v>
      </c>
      <c r="F44" s="1" t="s">
        <v>1217</v>
      </c>
      <c r="G44" s="304" t="s">
        <v>1230</v>
      </c>
      <c r="H44" s="304" t="s">
        <v>1307</v>
      </c>
      <c r="I44" s="359">
        <v>10</v>
      </c>
      <c r="J44" s="360">
        <v>10</v>
      </c>
      <c r="K44" s="359"/>
      <c r="L44" s="359"/>
      <c r="M44" s="359"/>
      <c r="N44" s="359"/>
      <c r="O44" s="359"/>
      <c r="P44" s="359"/>
      <c r="Q44" s="359">
        <f t="shared" si="7"/>
        <v>10</v>
      </c>
      <c r="R44" s="359"/>
      <c r="S44" s="359"/>
      <c r="T44" s="304"/>
      <c r="U44" s="304" t="s">
        <v>1307</v>
      </c>
      <c r="V44" s="169" t="s">
        <v>1221</v>
      </c>
      <c r="W44" s="165"/>
    </row>
    <row r="45" s="315" customFormat="1" ht="24" customHeight="1" spans="1:23">
      <c r="A45" s="335">
        <v>41</v>
      </c>
      <c r="B45" s="339" t="s">
        <v>889</v>
      </c>
      <c r="C45" s="339" t="s">
        <v>889</v>
      </c>
      <c r="D45" s="340" t="s">
        <v>1279</v>
      </c>
      <c r="E45" s="340" t="s">
        <v>1308</v>
      </c>
      <c r="F45" s="341" t="s">
        <v>1217</v>
      </c>
      <c r="G45" s="340" t="s">
        <v>1230</v>
      </c>
      <c r="H45" s="342" t="s">
        <v>1309</v>
      </c>
      <c r="I45" s="359">
        <v>174</v>
      </c>
      <c r="J45" s="360">
        <v>174</v>
      </c>
      <c r="K45" s="359"/>
      <c r="L45" s="359"/>
      <c r="M45" s="359"/>
      <c r="N45" s="359"/>
      <c r="O45" s="359"/>
      <c r="P45" s="359"/>
      <c r="Q45" s="359">
        <f t="shared" si="7"/>
        <v>174</v>
      </c>
      <c r="R45" s="359"/>
      <c r="S45" s="359"/>
      <c r="T45" s="304"/>
      <c r="U45" s="371" t="s">
        <v>1310</v>
      </c>
      <c r="V45" s="169" t="s">
        <v>1221</v>
      </c>
      <c r="W45" s="165"/>
    </row>
    <row r="46" s="315" customFormat="1" ht="24" customHeight="1" spans="1:23">
      <c r="A46" s="335">
        <v>42</v>
      </c>
      <c r="B46" s="339" t="s">
        <v>889</v>
      </c>
      <c r="C46" s="339" t="s">
        <v>889</v>
      </c>
      <c r="D46" s="340" t="s">
        <v>1279</v>
      </c>
      <c r="E46" s="340" t="s">
        <v>1308</v>
      </c>
      <c r="F46" s="341" t="s">
        <v>1217</v>
      </c>
      <c r="G46" s="340" t="s">
        <v>1230</v>
      </c>
      <c r="H46" s="342" t="s">
        <v>1311</v>
      </c>
      <c r="I46" s="359">
        <v>81</v>
      </c>
      <c r="J46" s="360">
        <v>81</v>
      </c>
      <c r="K46" s="359"/>
      <c r="L46" s="359"/>
      <c r="M46" s="359"/>
      <c r="N46" s="359"/>
      <c r="O46" s="359"/>
      <c r="P46" s="359"/>
      <c r="Q46" s="359">
        <f t="shared" si="7"/>
        <v>81</v>
      </c>
      <c r="R46" s="359"/>
      <c r="S46" s="359"/>
      <c r="T46" s="304"/>
      <c r="U46" s="342" t="s">
        <v>1311</v>
      </c>
      <c r="V46" s="169" t="s">
        <v>1221</v>
      </c>
      <c r="W46" s="165"/>
    </row>
    <row r="47" s="315" customFormat="1" ht="24" customHeight="1" spans="1:23">
      <c r="A47" s="335">
        <v>43</v>
      </c>
      <c r="B47" s="339" t="s">
        <v>889</v>
      </c>
      <c r="C47" s="339" t="s">
        <v>889</v>
      </c>
      <c r="D47" s="340" t="s">
        <v>1279</v>
      </c>
      <c r="E47" s="340" t="s">
        <v>1308</v>
      </c>
      <c r="F47" s="341" t="s">
        <v>1217</v>
      </c>
      <c r="G47" s="340" t="s">
        <v>1230</v>
      </c>
      <c r="H47" s="342" t="s">
        <v>1312</v>
      </c>
      <c r="I47" s="359">
        <v>135</v>
      </c>
      <c r="J47" s="360">
        <v>135</v>
      </c>
      <c r="K47" s="359"/>
      <c r="L47" s="359"/>
      <c r="M47" s="359"/>
      <c r="N47" s="359"/>
      <c r="O47" s="359"/>
      <c r="P47" s="359"/>
      <c r="Q47" s="359">
        <f t="shared" si="7"/>
        <v>135</v>
      </c>
      <c r="R47" s="359">
        <v>1.27</v>
      </c>
      <c r="S47" s="359"/>
      <c r="T47" s="304"/>
      <c r="U47" s="342" t="s">
        <v>1312</v>
      </c>
      <c r="V47" s="169" t="s">
        <v>1221</v>
      </c>
      <c r="W47" s="165"/>
    </row>
    <row r="48" s="315" customFormat="1" ht="24" customHeight="1" spans="1:23">
      <c r="A48" s="335">
        <v>44</v>
      </c>
      <c r="B48" s="339" t="s">
        <v>889</v>
      </c>
      <c r="C48" s="339" t="s">
        <v>889</v>
      </c>
      <c r="D48" s="340" t="s">
        <v>1279</v>
      </c>
      <c r="E48" s="340" t="s">
        <v>1308</v>
      </c>
      <c r="F48" s="341" t="s">
        <v>1217</v>
      </c>
      <c r="G48" s="340" t="s">
        <v>1230</v>
      </c>
      <c r="H48" s="342" t="s">
        <v>1313</v>
      </c>
      <c r="I48" s="359">
        <v>500</v>
      </c>
      <c r="J48" s="360">
        <v>500</v>
      </c>
      <c r="K48" s="359"/>
      <c r="L48" s="359"/>
      <c r="M48" s="359"/>
      <c r="N48" s="359"/>
      <c r="O48" s="359"/>
      <c r="P48" s="359">
        <v>-152.8</v>
      </c>
      <c r="Q48" s="359">
        <f t="shared" si="7"/>
        <v>347.2</v>
      </c>
      <c r="R48" s="359">
        <v>40</v>
      </c>
      <c r="S48" s="359"/>
      <c r="T48" s="304" t="s">
        <v>1314</v>
      </c>
      <c r="U48" s="342" t="s">
        <v>1313</v>
      </c>
      <c r="V48" s="169" t="s">
        <v>1221</v>
      </c>
      <c r="W48" s="165"/>
    </row>
    <row r="49" s="315" customFormat="1" ht="24" customHeight="1" spans="1:23">
      <c r="A49" s="335">
        <v>45</v>
      </c>
      <c r="B49" s="339" t="s">
        <v>889</v>
      </c>
      <c r="C49" s="339" t="s">
        <v>889</v>
      </c>
      <c r="D49" s="1" t="s">
        <v>1315</v>
      </c>
      <c r="E49" s="340" t="s">
        <v>1308</v>
      </c>
      <c r="F49" s="341" t="s">
        <v>1217</v>
      </c>
      <c r="G49" s="340" t="s">
        <v>1296</v>
      </c>
      <c r="H49" s="340" t="s">
        <v>1316</v>
      </c>
      <c r="I49" s="359">
        <v>505</v>
      </c>
      <c r="J49" s="360"/>
      <c r="K49" s="359">
        <v>505</v>
      </c>
      <c r="L49" s="359"/>
      <c r="M49" s="359"/>
      <c r="N49" s="359"/>
      <c r="O49" s="359"/>
      <c r="P49" s="359">
        <v>-3</v>
      </c>
      <c r="Q49" s="359">
        <f t="shared" si="7"/>
        <v>502</v>
      </c>
      <c r="R49" s="359">
        <v>318.56</v>
      </c>
      <c r="S49" s="359"/>
      <c r="T49" s="304" t="s">
        <v>1317</v>
      </c>
      <c r="U49" s="371" t="s">
        <v>1299</v>
      </c>
      <c r="V49" s="169" t="s">
        <v>1221</v>
      </c>
      <c r="W49" s="165"/>
    </row>
    <row r="50" s="138" customFormat="1" ht="24" customHeight="1" spans="1:23">
      <c r="A50" s="335">
        <v>46</v>
      </c>
      <c r="B50" s="339" t="s">
        <v>889</v>
      </c>
      <c r="C50" s="339" t="s">
        <v>889</v>
      </c>
      <c r="D50" s="1" t="s">
        <v>1315</v>
      </c>
      <c r="E50" s="340" t="s">
        <v>1308</v>
      </c>
      <c r="F50" s="341" t="s">
        <v>1217</v>
      </c>
      <c r="G50" s="340" t="s">
        <v>1296</v>
      </c>
      <c r="H50" s="340" t="s">
        <v>1318</v>
      </c>
      <c r="I50" s="359">
        <v>5.2</v>
      </c>
      <c r="J50" s="360"/>
      <c r="K50" s="359">
        <v>5.2</v>
      </c>
      <c r="L50" s="359"/>
      <c r="M50" s="359"/>
      <c r="N50" s="359"/>
      <c r="O50" s="359"/>
      <c r="P50" s="359"/>
      <c r="Q50" s="359">
        <f t="shared" si="7"/>
        <v>5.2</v>
      </c>
      <c r="R50" s="359"/>
      <c r="S50" s="359"/>
      <c r="T50" s="304"/>
      <c r="U50" s="371" t="s">
        <v>1299</v>
      </c>
      <c r="V50" s="169" t="s">
        <v>1221</v>
      </c>
      <c r="W50" s="169"/>
    </row>
    <row r="51" s="138" customFormat="1" ht="24" customHeight="1" spans="1:23">
      <c r="A51" s="335">
        <v>47</v>
      </c>
      <c r="B51" s="336"/>
      <c r="C51" s="336" t="s">
        <v>1227</v>
      </c>
      <c r="D51" s="304" t="s">
        <v>1279</v>
      </c>
      <c r="E51" s="340" t="s">
        <v>1319</v>
      </c>
      <c r="F51" s="1" t="s">
        <v>1217</v>
      </c>
      <c r="G51" s="304" t="s">
        <v>1230</v>
      </c>
      <c r="H51" s="304" t="s">
        <v>1320</v>
      </c>
      <c r="I51" s="359"/>
      <c r="J51" s="360"/>
      <c r="K51" s="359"/>
      <c r="L51" s="359"/>
      <c r="M51" s="359"/>
      <c r="N51" s="359"/>
      <c r="O51" s="359"/>
      <c r="P51" s="359">
        <v>118.875</v>
      </c>
      <c r="Q51" s="359">
        <f t="shared" si="7"/>
        <v>118.875</v>
      </c>
      <c r="R51" s="359">
        <v>0</v>
      </c>
      <c r="S51" s="359"/>
      <c r="T51" s="304" t="s">
        <v>1321</v>
      </c>
      <c r="U51" s="304"/>
      <c r="V51" s="169"/>
      <c r="W51" s="169"/>
    </row>
    <row r="52" s="316" customFormat="1" ht="24" customHeight="1" spans="1:23">
      <c r="A52" s="329">
        <v>48</v>
      </c>
      <c r="B52" s="337"/>
      <c r="C52" s="337"/>
      <c r="D52" s="332"/>
      <c r="E52" s="333" t="s">
        <v>1322</v>
      </c>
      <c r="F52" s="333"/>
      <c r="G52" s="333"/>
      <c r="H52" s="334"/>
      <c r="I52" s="358">
        <f>SUM(I53:I58)</f>
        <v>115</v>
      </c>
      <c r="J52" s="358">
        <f t="shared" ref="J52:S52" si="8">SUM(J53:J58)</f>
        <v>115</v>
      </c>
      <c r="K52" s="358">
        <f t="shared" si="8"/>
        <v>0</v>
      </c>
      <c r="L52" s="358">
        <f t="shared" si="8"/>
        <v>0</v>
      </c>
      <c r="M52" s="358">
        <f t="shared" si="8"/>
        <v>0</v>
      </c>
      <c r="N52" s="358">
        <f t="shared" si="8"/>
        <v>0</v>
      </c>
      <c r="O52" s="358">
        <f t="shared" si="8"/>
        <v>0</v>
      </c>
      <c r="P52" s="358">
        <f t="shared" si="8"/>
        <v>0</v>
      </c>
      <c r="Q52" s="358">
        <f t="shared" si="8"/>
        <v>115</v>
      </c>
      <c r="R52" s="358">
        <f t="shared" si="8"/>
        <v>7012.19</v>
      </c>
      <c r="S52" s="358">
        <f t="shared" si="8"/>
        <v>625</v>
      </c>
      <c r="T52" s="369"/>
      <c r="U52" s="364"/>
      <c r="V52" s="365"/>
      <c r="W52" s="366"/>
    </row>
    <row r="53" s="315" customFormat="1" ht="24" customHeight="1" spans="1:23">
      <c r="A53" s="335">
        <v>49</v>
      </c>
      <c r="B53" s="336" t="s">
        <v>836</v>
      </c>
      <c r="C53" s="336" t="s">
        <v>836</v>
      </c>
      <c r="D53" s="1" t="s">
        <v>1323</v>
      </c>
      <c r="E53" s="304" t="s">
        <v>1324</v>
      </c>
      <c r="F53" s="1" t="s">
        <v>1217</v>
      </c>
      <c r="G53" s="304" t="s">
        <v>1230</v>
      </c>
      <c r="H53" s="304" t="s">
        <v>1325</v>
      </c>
      <c r="I53" s="359">
        <v>100</v>
      </c>
      <c r="J53" s="360">
        <v>100</v>
      </c>
      <c r="K53" s="359"/>
      <c r="L53" s="359"/>
      <c r="M53" s="359"/>
      <c r="N53" s="359"/>
      <c r="O53" s="359"/>
      <c r="P53" s="359"/>
      <c r="Q53" s="359">
        <f t="shared" ref="Q53:Q58" si="9">I53+P53</f>
        <v>100</v>
      </c>
      <c r="R53" s="359">
        <v>0</v>
      </c>
      <c r="S53" s="359">
        <v>100</v>
      </c>
      <c r="T53" s="304"/>
      <c r="U53" s="304" t="s">
        <v>1326</v>
      </c>
      <c r="V53" s="169" t="s">
        <v>1221</v>
      </c>
      <c r="W53" s="165"/>
    </row>
    <row r="54" s="315" customFormat="1" ht="24" customHeight="1" spans="1:23">
      <c r="A54" s="335">
        <v>50</v>
      </c>
      <c r="B54" s="336" t="s">
        <v>836</v>
      </c>
      <c r="C54" s="336" t="s">
        <v>836</v>
      </c>
      <c r="D54" s="1" t="s">
        <v>1323</v>
      </c>
      <c r="E54" s="304" t="s">
        <v>1324</v>
      </c>
      <c r="F54" s="1" t="s">
        <v>1217</v>
      </c>
      <c r="G54" s="304" t="s">
        <v>1230</v>
      </c>
      <c r="H54" s="304" t="s">
        <v>1327</v>
      </c>
      <c r="I54" s="359">
        <v>15</v>
      </c>
      <c r="J54" s="360">
        <v>15</v>
      </c>
      <c r="K54" s="359"/>
      <c r="L54" s="359"/>
      <c r="M54" s="359"/>
      <c r="N54" s="359"/>
      <c r="O54" s="359"/>
      <c r="P54" s="359"/>
      <c r="Q54" s="359">
        <f t="shared" si="9"/>
        <v>15</v>
      </c>
      <c r="R54" s="359">
        <v>0</v>
      </c>
      <c r="S54" s="359">
        <v>15</v>
      </c>
      <c r="T54" s="304"/>
      <c r="U54" s="304" t="s">
        <v>1328</v>
      </c>
      <c r="V54" s="169"/>
      <c r="W54" s="165"/>
    </row>
    <row r="55" s="315" customFormat="1" ht="24" customHeight="1" spans="1:23">
      <c r="A55" s="335">
        <v>51</v>
      </c>
      <c r="B55" s="336"/>
      <c r="C55" s="336" t="s">
        <v>836</v>
      </c>
      <c r="D55" s="1" t="s">
        <v>1323</v>
      </c>
      <c r="E55" s="304" t="s">
        <v>1324</v>
      </c>
      <c r="F55" s="1" t="s">
        <v>1217</v>
      </c>
      <c r="G55" s="304" t="s">
        <v>1230</v>
      </c>
      <c r="H55" s="304" t="s">
        <v>1329</v>
      </c>
      <c r="I55" s="359"/>
      <c r="J55" s="360"/>
      <c r="K55" s="359"/>
      <c r="L55" s="359"/>
      <c r="M55" s="359"/>
      <c r="N55" s="359"/>
      <c r="O55" s="359"/>
      <c r="P55" s="359"/>
      <c r="Q55" s="359">
        <f t="shared" si="9"/>
        <v>0</v>
      </c>
      <c r="R55" s="359">
        <v>319.33</v>
      </c>
      <c r="S55" s="359">
        <v>200</v>
      </c>
      <c r="T55" s="304" t="s">
        <v>1276</v>
      </c>
      <c r="U55" s="304"/>
      <c r="V55" s="169"/>
      <c r="W55" s="165">
        <v>749.02</v>
      </c>
    </row>
    <row r="56" s="315" customFormat="1" ht="24" customHeight="1" spans="1:23">
      <c r="A56" s="335">
        <v>52</v>
      </c>
      <c r="B56" s="336"/>
      <c r="C56" s="336" t="s">
        <v>836</v>
      </c>
      <c r="D56" s="1" t="s">
        <v>1330</v>
      </c>
      <c r="E56" s="304" t="s">
        <v>1324</v>
      </c>
      <c r="F56" s="1" t="s">
        <v>1217</v>
      </c>
      <c r="G56" s="304" t="s">
        <v>1230</v>
      </c>
      <c r="H56" s="304" t="s">
        <v>1331</v>
      </c>
      <c r="I56" s="359"/>
      <c r="J56" s="360"/>
      <c r="K56" s="359"/>
      <c r="L56" s="359"/>
      <c r="M56" s="359"/>
      <c r="N56" s="359"/>
      <c r="O56" s="359"/>
      <c r="P56" s="359"/>
      <c r="Q56" s="359">
        <f t="shared" si="9"/>
        <v>0</v>
      </c>
      <c r="R56" s="359">
        <v>3435.39</v>
      </c>
      <c r="S56" s="359">
        <v>310</v>
      </c>
      <c r="T56" s="304" t="s">
        <v>1276</v>
      </c>
      <c r="U56" s="304"/>
      <c r="V56" s="169"/>
      <c r="W56" s="165">
        <v>3745.67</v>
      </c>
    </row>
    <row r="57" s="315" customFormat="1" ht="24" customHeight="1" spans="1:23">
      <c r="A57" s="335">
        <v>53</v>
      </c>
      <c r="B57" s="336"/>
      <c r="C57" s="336" t="s">
        <v>836</v>
      </c>
      <c r="D57" s="1" t="s">
        <v>1330</v>
      </c>
      <c r="E57" s="304" t="s">
        <v>1324</v>
      </c>
      <c r="F57" s="1" t="s">
        <v>1217</v>
      </c>
      <c r="G57" s="304" t="s">
        <v>1230</v>
      </c>
      <c r="H57" s="304" t="s">
        <v>1332</v>
      </c>
      <c r="I57" s="359"/>
      <c r="J57" s="360"/>
      <c r="K57" s="359"/>
      <c r="L57" s="359"/>
      <c r="M57" s="359"/>
      <c r="N57" s="359"/>
      <c r="O57" s="359"/>
      <c r="P57" s="359"/>
      <c r="Q57" s="359">
        <f t="shared" si="9"/>
        <v>0</v>
      </c>
      <c r="R57" s="359">
        <v>2559.29</v>
      </c>
      <c r="S57" s="359"/>
      <c r="T57" s="304" t="s">
        <v>1276</v>
      </c>
      <c r="U57" s="304"/>
      <c r="V57" s="169"/>
      <c r="W57" s="165">
        <v>2559.29</v>
      </c>
    </row>
    <row r="58" s="315" customFormat="1" ht="24" customHeight="1" spans="1:23">
      <c r="A58" s="335">
        <v>54</v>
      </c>
      <c r="B58" s="336"/>
      <c r="C58" s="336" t="s">
        <v>836</v>
      </c>
      <c r="D58" s="1" t="s">
        <v>1330</v>
      </c>
      <c r="E58" s="304" t="s">
        <v>1324</v>
      </c>
      <c r="F58" s="1" t="s">
        <v>1217</v>
      </c>
      <c r="G58" s="304" t="s">
        <v>1230</v>
      </c>
      <c r="H58" s="304" t="s">
        <v>1333</v>
      </c>
      <c r="I58" s="359"/>
      <c r="J58" s="360"/>
      <c r="K58" s="359"/>
      <c r="L58" s="359"/>
      <c r="M58" s="359"/>
      <c r="N58" s="359"/>
      <c r="O58" s="359"/>
      <c r="P58" s="359"/>
      <c r="Q58" s="359">
        <f t="shared" si="9"/>
        <v>0</v>
      </c>
      <c r="R58" s="359">
        <v>698.18</v>
      </c>
      <c r="S58" s="359"/>
      <c r="T58" s="304" t="s">
        <v>1276</v>
      </c>
      <c r="U58" s="304"/>
      <c r="V58" s="169"/>
      <c r="W58" s="165">
        <v>698.18</v>
      </c>
    </row>
    <row r="59" s="316" customFormat="1" ht="24" customHeight="1" spans="1:23">
      <c r="A59" s="329">
        <v>55</v>
      </c>
      <c r="B59" s="337"/>
      <c r="C59" s="337"/>
      <c r="D59" s="332"/>
      <c r="E59" s="333" t="s">
        <v>1334</v>
      </c>
      <c r="F59" s="333"/>
      <c r="G59" s="333"/>
      <c r="H59" s="334"/>
      <c r="I59" s="358">
        <f>SUM(I60:I72)</f>
        <v>1310.33</v>
      </c>
      <c r="J59" s="358">
        <f t="shared" ref="J59:S59" si="10">SUM(J60:J72)</f>
        <v>1310.33</v>
      </c>
      <c r="K59" s="358">
        <f t="shared" si="10"/>
        <v>0</v>
      </c>
      <c r="L59" s="358">
        <f t="shared" si="10"/>
        <v>0</v>
      </c>
      <c r="M59" s="358">
        <f t="shared" si="10"/>
        <v>0</v>
      </c>
      <c r="N59" s="358">
        <f t="shared" si="10"/>
        <v>0</v>
      </c>
      <c r="O59" s="358">
        <f t="shared" si="10"/>
        <v>0</v>
      </c>
      <c r="P59" s="358">
        <f t="shared" si="10"/>
        <v>675.61</v>
      </c>
      <c r="Q59" s="358">
        <f t="shared" si="10"/>
        <v>1985.94</v>
      </c>
      <c r="R59" s="358">
        <f t="shared" si="10"/>
        <v>632.43</v>
      </c>
      <c r="S59" s="358">
        <f t="shared" si="10"/>
        <v>916.51</v>
      </c>
      <c r="T59" s="369"/>
      <c r="U59" s="364"/>
      <c r="V59" s="365"/>
      <c r="W59" s="366"/>
    </row>
    <row r="60" s="315" customFormat="1" ht="24" customHeight="1" spans="1:23">
      <c r="A60" s="335">
        <v>56</v>
      </c>
      <c r="B60" s="343" t="s">
        <v>202</v>
      </c>
      <c r="C60" s="343" t="s">
        <v>889</v>
      </c>
      <c r="D60" s="1" t="s">
        <v>1335</v>
      </c>
      <c r="E60" s="1" t="s">
        <v>1336</v>
      </c>
      <c r="F60" s="1" t="s">
        <v>1217</v>
      </c>
      <c r="G60" s="304" t="s">
        <v>1230</v>
      </c>
      <c r="H60" s="304" t="s">
        <v>1337</v>
      </c>
      <c r="I60" s="359">
        <v>36</v>
      </c>
      <c r="J60" s="360">
        <v>36</v>
      </c>
      <c r="K60" s="359"/>
      <c r="L60" s="359"/>
      <c r="M60" s="359"/>
      <c r="N60" s="359"/>
      <c r="O60" s="359"/>
      <c r="P60" s="359"/>
      <c r="Q60" s="359">
        <f>I60+P60</f>
        <v>36</v>
      </c>
      <c r="R60" s="359"/>
      <c r="S60" s="359"/>
      <c r="T60" s="304"/>
      <c r="U60" s="1" t="s">
        <v>1338</v>
      </c>
      <c r="V60" s="169"/>
      <c r="W60" s="165"/>
    </row>
    <row r="61" s="315" customFormat="1" ht="24" customHeight="1" spans="1:23">
      <c r="A61" s="335">
        <v>57</v>
      </c>
      <c r="B61" s="343" t="s">
        <v>202</v>
      </c>
      <c r="C61" s="343" t="s">
        <v>889</v>
      </c>
      <c r="D61" s="1" t="s">
        <v>1335</v>
      </c>
      <c r="E61" s="1" t="s">
        <v>1336</v>
      </c>
      <c r="F61" s="1" t="s">
        <v>1217</v>
      </c>
      <c r="G61" s="304" t="s">
        <v>1230</v>
      </c>
      <c r="H61" s="304" t="s">
        <v>1339</v>
      </c>
      <c r="I61" s="359">
        <v>31.5</v>
      </c>
      <c r="J61" s="360">
        <v>31.5</v>
      </c>
      <c r="K61" s="359"/>
      <c r="L61" s="359"/>
      <c r="M61" s="359"/>
      <c r="N61" s="359"/>
      <c r="O61" s="359"/>
      <c r="P61" s="359"/>
      <c r="Q61" s="359">
        <f t="shared" ref="Q61:Q72" si="11">I61+P61</f>
        <v>31.5</v>
      </c>
      <c r="R61" s="359"/>
      <c r="S61" s="359"/>
      <c r="T61" s="304"/>
      <c r="U61" s="1" t="s">
        <v>1340</v>
      </c>
      <c r="V61" s="169"/>
      <c r="W61" s="165"/>
    </row>
    <row r="62" s="315" customFormat="1" ht="24" customHeight="1" spans="1:23">
      <c r="A62" s="335">
        <v>58</v>
      </c>
      <c r="B62" s="343" t="s">
        <v>202</v>
      </c>
      <c r="C62" s="343" t="s">
        <v>889</v>
      </c>
      <c r="D62" s="1" t="s">
        <v>1335</v>
      </c>
      <c r="E62" s="1" t="s">
        <v>1336</v>
      </c>
      <c r="F62" s="1" t="s">
        <v>1217</v>
      </c>
      <c r="G62" s="304" t="s">
        <v>1230</v>
      </c>
      <c r="H62" s="304" t="s">
        <v>1341</v>
      </c>
      <c r="I62" s="359">
        <v>45</v>
      </c>
      <c r="J62" s="360">
        <v>45</v>
      </c>
      <c r="K62" s="359"/>
      <c r="L62" s="359"/>
      <c r="M62" s="359"/>
      <c r="N62" s="359"/>
      <c r="O62" s="359"/>
      <c r="P62" s="359"/>
      <c r="Q62" s="359">
        <f t="shared" si="11"/>
        <v>45</v>
      </c>
      <c r="R62" s="359"/>
      <c r="S62" s="359"/>
      <c r="T62" s="304"/>
      <c r="U62" s="1" t="s">
        <v>1342</v>
      </c>
      <c r="V62" s="169"/>
      <c r="W62" s="165"/>
    </row>
    <row r="63" s="315" customFormat="1" ht="24" customHeight="1" spans="1:23">
      <c r="A63" s="335">
        <v>59</v>
      </c>
      <c r="B63" s="343" t="s">
        <v>202</v>
      </c>
      <c r="C63" s="343" t="s">
        <v>889</v>
      </c>
      <c r="D63" s="1" t="s">
        <v>1335</v>
      </c>
      <c r="E63" s="1" t="s">
        <v>1336</v>
      </c>
      <c r="F63" s="1" t="s">
        <v>1217</v>
      </c>
      <c r="G63" s="304" t="s">
        <v>1230</v>
      </c>
      <c r="H63" s="304" t="s">
        <v>1343</v>
      </c>
      <c r="I63" s="359">
        <v>13.5</v>
      </c>
      <c r="J63" s="360">
        <v>13.5</v>
      </c>
      <c r="K63" s="359"/>
      <c r="L63" s="359"/>
      <c r="M63" s="359"/>
      <c r="N63" s="359"/>
      <c r="O63" s="359"/>
      <c r="P63" s="359"/>
      <c r="Q63" s="359">
        <f t="shared" si="11"/>
        <v>13.5</v>
      </c>
      <c r="R63" s="359"/>
      <c r="S63" s="359"/>
      <c r="T63" s="304"/>
      <c r="U63" s="1" t="s">
        <v>1344</v>
      </c>
      <c r="V63" s="169"/>
      <c r="W63" s="165"/>
    </row>
    <row r="64" s="317" customFormat="1" ht="31" customHeight="1" spans="1:23">
      <c r="A64" s="344">
        <v>60</v>
      </c>
      <c r="B64" s="336" t="s">
        <v>889</v>
      </c>
      <c r="C64" s="345" t="s">
        <v>1288</v>
      </c>
      <c r="D64" s="346" t="s">
        <v>1345</v>
      </c>
      <c r="E64" s="347" t="s">
        <v>1336</v>
      </c>
      <c r="F64" s="348" t="s">
        <v>1217</v>
      </c>
      <c r="G64" s="347" t="s">
        <v>1230</v>
      </c>
      <c r="H64" s="349" t="s">
        <v>1346</v>
      </c>
      <c r="I64" s="361">
        <v>1184.33</v>
      </c>
      <c r="J64" s="360">
        <v>1184.33</v>
      </c>
      <c r="K64" s="362"/>
      <c r="L64" s="362"/>
      <c r="M64" s="362"/>
      <c r="N64" s="362"/>
      <c r="O64" s="362"/>
      <c r="P64" s="361">
        <v>-11.18</v>
      </c>
      <c r="Q64" s="361">
        <f t="shared" si="11"/>
        <v>1173.15</v>
      </c>
      <c r="R64" s="361">
        <v>632.43</v>
      </c>
      <c r="S64" s="361">
        <v>540.72</v>
      </c>
      <c r="T64" s="372" t="s">
        <v>1347</v>
      </c>
      <c r="U64" s="304" t="s">
        <v>1348</v>
      </c>
      <c r="V64" s="72" t="s">
        <v>1221</v>
      </c>
      <c r="W64" s="373"/>
    </row>
    <row r="65" s="317" customFormat="1" ht="24" customHeight="1" spans="1:24">
      <c r="A65" s="344">
        <v>61</v>
      </c>
      <c r="B65" s="336"/>
      <c r="C65" s="336" t="s">
        <v>1227</v>
      </c>
      <c r="D65" s="374" t="s">
        <v>1349</v>
      </c>
      <c r="E65" s="375" t="s">
        <v>1336</v>
      </c>
      <c r="F65" s="1" t="s">
        <v>1217</v>
      </c>
      <c r="G65" s="375" t="s">
        <v>1230</v>
      </c>
      <c r="H65" s="304" t="s">
        <v>1350</v>
      </c>
      <c r="I65" s="359"/>
      <c r="J65" s="360"/>
      <c r="K65" s="362"/>
      <c r="L65" s="362"/>
      <c r="M65" s="362"/>
      <c r="N65" s="362"/>
      <c r="O65" s="362"/>
      <c r="P65" s="359"/>
      <c r="Q65" s="359">
        <f t="shared" si="11"/>
        <v>0</v>
      </c>
      <c r="R65" s="359">
        <v>0</v>
      </c>
      <c r="S65" s="359"/>
      <c r="T65" s="388" t="s">
        <v>1276</v>
      </c>
      <c r="U65" s="304"/>
      <c r="V65" s="72"/>
      <c r="W65" s="373">
        <v>500</v>
      </c>
      <c r="X65" s="315"/>
    </row>
    <row r="66" s="317" customFormat="1" ht="24" customHeight="1" spans="1:23">
      <c r="A66" s="344">
        <v>62</v>
      </c>
      <c r="B66" s="336"/>
      <c r="C66" s="345" t="s">
        <v>1288</v>
      </c>
      <c r="D66" s="346" t="s">
        <v>1345</v>
      </c>
      <c r="E66" s="347" t="s">
        <v>1336</v>
      </c>
      <c r="F66" s="348" t="s">
        <v>1351</v>
      </c>
      <c r="G66" s="347" t="s">
        <v>1218</v>
      </c>
      <c r="H66" s="349" t="s">
        <v>1352</v>
      </c>
      <c r="I66" s="361"/>
      <c r="J66" s="360"/>
      <c r="K66" s="362"/>
      <c r="L66" s="362"/>
      <c r="M66" s="362"/>
      <c r="N66" s="362"/>
      <c r="O66" s="362"/>
      <c r="P66" s="361">
        <v>61.74</v>
      </c>
      <c r="Q66" s="361">
        <f t="shared" si="11"/>
        <v>61.74</v>
      </c>
      <c r="R66" s="361">
        <v>0</v>
      </c>
      <c r="S66" s="361">
        <v>61.74</v>
      </c>
      <c r="T66" s="372" t="s">
        <v>1353</v>
      </c>
      <c r="U66" s="304"/>
      <c r="V66" s="72"/>
      <c r="W66" s="373"/>
    </row>
    <row r="67" s="317" customFormat="1" ht="24" customHeight="1" spans="1:24">
      <c r="A67" s="344">
        <v>63</v>
      </c>
      <c r="B67" s="336"/>
      <c r="C67" s="345" t="s">
        <v>1288</v>
      </c>
      <c r="D67" s="346" t="s">
        <v>1345</v>
      </c>
      <c r="E67" s="347" t="s">
        <v>1336</v>
      </c>
      <c r="F67" s="348" t="s">
        <v>1217</v>
      </c>
      <c r="G67" s="347" t="s">
        <v>1218</v>
      </c>
      <c r="H67" s="349" t="s">
        <v>1354</v>
      </c>
      <c r="I67" s="361"/>
      <c r="J67" s="360"/>
      <c r="K67" s="362"/>
      <c r="L67" s="362"/>
      <c r="M67" s="362"/>
      <c r="N67" s="362"/>
      <c r="O67" s="362"/>
      <c r="P67" s="361">
        <f>3290.77-3000</f>
        <v>290.77</v>
      </c>
      <c r="Q67" s="361">
        <f t="shared" si="11"/>
        <v>290.77</v>
      </c>
      <c r="R67" s="361">
        <v>0</v>
      </c>
      <c r="S67" s="361">
        <v>290.77</v>
      </c>
      <c r="T67" s="372" t="s">
        <v>1355</v>
      </c>
      <c r="U67" s="304"/>
      <c r="V67" s="72"/>
      <c r="W67" s="373"/>
      <c r="X67" s="315"/>
    </row>
    <row r="68" s="317" customFormat="1" ht="24" customHeight="1" spans="1:23">
      <c r="A68" s="344">
        <v>64</v>
      </c>
      <c r="B68" s="336"/>
      <c r="C68" s="345" t="s">
        <v>1288</v>
      </c>
      <c r="D68" s="346" t="s">
        <v>1345</v>
      </c>
      <c r="E68" s="347" t="s">
        <v>1336</v>
      </c>
      <c r="F68" s="348" t="s">
        <v>1217</v>
      </c>
      <c r="G68" s="347" t="s">
        <v>1218</v>
      </c>
      <c r="H68" s="349" t="s">
        <v>1356</v>
      </c>
      <c r="I68" s="361"/>
      <c r="J68" s="360"/>
      <c r="K68" s="362"/>
      <c r="L68" s="362"/>
      <c r="M68" s="362"/>
      <c r="N68" s="362"/>
      <c r="O68" s="362"/>
      <c r="P68" s="361">
        <v>12.97</v>
      </c>
      <c r="Q68" s="361">
        <f t="shared" si="11"/>
        <v>12.97</v>
      </c>
      <c r="R68" s="361">
        <v>0</v>
      </c>
      <c r="S68" s="361">
        <v>12.97</v>
      </c>
      <c r="T68" s="372" t="s">
        <v>1357</v>
      </c>
      <c r="U68" s="304"/>
      <c r="V68" s="72"/>
      <c r="W68" s="373"/>
    </row>
    <row r="69" s="317" customFormat="1" ht="24" customHeight="1" spans="1:23">
      <c r="A69" s="344">
        <v>65</v>
      </c>
      <c r="B69" s="336"/>
      <c r="C69" s="336" t="s">
        <v>1227</v>
      </c>
      <c r="D69" s="374" t="s">
        <v>1349</v>
      </c>
      <c r="E69" s="375" t="s">
        <v>1336</v>
      </c>
      <c r="F69" s="1" t="s">
        <v>1217</v>
      </c>
      <c r="G69" s="375" t="s">
        <v>1230</v>
      </c>
      <c r="H69" s="304" t="s">
        <v>1358</v>
      </c>
      <c r="I69" s="359"/>
      <c r="J69" s="383"/>
      <c r="K69" s="384"/>
      <c r="L69" s="384"/>
      <c r="M69" s="384"/>
      <c r="N69" s="384"/>
      <c r="O69" s="384"/>
      <c r="P69" s="359">
        <v>86</v>
      </c>
      <c r="Q69" s="359">
        <f t="shared" si="11"/>
        <v>86</v>
      </c>
      <c r="R69" s="359"/>
      <c r="S69" s="359"/>
      <c r="T69" s="388" t="s">
        <v>1273</v>
      </c>
      <c r="U69" s="304"/>
      <c r="V69" s="72"/>
      <c r="W69" s="373"/>
    </row>
    <row r="70" s="317" customFormat="1" ht="24" customHeight="1" spans="1:23">
      <c r="A70" s="344">
        <v>66</v>
      </c>
      <c r="B70" s="336"/>
      <c r="C70" s="336" t="s">
        <v>1227</v>
      </c>
      <c r="D70" s="374" t="s">
        <v>1279</v>
      </c>
      <c r="E70" s="375" t="s">
        <v>1336</v>
      </c>
      <c r="F70" s="1" t="s">
        <v>1359</v>
      </c>
      <c r="G70" s="375" t="s">
        <v>1230</v>
      </c>
      <c r="H70" s="304" t="s">
        <v>1360</v>
      </c>
      <c r="I70" s="359"/>
      <c r="J70" s="383"/>
      <c r="K70" s="384"/>
      <c r="L70" s="384"/>
      <c r="M70" s="384"/>
      <c r="N70" s="384"/>
      <c r="O70" s="384"/>
      <c r="P70" s="359">
        <v>75</v>
      </c>
      <c r="Q70" s="359">
        <f t="shared" si="11"/>
        <v>75</v>
      </c>
      <c r="R70" s="359"/>
      <c r="S70" s="359"/>
      <c r="T70" s="388" t="s">
        <v>1273</v>
      </c>
      <c r="U70" s="304"/>
      <c r="V70" s="72"/>
      <c r="W70" s="373"/>
    </row>
    <row r="71" s="317" customFormat="1" ht="24" customHeight="1" spans="1:23">
      <c r="A71" s="344">
        <v>67</v>
      </c>
      <c r="B71" s="336"/>
      <c r="C71" s="336" t="s">
        <v>1227</v>
      </c>
      <c r="D71" s="374" t="s">
        <v>1361</v>
      </c>
      <c r="E71" s="375" t="s">
        <v>1336</v>
      </c>
      <c r="F71" s="1" t="s">
        <v>1362</v>
      </c>
      <c r="G71" s="375" t="s">
        <v>1230</v>
      </c>
      <c r="H71" s="304" t="s">
        <v>1363</v>
      </c>
      <c r="I71" s="359"/>
      <c r="J71" s="383"/>
      <c r="K71" s="384"/>
      <c r="L71" s="384"/>
      <c r="M71" s="384"/>
      <c r="N71" s="384"/>
      <c r="O71" s="384"/>
      <c r="P71" s="359">
        <v>150</v>
      </c>
      <c r="Q71" s="359">
        <f t="shared" si="11"/>
        <v>150</v>
      </c>
      <c r="R71" s="359"/>
      <c r="S71" s="359"/>
      <c r="T71" s="388" t="s">
        <v>1273</v>
      </c>
      <c r="U71" s="304"/>
      <c r="V71" s="72"/>
      <c r="W71" s="373"/>
    </row>
    <row r="72" s="317" customFormat="1" ht="24" customHeight="1" spans="1:23">
      <c r="A72" s="344">
        <v>68</v>
      </c>
      <c r="B72" s="336"/>
      <c r="C72" s="345" t="s">
        <v>1288</v>
      </c>
      <c r="D72" s="346" t="s">
        <v>1345</v>
      </c>
      <c r="E72" s="347" t="s">
        <v>1364</v>
      </c>
      <c r="F72" s="348" t="s">
        <v>1217</v>
      </c>
      <c r="G72" s="347" t="s">
        <v>1218</v>
      </c>
      <c r="H72" s="349" t="s">
        <v>1365</v>
      </c>
      <c r="I72" s="361"/>
      <c r="J72" s="360"/>
      <c r="K72" s="362"/>
      <c r="L72" s="362"/>
      <c r="M72" s="362"/>
      <c r="N72" s="362"/>
      <c r="O72" s="362"/>
      <c r="P72" s="361">
        <v>10.31</v>
      </c>
      <c r="Q72" s="361">
        <f t="shared" si="11"/>
        <v>10.31</v>
      </c>
      <c r="R72" s="361">
        <v>0</v>
      </c>
      <c r="S72" s="361">
        <v>10.31</v>
      </c>
      <c r="T72" s="372" t="s">
        <v>1366</v>
      </c>
      <c r="U72" s="304"/>
      <c r="V72" s="72"/>
      <c r="W72" s="373"/>
    </row>
    <row r="73" s="316" customFormat="1" ht="24" customHeight="1" spans="1:23">
      <c r="A73" s="329">
        <v>69</v>
      </c>
      <c r="B73" s="337"/>
      <c r="C73" s="337"/>
      <c r="D73" s="332"/>
      <c r="E73" s="333" t="s">
        <v>1367</v>
      </c>
      <c r="F73" s="333"/>
      <c r="G73" s="333"/>
      <c r="H73" s="334"/>
      <c r="I73" s="358">
        <f>SUM(I74:I93)</f>
        <v>8214.6</v>
      </c>
      <c r="J73" s="358">
        <f t="shared" ref="J73:S73" si="12">SUM(J74:J93)</f>
        <v>102</v>
      </c>
      <c r="K73" s="358">
        <f t="shared" si="12"/>
        <v>8109.344</v>
      </c>
      <c r="L73" s="358">
        <f t="shared" si="12"/>
        <v>3.25</v>
      </c>
      <c r="M73" s="358">
        <f t="shared" si="12"/>
        <v>0</v>
      </c>
      <c r="N73" s="358">
        <f t="shared" si="12"/>
        <v>0</v>
      </c>
      <c r="O73" s="358">
        <f t="shared" si="12"/>
        <v>0</v>
      </c>
      <c r="P73" s="358">
        <f t="shared" si="12"/>
        <v>-296.09</v>
      </c>
      <c r="Q73" s="358">
        <f t="shared" si="12"/>
        <v>7918.51</v>
      </c>
      <c r="R73" s="358">
        <f t="shared" si="12"/>
        <v>3564.781575</v>
      </c>
      <c r="S73" s="358">
        <f t="shared" si="12"/>
        <v>3112.59</v>
      </c>
      <c r="T73" s="369"/>
      <c r="U73" s="364"/>
      <c r="V73" s="365"/>
      <c r="W73" s="366"/>
    </row>
    <row r="74" s="315" customFormat="1" ht="24" customHeight="1" spans="1:23">
      <c r="A74" s="335">
        <v>70</v>
      </c>
      <c r="B74" s="343" t="s">
        <v>730</v>
      </c>
      <c r="C74" s="343" t="s">
        <v>730</v>
      </c>
      <c r="D74" s="304" t="s">
        <v>1368</v>
      </c>
      <c r="E74" s="304" t="s">
        <v>1369</v>
      </c>
      <c r="F74" s="1" t="s">
        <v>1217</v>
      </c>
      <c r="G74" s="304" t="s">
        <v>1296</v>
      </c>
      <c r="H74" s="304" t="s">
        <v>1370</v>
      </c>
      <c r="I74" s="359">
        <v>325.7</v>
      </c>
      <c r="J74" s="360"/>
      <c r="K74" s="359">
        <v>325.7</v>
      </c>
      <c r="L74" s="359"/>
      <c r="M74" s="359"/>
      <c r="N74" s="359"/>
      <c r="O74" s="359"/>
      <c r="P74" s="359"/>
      <c r="Q74" s="359">
        <f t="shared" ref="Q74:Q87" si="13">I74+P74</f>
        <v>325.7</v>
      </c>
      <c r="R74" s="359">
        <v>199.64</v>
      </c>
      <c r="S74" s="359">
        <v>40</v>
      </c>
      <c r="T74" s="304"/>
      <c r="U74" s="304" t="s">
        <v>1371</v>
      </c>
      <c r="V74" s="169" t="s">
        <v>1221</v>
      </c>
      <c r="W74" s="165"/>
    </row>
    <row r="75" s="315" customFormat="1" ht="84" spans="1:23">
      <c r="A75" s="335">
        <v>71</v>
      </c>
      <c r="B75" s="343" t="s">
        <v>730</v>
      </c>
      <c r="C75" s="343" t="s">
        <v>730</v>
      </c>
      <c r="D75" s="304" t="s">
        <v>1368</v>
      </c>
      <c r="E75" s="304" t="s">
        <v>1369</v>
      </c>
      <c r="F75" s="1" t="s">
        <v>1217</v>
      </c>
      <c r="G75" s="304" t="s">
        <v>1296</v>
      </c>
      <c r="H75" s="304" t="s">
        <v>1372</v>
      </c>
      <c r="I75" s="359">
        <v>637.5</v>
      </c>
      <c r="J75" s="360"/>
      <c r="K75" s="359">
        <v>637.5</v>
      </c>
      <c r="L75" s="359"/>
      <c r="M75" s="359"/>
      <c r="N75" s="359"/>
      <c r="O75" s="359"/>
      <c r="P75" s="359">
        <f>-334.65+9</f>
        <v>-325.65</v>
      </c>
      <c r="Q75" s="359">
        <f t="shared" si="13"/>
        <v>311.85</v>
      </c>
      <c r="R75" s="359">
        <v>301.27</v>
      </c>
      <c r="S75" s="359">
        <v>0</v>
      </c>
      <c r="T75" s="304" t="s">
        <v>1373</v>
      </c>
      <c r="U75" s="304" t="s">
        <v>1374</v>
      </c>
      <c r="V75" s="169" t="s">
        <v>1221</v>
      </c>
      <c r="W75" s="165"/>
    </row>
    <row r="76" s="315" customFormat="1" ht="24" customHeight="1" spans="1:23">
      <c r="A76" s="335">
        <v>72</v>
      </c>
      <c r="B76" s="343" t="s">
        <v>730</v>
      </c>
      <c r="C76" s="343" t="s">
        <v>730</v>
      </c>
      <c r="D76" s="304" t="s">
        <v>1368</v>
      </c>
      <c r="E76" s="304" t="s">
        <v>1369</v>
      </c>
      <c r="F76" s="1" t="s">
        <v>1217</v>
      </c>
      <c r="G76" s="304" t="s">
        <v>1296</v>
      </c>
      <c r="H76" s="304" t="s">
        <v>1375</v>
      </c>
      <c r="I76" s="359">
        <v>692.39</v>
      </c>
      <c r="J76" s="360"/>
      <c r="K76" s="359">
        <v>692.39</v>
      </c>
      <c r="L76" s="359"/>
      <c r="M76" s="359"/>
      <c r="N76" s="359"/>
      <c r="O76" s="359"/>
      <c r="P76" s="359"/>
      <c r="Q76" s="359">
        <f t="shared" si="13"/>
        <v>692.39</v>
      </c>
      <c r="R76" s="359">
        <v>51.73</v>
      </c>
      <c r="S76" s="359">
        <v>432.39</v>
      </c>
      <c r="T76" s="304"/>
      <c r="U76" s="304" t="s">
        <v>1376</v>
      </c>
      <c r="V76" s="169" t="s">
        <v>1221</v>
      </c>
      <c r="W76" s="165"/>
    </row>
    <row r="77" s="315" customFormat="1" ht="60" spans="1:23">
      <c r="A77" s="335">
        <v>73</v>
      </c>
      <c r="B77" s="343"/>
      <c r="C77" s="343" t="s">
        <v>730</v>
      </c>
      <c r="D77" s="1" t="s">
        <v>1377</v>
      </c>
      <c r="E77" s="1" t="s">
        <v>1378</v>
      </c>
      <c r="F77" s="1" t="s">
        <v>1217</v>
      </c>
      <c r="G77" s="304" t="s">
        <v>1296</v>
      </c>
      <c r="H77" s="304" t="s">
        <v>1379</v>
      </c>
      <c r="I77" s="359"/>
      <c r="J77" s="360"/>
      <c r="K77" s="385"/>
      <c r="L77" s="359"/>
      <c r="M77" s="359"/>
      <c r="N77" s="359"/>
      <c r="O77" s="359"/>
      <c r="P77" s="359">
        <v>3.65</v>
      </c>
      <c r="Q77" s="359">
        <f t="shared" si="13"/>
        <v>3.65</v>
      </c>
      <c r="R77" s="367"/>
      <c r="S77" s="367">
        <v>3.65</v>
      </c>
      <c r="T77" s="304" t="s">
        <v>1380</v>
      </c>
      <c r="U77" s="377"/>
      <c r="V77" s="169"/>
      <c r="W77" s="165"/>
    </row>
    <row r="78" s="315" customFormat="1" ht="24" customHeight="1" spans="1:23">
      <c r="A78" s="335">
        <v>74</v>
      </c>
      <c r="B78" s="343" t="s">
        <v>730</v>
      </c>
      <c r="C78" s="343" t="s">
        <v>730</v>
      </c>
      <c r="D78" s="1" t="s">
        <v>1381</v>
      </c>
      <c r="E78" s="1" t="s">
        <v>1382</v>
      </c>
      <c r="F78" s="1" t="s">
        <v>1217</v>
      </c>
      <c r="G78" s="304" t="s">
        <v>1296</v>
      </c>
      <c r="H78" s="304" t="s">
        <v>1383</v>
      </c>
      <c r="I78" s="359">
        <v>66</v>
      </c>
      <c r="J78" s="360"/>
      <c r="K78" s="359">
        <v>66</v>
      </c>
      <c r="L78" s="359"/>
      <c r="M78" s="359"/>
      <c r="N78" s="359"/>
      <c r="O78" s="359"/>
      <c r="P78" s="359">
        <v>-37.56</v>
      </c>
      <c r="Q78" s="359">
        <f t="shared" si="13"/>
        <v>28.44</v>
      </c>
      <c r="R78" s="359">
        <v>28.44</v>
      </c>
      <c r="S78" s="359">
        <v>0</v>
      </c>
      <c r="T78" s="304"/>
      <c r="U78" s="304" t="s">
        <v>1384</v>
      </c>
      <c r="V78" s="169" t="s">
        <v>1221</v>
      </c>
      <c r="W78" s="165"/>
    </row>
    <row r="79" s="315" customFormat="1" ht="24" customHeight="1" spans="1:23">
      <c r="A79" s="335">
        <v>75</v>
      </c>
      <c r="B79" s="343"/>
      <c r="C79" s="343" t="s">
        <v>1288</v>
      </c>
      <c r="D79" s="1" t="s">
        <v>1377</v>
      </c>
      <c r="E79" s="1" t="s">
        <v>1385</v>
      </c>
      <c r="F79" s="1" t="s">
        <v>1217</v>
      </c>
      <c r="G79" s="304" t="s">
        <v>1218</v>
      </c>
      <c r="H79" s="304" t="s">
        <v>1386</v>
      </c>
      <c r="I79" s="359"/>
      <c r="J79" s="360"/>
      <c r="K79" s="359"/>
      <c r="L79" s="359"/>
      <c r="M79" s="359"/>
      <c r="N79" s="359"/>
      <c r="O79" s="359"/>
      <c r="P79" s="359">
        <v>700</v>
      </c>
      <c r="Q79" s="359">
        <f t="shared" si="13"/>
        <v>700</v>
      </c>
      <c r="R79" s="359">
        <v>0</v>
      </c>
      <c r="S79" s="359">
        <v>700</v>
      </c>
      <c r="T79" s="304" t="s">
        <v>1387</v>
      </c>
      <c r="U79" s="304"/>
      <c r="V79" s="169"/>
      <c r="W79" s="165"/>
    </row>
    <row r="80" s="315" customFormat="1" ht="24" customHeight="1" spans="1:23">
      <c r="A80" s="335">
        <v>76</v>
      </c>
      <c r="B80" s="343"/>
      <c r="C80" s="343" t="s">
        <v>1288</v>
      </c>
      <c r="D80" s="1" t="s">
        <v>1377</v>
      </c>
      <c r="E80" s="1" t="s">
        <v>1385</v>
      </c>
      <c r="F80" s="1" t="s">
        <v>1217</v>
      </c>
      <c r="G80" s="304" t="s">
        <v>1218</v>
      </c>
      <c r="H80" s="304" t="s">
        <v>1388</v>
      </c>
      <c r="I80" s="359"/>
      <c r="J80" s="360"/>
      <c r="K80" s="359"/>
      <c r="L80" s="359"/>
      <c r="M80" s="359"/>
      <c r="N80" s="359"/>
      <c r="O80" s="359"/>
      <c r="P80" s="359">
        <v>100</v>
      </c>
      <c r="Q80" s="359">
        <f t="shared" si="13"/>
        <v>100</v>
      </c>
      <c r="R80" s="359">
        <v>100</v>
      </c>
      <c r="S80" s="359">
        <v>0</v>
      </c>
      <c r="T80" s="304" t="s">
        <v>1387</v>
      </c>
      <c r="U80" s="304"/>
      <c r="V80" s="169"/>
      <c r="W80" s="165"/>
    </row>
    <row r="81" s="315" customFormat="1" ht="24" customHeight="1" spans="1:23">
      <c r="A81" s="335">
        <v>77</v>
      </c>
      <c r="B81" s="343"/>
      <c r="C81" s="343" t="s">
        <v>730</v>
      </c>
      <c r="D81" s="1" t="s">
        <v>1377</v>
      </c>
      <c r="E81" s="1" t="s">
        <v>1389</v>
      </c>
      <c r="F81" s="1" t="s">
        <v>1217</v>
      </c>
      <c r="G81" s="304" t="s">
        <v>1296</v>
      </c>
      <c r="H81" s="304" t="s">
        <v>1390</v>
      </c>
      <c r="I81" s="359"/>
      <c r="J81" s="360"/>
      <c r="K81" s="385"/>
      <c r="L81" s="359"/>
      <c r="M81" s="359"/>
      <c r="N81" s="359"/>
      <c r="O81" s="359"/>
      <c r="P81" s="359"/>
      <c r="Q81" s="359">
        <f t="shared" si="13"/>
        <v>0</v>
      </c>
      <c r="R81" s="367">
        <v>95.2</v>
      </c>
      <c r="S81" s="367">
        <v>112.8</v>
      </c>
      <c r="T81" s="304" t="s">
        <v>1391</v>
      </c>
      <c r="U81" s="377"/>
      <c r="V81" s="169"/>
      <c r="W81" s="165">
        <v>208</v>
      </c>
    </row>
    <row r="82" s="315" customFormat="1" ht="60" spans="1:23">
      <c r="A82" s="335">
        <v>78</v>
      </c>
      <c r="B82" s="343"/>
      <c r="C82" s="343" t="s">
        <v>730</v>
      </c>
      <c r="D82" s="1" t="s">
        <v>1377</v>
      </c>
      <c r="E82" s="1" t="s">
        <v>1389</v>
      </c>
      <c r="F82" s="1" t="s">
        <v>1217</v>
      </c>
      <c r="G82" s="304" t="s">
        <v>1230</v>
      </c>
      <c r="H82" s="304" t="s">
        <v>1392</v>
      </c>
      <c r="I82" s="359"/>
      <c r="J82" s="360"/>
      <c r="K82" s="385"/>
      <c r="L82" s="359"/>
      <c r="M82" s="359"/>
      <c r="N82" s="359"/>
      <c r="O82" s="359"/>
      <c r="P82" s="359"/>
      <c r="Q82" s="359">
        <f t="shared" si="13"/>
        <v>0</v>
      </c>
      <c r="R82" s="367"/>
      <c r="S82" s="367">
        <v>247</v>
      </c>
      <c r="T82" s="304" t="s">
        <v>1393</v>
      </c>
      <c r="U82" s="377"/>
      <c r="V82" s="169"/>
      <c r="W82" s="165">
        <v>247</v>
      </c>
    </row>
    <row r="83" s="315" customFormat="1" ht="24" customHeight="1" spans="1:23">
      <c r="A83" s="335">
        <v>79</v>
      </c>
      <c r="B83" s="343"/>
      <c r="C83" s="343" t="s">
        <v>730</v>
      </c>
      <c r="D83" s="1" t="s">
        <v>1377</v>
      </c>
      <c r="E83" s="1" t="s">
        <v>1389</v>
      </c>
      <c r="F83" s="1" t="s">
        <v>1217</v>
      </c>
      <c r="G83" s="304" t="s">
        <v>1230</v>
      </c>
      <c r="H83" s="304" t="s">
        <v>1390</v>
      </c>
      <c r="I83" s="359"/>
      <c r="J83" s="360"/>
      <c r="K83" s="385"/>
      <c r="L83" s="359"/>
      <c r="M83" s="359"/>
      <c r="N83" s="359"/>
      <c r="O83" s="359"/>
      <c r="P83" s="359">
        <v>58</v>
      </c>
      <c r="Q83" s="359">
        <f t="shared" si="13"/>
        <v>58</v>
      </c>
      <c r="R83" s="367"/>
      <c r="S83" s="367">
        <v>58</v>
      </c>
      <c r="T83" s="304" t="s">
        <v>1394</v>
      </c>
      <c r="U83" s="377"/>
      <c r="V83" s="169"/>
      <c r="W83" s="165"/>
    </row>
    <row r="84" s="315" customFormat="1" ht="24" customHeight="1" spans="1:23">
      <c r="A84" s="335">
        <v>80</v>
      </c>
      <c r="B84" s="343"/>
      <c r="C84" s="376" t="s">
        <v>1288</v>
      </c>
      <c r="D84" s="348" t="s">
        <v>1395</v>
      </c>
      <c r="E84" s="348" t="s">
        <v>1396</v>
      </c>
      <c r="F84" s="348" t="s">
        <v>1217</v>
      </c>
      <c r="G84" s="349" t="s">
        <v>1218</v>
      </c>
      <c r="H84" s="349" t="s">
        <v>1397</v>
      </c>
      <c r="I84" s="361"/>
      <c r="J84" s="360"/>
      <c r="K84" s="385"/>
      <c r="L84" s="359"/>
      <c r="M84" s="359"/>
      <c r="N84" s="359"/>
      <c r="O84" s="359"/>
      <c r="P84" s="361">
        <v>6.08</v>
      </c>
      <c r="Q84" s="361">
        <f t="shared" si="13"/>
        <v>6.08</v>
      </c>
      <c r="R84" s="361">
        <v>0</v>
      </c>
      <c r="S84" s="361">
        <v>6.08</v>
      </c>
      <c r="T84" s="349" t="s">
        <v>1398</v>
      </c>
      <c r="U84" s="377"/>
      <c r="V84" s="169"/>
      <c r="W84" s="165"/>
    </row>
    <row r="85" s="315" customFormat="1" ht="24" customHeight="1" spans="1:23">
      <c r="A85" s="335">
        <v>81</v>
      </c>
      <c r="B85" s="343" t="s">
        <v>730</v>
      </c>
      <c r="C85" s="343" t="s">
        <v>730</v>
      </c>
      <c r="D85" s="1" t="s">
        <v>1377</v>
      </c>
      <c r="E85" s="1" t="s">
        <v>1396</v>
      </c>
      <c r="F85" s="1" t="s">
        <v>1217</v>
      </c>
      <c r="G85" s="304" t="s">
        <v>1296</v>
      </c>
      <c r="H85" s="304" t="s">
        <v>1399</v>
      </c>
      <c r="I85" s="359">
        <v>34.09</v>
      </c>
      <c r="J85" s="360"/>
      <c r="K85" s="359">
        <v>34.09</v>
      </c>
      <c r="L85" s="359"/>
      <c r="M85" s="359"/>
      <c r="N85" s="359"/>
      <c r="O85" s="359"/>
      <c r="P85" s="359"/>
      <c r="Q85" s="359">
        <f t="shared" si="13"/>
        <v>34.09</v>
      </c>
      <c r="R85" s="359">
        <v>20.09</v>
      </c>
      <c r="S85" s="359">
        <v>14</v>
      </c>
      <c r="T85" s="304"/>
      <c r="U85" s="389" t="s">
        <v>1400</v>
      </c>
      <c r="V85" s="169" t="s">
        <v>1221</v>
      </c>
      <c r="W85" s="165"/>
    </row>
    <row r="86" s="315" customFormat="1" ht="50" customHeight="1" spans="1:23">
      <c r="A86" s="335">
        <v>82</v>
      </c>
      <c r="B86" s="343" t="s">
        <v>730</v>
      </c>
      <c r="C86" s="343" t="s">
        <v>730</v>
      </c>
      <c r="D86" s="1" t="s">
        <v>1377</v>
      </c>
      <c r="E86" s="1" t="s">
        <v>1401</v>
      </c>
      <c r="F86" s="1" t="s">
        <v>1217</v>
      </c>
      <c r="G86" s="304" t="s">
        <v>1296</v>
      </c>
      <c r="H86" s="304" t="s">
        <v>1402</v>
      </c>
      <c r="I86" s="359">
        <v>351.05</v>
      </c>
      <c r="J86" s="360"/>
      <c r="K86" s="359">
        <v>351.048</v>
      </c>
      <c r="L86" s="359"/>
      <c r="M86" s="359"/>
      <c r="N86" s="359"/>
      <c r="O86" s="359"/>
      <c r="P86" s="359">
        <v>-113.74</v>
      </c>
      <c r="Q86" s="359">
        <f t="shared" si="13"/>
        <v>237.31</v>
      </c>
      <c r="R86" s="359">
        <v>106.7303</v>
      </c>
      <c r="S86" s="359">
        <v>130.58</v>
      </c>
      <c r="T86" s="390" t="s">
        <v>1403</v>
      </c>
      <c r="U86" s="377" t="s">
        <v>1404</v>
      </c>
      <c r="V86" s="169" t="s">
        <v>1221</v>
      </c>
      <c r="W86" s="165"/>
    </row>
    <row r="87" s="315" customFormat="1" ht="34" customHeight="1" spans="1:23">
      <c r="A87" s="335">
        <v>83</v>
      </c>
      <c r="B87" s="343" t="s">
        <v>730</v>
      </c>
      <c r="C87" s="343" t="s">
        <v>730</v>
      </c>
      <c r="D87" s="1" t="s">
        <v>1405</v>
      </c>
      <c r="E87" s="1" t="s">
        <v>1406</v>
      </c>
      <c r="F87" s="1" t="s">
        <v>1217</v>
      </c>
      <c r="G87" s="304" t="s">
        <v>1230</v>
      </c>
      <c r="H87" s="304" t="s">
        <v>1407</v>
      </c>
      <c r="I87" s="359">
        <v>72</v>
      </c>
      <c r="J87" s="360">
        <v>72</v>
      </c>
      <c r="K87" s="385"/>
      <c r="L87" s="359"/>
      <c r="M87" s="359"/>
      <c r="N87" s="359"/>
      <c r="O87" s="359"/>
      <c r="P87" s="359">
        <v>-63.2</v>
      </c>
      <c r="Q87" s="359">
        <f t="shared" si="13"/>
        <v>8.8</v>
      </c>
      <c r="R87" s="359">
        <v>8.8</v>
      </c>
      <c r="S87" s="359"/>
      <c r="T87" s="304" t="s">
        <v>1408</v>
      </c>
      <c r="U87" s="377" t="s">
        <v>1409</v>
      </c>
      <c r="V87" s="169" t="s">
        <v>1221</v>
      </c>
      <c r="W87" s="165"/>
    </row>
    <row r="88" s="315" customFormat="1" ht="44" customHeight="1" spans="1:23">
      <c r="A88" s="335">
        <v>84</v>
      </c>
      <c r="B88" s="343" t="s">
        <v>730</v>
      </c>
      <c r="C88" s="343" t="s">
        <v>730</v>
      </c>
      <c r="D88" s="1" t="s">
        <v>1410</v>
      </c>
      <c r="E88" s="1" t="s">
        <v>1411</v>
      </c>
      <c r="F88" s="1" t="s">
        <v>1217</v>
      </c>
      <c r="G88" s="377" t="s">
        <v>1296</v>
      </c>
      <c r="H88" s="377" t="s">
        <v>1412</v>
      </c>
      <c r="I88" s="359">
        <v>2925</v>
      </c>
      <c r="J88" s="386"/>
      <c r="K88" s="387">
        <v>2925</v>
      </c>
      <c r="L88" s="387"/>
      <c r="M88" s="387"/>
      <c r="N88" s="387"/>
      <c r="O88" s="387"/>
      <c r="P88" s="387">
        <v>-127</v>
      </c>
      <c r="Q88" s="387">
        <f t="shared" ref="Q88:Q94" si="14">I88+P88</f>
        <v>2798</v>
      </c>
      <c r="R88" s="387">
        <v>2256</v>
      </c>
      <c r="S88" s="387">
        <v>542</v>
      </c>
      <c r="T88" s="377"/>
      <c r="U88" s="377" t="s">
        <v>1413</v>
      </c>
      <c r="V88" s="169" t="s">
        <v>1221</v>
      </c>
      <c r="W88" s="165"/>
    </row>
    <row r="89" s="315" customFormat="1" ht="36" spans="1:23">
      <c r="A89" s="335">
        <v>85</v>
      </c>
      <c r="B89" s="343" t="s">
        <v>730</v>
      </c>
      <c r="C89" s="343" t="s">
        <v>730</v>
      </c>
      <c r="D89" s="1" t="s">
        <v>1410</v>
      </c>
      <c r="E89" s="1" t="s">
        <v>1414</v>
      </c>
      <c r="F89" s="1" t="s">
        <v>1217</v>
      </c>
      <c r="G89" s="377" t="s">
        <v>1296</v>
      </c>
      <c r="H89" s="377" t="s">
        <v>1415</v>
      </c>
      <c r="I89" s="359"/>
      <c r="J89" s="386"/>
      <c r="K89" s="387"/>
      <c r="L89" s="387"/>
      <c r="M89" s="387"/>
      <c r="N89" s="387"/>
      <c r="O89" s="387"/>
      <c r="P89" s="387">
        <v>127</v>
      </c>
      <c r="Q89" s="387">
        <f t="shared" si="14"/>
        <v>127</v>
      </c>
      <c r="R89" s="387"/>
      <c r="S89" s="387">
        <v>127</v>
      </c>
      <c r="T89" s="377" t="s">
        <v>1415</v>
      </c>
      <c r="U89" s="377"/>
      <c r="V89" s="169"/>
      <c r="W89" s="165"/>
    </row>
    <row r="90" s="315" customFormat="1" ht="48" spans="1:23">
      <c r="A90" s="335">
        <v>86</v>
      </c>
      <c r="B90" s="343"/>
      <c r="C90" s="343" t="s">
        <v>730</v>
      </c>
      <c r="D90" s="1" t="s">
        <v>1368</v>
      </c>
      <c r="E90" s="1" t="s">
        <v>1416</v>
      </c>
      <c r="F90" s="1" t="s">
        <v>1217</v>
      </c>
      <c r="G90" s="304" t="s">
        <v>1296</v>
      </c>
      <c r="H90" s="304" t="s">
        <v>1417</v>
      </c>
      <c r="I90" s="359"/>
      <c r="J90" s="360"/>
      <c r="K90" s="385"/>
      <c r="L90" s="359"/>
      <c r="M90" s="359"/>
      <c r="N90" s="359"/>
      <c r="O90" s="359"/>
      <c r="P90" s="359">
        <v>400.48</v>
      </c>
      <c r="Q90" s="359">
        <f t="shared" si="14"/>
        <v>400.48</v>
      </c>
      <c r="R90" s="359">
        <v>396.881275</v>
      </c>
      <c r="S90" s="359">
        <v>0</v>
      </c>
      <c r="T90" s="304" t="s">
        <v>1418</v>
      </c>
      <c r="U90" s="377"/>
      <c r="V90" s="169"/>
      <c r="W90" s="165"/>
    </row>
    <row r="91" s="315" customFormat="1" ht="24" customHeight="1" spans="1:23">
      <c r="A91" s="335">
        <v>87</v>
      </c>
      <c r="B91" s="343" t="s">
        <v>730</v>
      </c>
      <c r="C91" s="343" t="s">
        <v>730</v>
      </c>
      <c r="D91" s="1" t="s">
        <v>1419</v>
      </c>
      <c r="E91" s="1" t="s">
        <v>1416</v>
      </c>
      <c r="F91" s="1" t="s">
        <v>1217</v>
      </c>
      <c r="G91" s="304" t="s">
        <v>1230</v>
      </c>
      <c r="H91" s="304" t="s">
        <v>1420</v>
      </c>
      <c r="I91" s="359">
        <v>30</v>
      </c>
      <c r="J91" s="360">
        <v>30</v>
      </c>
      <c r="K91" s="385"/>
      <c r="L91" s="359"/>
      <c r="M91" s="359"/>
      <c r="N91" s="359"/>
      <c r="O91" s="359"/>
      <c r="P91" s="359"/>
      <c r="Q91" s="359">
        <f t="shared" si="14"/>
        <v>30</v>
      </c>
      <c r="R91" s="359"/>
      <c r="S91" s="359">
        <v>30</v>
      </c>
      <c r="T91" s="304"/>
      <c r="U91" s="377"/>
      <c r="V91" s="169" t="s">
        <v>1221</v>
      </c>
      <c r="W91" s="165"/>
    </row>
    <row r="92" s="315" customFormat="1" ht="49" customHeight="1" spans="1:23">
      <c r="A92" s="335">
        <v>88</v>
      </c>
      <c r="B92" s="343" t="s">
        <v>730</v>
      </c>
      <c r="C92" s="343" t="s">
        <v>730</v>
      </c>
      <c r="D92" s="1" t="s">
        <v>1377</v>
      </c>
      <c r="E92" s="1" t="s">
        <v>1421</v>
      </c>
      <c r="F92" s="1" t="s">
        <v>1217</v>
      </c>
      <c r="G92" s="304" t="s">
        <v>1296</v>
      </c>
      <c r="H92" s="304" t="s">
        <v>1422</v>
      </c>
      <c r="I92" s="359">
        <v>3077.62</v>
      </c>
      <c r="J92" s="360"/>
      <c r="K92" s="359">
        <v>3077.616</v>
      </c>
      <c r="L92" s="359"/>
      <c r="M92" s="359"/>
      <c r="N92" s="359"/>
      <c r="O92" s="359"/>
      <c r="P92" s="359">
        <f>-223.52-800</f>
        <v>-1023.52</v>
      </c>
      <c r="Q92" s="359">
        <f t="shared" si="14"/>
        <v>2054.1</v>
      </c>
      <c r="R92" s="359"/>
      <c r="S92" s="359">
        <v>666.47</v>
      </c>
      <c r="T92" s="304" t="s">
        <v>1423</v>
      </c>
      <c r="U92" s="377" t="s">
        <v>1424</v>
      </c>
      <c r="V92" s="169" t="s">
        <v>1221</v>
      </c>
      <c r="W92" s="165"/>
    </row>
    <row r="93" s="315" customFormat="1" ht="24" customHeight="1" spans="1:23">
      <c r="A93" s="335">
        <v>89</v>
      </c>
      <c r="B93" s="343" t="s">
        <v>730</v>
      </c>
      <c r="C93" s="343" t="s">
        <v>730</v>
      </c>
      <c r="D93" s="1" t="s">
        <v>1425</v>
      </c>
      <c r="E93" s="1" t="s">
        <v>1421</v>
      </c>
      <c r="F93" s="1" t="s">
        <v>1217</v>
      </c>
      <c r="G93" s="377" t="s">
        <v>1296</v>
      </c>
      <c r="H93" s="377" t="s">
        <v>1426</v>
      </c>
      <c r="I93" s="359">
        <v>3.25</v>
      </c>
      <c r="J93" s="386"/>
      <c r="K93" s="387"/>
      <c r="L93" s="387">
        <v>3.25</v>
      </c>
      <c r="M93" s="387"/>
      <c r="N93" s="387"/>
      <c r="O93" s="387"/>
      <c r="P93" s="387">
        <v>-0.63</v>
      </c>
      <c r="Q93" s="387">
        <f t="shared" si="14"/>
        <v>2.62</v>
      </c>
      <c r="R93" s="387"/>
      <c r="S93" s="387">
        <v>2.62</v>
      </c>
      <c r="T93" s="377"/>
      <c r="U93" s="377"/>
      <c r="V93" s="169" t="s">
        <v>1221</v>
      </c>
      <c r="W93" s="165"/>
    </row>
    <row r="94" s="316" customFormat="1" ht="24" customHeight="1" spans="1:23">
      <c r="A94" s="335">
        <v>90</v>
      </c>
      <c r="B94" s="337"/>
      <c r="C94" s="337"/>
      <c r="D94" s="332"/>
      <c r="E94" s="333" t="s">
        <v>1427</v>
      </c>
      <c r="F94" s="333"/>
      <c r="G94" s="333"/>
      <c r="H94" s="334"/>
      <c r="I94" s="358">
        <f>SUM(I95:I116)</f>
        <v>3369.27</v>
      </c>
      <c r="J94" s="358">
        <f t="shared" ref="J94:S94" si="15">SUM(J95:J116)</f>
        <v>1649.23</v>
      </c>
      <c r="K94" s="358">
        <f t="shared" si="15"/>
        <v>1720.04</v>
      </c>
      <c r="L94" s="358">
        <f t="shared" si="15"/>
        <v>0</v>
      </c>
      <c r="M94" s="358">
        <f t="shared" si="15"/>
        <v>0</v>
      </c>
      <c r="N94" s="358">
        <f t="shared" si="15"/>
        <v>0</v>
      </c>
      <c r="O94" s="358">
        <f t="shared" si="15"/>
        <v>0</v>
      </c>
      <c r="P94" s="358">
        <f t="shared" si="15"/>
        <v>1226.762</v>
      </c>
      <c r="Q94" s="358">
        <f t="shared" si="15"/>
        <v>4596.032</v>
      </c>
      <c r="R94" s="358">
        <f t="shared" si="15"/>
        <v>3634.52</v>
      </c>
      <c r="S94" s="358">
        <f t="shared" si="15"/>
        <v>1417.29</v>
      </c>
      <c r="T94" s="369"/>
      <c r="U94" s="364"/>
      <c r="V94" s="365"/>
      <c r="W94" s="366"/>
    </row>
    <row r="95" s="315" customFormat="1" ht="24" customHeight="1" spans="1:23">
      <c r="A95" s="335">
        <v>91</v>
      </c>
      <c r="B95" s="343" t="s">
        <v>730</v>
      </c>
      <c r="C95" s="343" t="s">
        <v>730</v>
      </c>
      <c r="D95" s="1" t="s">
        <v>1428</v>
      </c>
      <c r="E95" s="304" t="s">
        <v>1429</v>
      </c>
      <c r="F95" s="1" t="s">
        <v>1217</v>
      </c>
      <c r="G95" s="304" t="s">
        <v>1230</v>
      </c>
      <c r="H95" s="378" t="s">
        <v>1430</v>
      </c>
      <c r="I95" s="359">
        <v>48.03</v>
      </c>
      <c r="J95" s="360">
        <v>48.03</v>
      </c>
      <c r="K95" s="359"/>
      <c r="L95" s="359"/>
      <c r="M95" s="359"/>
      <c r="N95" s="359"/>
      <c r="O95" s="359"/>
      <c r="P95" s="359">
        <v>-45.888</v>
      </c>
      <c r="Q95" s="359">
        <f t="shared" ref="Q95:Q100" si="16">I95+P95</f>
        <v>2.142</v>
      </c>
      <c r="R95" s="359">
        <v>2.14</v>
      </c>
      <c r="S95" s="359">
        <v>0</v>
      </c>
      <c r="T95" s="304" t="s">
        <v>1431</v>
      </c>
      <c r="U95" s="304" t="s">
        <v>1432</v>
      </c>
      <c r="V95" s="169" t="s">
        <v>1221</v>
      </c>
      <c r="W95" s="165"/>
    </row>
    <row r="96" s="315" customFormat="1" ht="24" customHeight="1" spans="1:23">
      <c r="A96" s="335">
        <v>92</v>
      </c>
      <c r="B96" s="343"/>
      <c r="C96" s="343" t="s">
        <v>1227</v>
      </c>
      <c r="D96" s="1" t="s">
        <v>1433</v>
      </c>
      <c r="E96" s="1" t="s">
        <v>1434</v>
      </c>
      <c r="F96" s="1" t="s">
        <v>1217</v>
      </c>
      <c r="G96" s="304" t="s">
        <v>1230</v>
      </c>
      <c r="H96" s="378" t="s">
        <v>1435</v>
      </c>
      <c r="I96" s="359"/>
      <c r="J96" s="360"/>
      <c r="K96" s="359"/>
      <c r="L96" s="359"/>
      <c r="M96" s="359"/>
      <c r="N96" s="359"/>
      <c r="O96" s="359"/>
      <c r="P96" s="359"/>
      <c r="Q96" s="359">
        <f t="shared" si="16"/>
        <v>0</v>
      </c>
      <c r="R96" s="359">
        <v>0</v>
      </c>
      <c r="S96" s="359"/>
      <c r="T96" s="304" t="s">
        <v>1276</v>
      </c>
      <c r="U96" s="304"/>
      <c r="V96" s="169"/>
      <c r="W96" s="165">
        <v>155.4683</v>
      </c>
    </row>
    <row r="97" s="315" customFormat="1" ht="24" customHeight="1" spans="1:23">
      <c r="A97" s="335">
        <v>93</v>
      </c>
      <c r="B97" s="343"/>
      <c r="C97" s="343" t="s">
        <v>730</v>
      </c>
      <c r="D97" s="1" t="s">
        <v>1436</v>
      </c>
      <c r="E97" s="1" t="s">
        <v>1434</v>
      </c>
      <c r="F97" s="1" t="s">
        <v>1217</v>
      </c>
      <c r="G97" s="304" t="s">
        <v>1230</v>
      </c>
      <c r="H97" s="378" t="s">
        <v>1437</v>
      </c>
      <c r="I97" s="359"/>
      <c r="J97" s="360"/>
      <c r="K97" s="359"/>
      <c r="L97" s="359"/>
      <c r="M97" s="359"/>
      <c r="N97" s="359"/>
      <c r="O97" s="359"/>
      <c r="P97" s="359">
        <v>330</v>
      </c>
      <c r="Q97" s="359">
        <f t="shared" si="16"/>
        <v>330</v>
      </c>
      <c r="R97" s="359">
        <v>330</v>
      </c>
      <c r="S97" s="359">
        <v>0</v>
      </c>
      <c r="T97" s="304" t="s">
        <v>1438</v>
      </c>
      <c r="U97" s="304"/>
      <c r="V97" s="169"/>
      <c r="W97" s="165"/>
    </row>
    <row r="98" s="315" customFormat="1" ht="24" customHeight="1" spans="1:23">
      <c r="A98" s="335">
        <v>94</v>
      </c>
      <c r="B98" s="343"/>
      <c r="C98" s="343" t="s">
        <v>730</v>
      </c>
      <c r="D98" s="1" t="s">
        <v>1439</v>
      </c>
      <c r="E98" s="1" t="s">
        <v>1440</v>
      </c>
      <c r="F98" s="1" t="s">
        <v>1217</v>
      </c>
      <c r="G98" s="304" t="s">
        <v>1230</v>
      </c>
      <c r="H98" s="378" t="s">
        <v>1437</v>
      </c>
      <c r="I98" s="359"/>
      <c r="J98" s="360"/>
      <c r="K98" s="359"/>
      <c r="L98" s="359"/>
      <c r="M98" s="359"/>
      <c r="N98" s="359"/>
      <c r="O98" s="359"/>
      <c r="P98" s="359">
        <v>286</v>
      </c>
      <c r="Q98" s="359">
        <f t="shared" si="16"/>
        <v>286</v>
      </c>
      <c r="R98" s="359">
        <v>286</v>
      </c>
      <c r="S98" s="359">
        <v>0</v>
      </c>
      <c r="T98" s="304" t="s">
        <v>1441</v>
      </c>
      <c r="U98" s="304"/>
      <c r="V98" s="169"/>
      <c r="W98" s="165"/>
    </row>
    <row r="99" s="315" customFormat="1" ht="24" customHeight="1" spans="1:23">
      <c r="A99" s="335">
        <v>95</v>
      </c>
      <c r="B99" s="343" t="s">
        <v>730</v>
      </c>
      <c r="C99" s="343" t="s">
        <v>730</v>
      </c>
      <c r="D99" s="1" t="s">
        <v>1428</v>
      </c>
      <c r="E99" s="304" t="s">
        <v>1442</v>
      </c>
      <c r="F99" s="1" t="s">
        <v>1217</v>
      </c>
      <c r="G99" s="304" t="s">
        <v>1230</v>
      </c>
      <c r="H99" s="378" t="s">
        <v>1443</v>
      </c>
      <c r="I99" s="359">
        <v>120</v>
      </c>
      <c r="J99" s="360">
        <v>120</v>
      </c>
      <c r="K99" s="359"/>
      <c r="L99" s="359"/>
      <c r="M99" s="359"/>
      <c r="N99" s="359"/>
      <c r="O99" s="359"/>
      <c r="P99" s="359"/>
      <c r="Q99" s="359">
        <f t="shared" si="16"/>
        <v>120</v>
      </c>
      <c r="R99" s="359"/>
      <c r="S99" s="359">
        <v>120</v>
      </c>
      <c r="T99" s="304"/>
      <c r="U99" s="304" t="s">
        <v>1444</v>
      </c>
      <c r="V99" s="169" t="s">
        <v>1221</v>
      </c>
      <c r="W99" s="165"/>
    </row>
    <row r="100" s="315" customFormat="1" ht="24" customHeight="1" spans="1:23">
      <c r="A100" s="335">
        <v>96</v>
      </c>
      <c r="B100" s="343" t="s">
        <v>730</v>
      </c>
      <c r="C100" s="343" t="s">
        <v>730</v>
      </c>
      <c r="D100" s="1" t="s">
        <v>1445</v>
      </c>
      <c r="E100" s="1" t="s">
        <v>562</v>
      </c>
      <c r="F100" s="1" t="s">
        <v>1217</v>
      </c>
      <c r="G100" s="304" t="s">
        <v>1296</v>
      </c>
      <c r="H100" s="378" t="s">
        <v>1446</v>
      </c>
      <c r="I100" s="359">
        <v>8.5</v>
      </c>
      <c r="J100" s="360"/>
      <c r="K100" s="359">
        <v>8.5</v>
      </c>
      <c r="L100" s="359"/>
      <c r="M100" s="359"/>
      <c r="N100" s="359"/>
      <c r="O100" s="359"/>
      <c r="P100" s="359"/>
      <c r="Q100" s="359">
        <f t="shared" si="16"/>
        <v>8.5</v>
      </c>
      <c r="R100" s="359">
        <v>5.83</v>
      </c>
      <c r="S100" s="359">
        <v>2.67</v>
      </c>
      <c r="T100" s="304"/>
      <c r="U100" s="304" t="s">
        <v>1447</v>
      </c>
      <c r="V100" s="169" t="s">
        <v>1221</v>
      </c>
      <c r="W100" s="165"/>
    </row>
    <row r="101" s="315" customFormat="1" ht="24" customHeight="1" spans="1:23">
      <c r="A101" s="335">
        <v>98</v>
      </c>
      <c r="B101" s="343" t="s">
        <v>730</v>
      </c>
      <c r="C101" s="343" t="s">
        <v>730</v>
      </c>
      <c r="D101" s="1" t="s">
        <v>1428</v>
      </c>
      <c r="E101" s="304" t="s">
        <v>1448</v>
      </c>
      <c r="F101" s="1" t="s">
        <v>1217</v>
      </c>
      <c r="G101" s="304" t="s">
        <v>1230</v>
      </c>
      <c r="H101" s="378" t="s">
        <v>1449</v>
      </c>
      <c r="I101" s="359">
        <v>451.2</v>
      </c>
      <c r="J101" s="360">
        <v>451.2</v>
      </c>
      <c r="K101" s="359"/>
      <c r="L101" s="359"/>
      <c r="M101" s="359"/>
      <c r="N101" s="359"/>
      <c r="O101" s="359"/>
      <c r="P101" s="359">
        <v>0.55</v>
      </c>
      <c r="Q101" s="359">
        <f t="shared" ref="Q101:Q114" si="17">I101+P101</f>
        <v>451.75</v>
      </c>
      <c r="R101" s="359"/>
      <c r="S101" s="359">
        <v>451.75</v>
      </c>
      <c r="T101" s="304"/>
      <c r="U101" s="304" t="s">
        <v>1450</v>
      </c>
      <c r="V101" s="169" t="s">
        <v>1221</v>
      </c>
      <c r="W101" s="165"/>
    </row>
    <row r="102" s="315" customFormat="1" ht="24" customHeight="1" spans="1:23">
      <c r="A102" s="335">
        <v>99</v>
      </c>
      <c r="B102" s="343" t="s">
        <v>730</v>
      </c>
      <c r="C102" s="343" t="s">
        <v>730</v>
      </c>
      <c r="D102" s="1" t="s">
        <v>1428</v>
      </c>
      <c r="E102" s="304" t="s">
        <v>1451</v>
      </c>
      <c r="F102" s="1" t="s">
        <v>1217</v>
      </c>
      <c r="G102" s="304" t="s">
        <v>1230</v>
      </c>
      <c r="H102" s="379" t="s">
        <v>1452</v>
      </c>
      <c r="I102" s="359">
        <v>1000</v>
      </c>
      <c r="J102" s="360">
        <v>1000</v>
      </c>
      <c r="K102" s="359"/>
      <c r="L102" s="359"/>
      <c r="M102" s="359"/>
      <c r="N102" s="359"/>
      <c r="O102" s="359"/>
      <c r="P102" s="359">
        <v>31.79</v>
      </c>
      <c r="Q102" s="359">
        <f t="shared" si="17"/>
        <v>1031.79</v>
      </c>
      <c r="R102" s="367">
        <v>1028.79</v>
      </c>
      <c r="S102" s="367">
        <v>3</v>
      </c>
      <c r="T102" s="304" t="s">
        <v>1453</v>
      </c>
      <c r="U102" s="304" t="s">
        <v>1454</v>
      </c>
      <c r="V102" s="169" t="s">
        <v>1221</v>
      </c>
      <c r="W102" s="165"/>
    </row>
    <row r="103" s="315" customFormat="1" ht="36" spans="1:23">
      <c r="A103" s="335">
        <v>100</v>
      </c>
      <c r="B103" s="343"/>
      <c r="C103" s="343" t="s">
        <v>730</v>
      </c>
      <c r="D103" s="1" t="s">
        <v>1455</v>
      </c>
      <c r="E103" s="1" t="s">
        <v>1456</v>
      </c>
      <c r="F103" s="1" t="s">
        <v>1217</v>
      </c>
      <c r="G103" s="304" t="s">
        <v>1296</v>
      </c>
      <c r="H103" s="378" t="s">
        <v>1457</v>
      </c>
      <c r="I103" s="359"/>
      <c r="J103" s="360"/>
      <c r="K103" s="359"/>
      <c r="L103" s="359"/>
      <c r="M103" s="359"/>
      <c r="N103" s="359"/>
      <c r="O103" s="359"/>
      <c r="P103" s="359">
        <v>6.62</v>
      </c>
      <c r="Q103" s="359">
        <f t="shared" si="17"/>
        <v>6.62</v>
      </c>
      <c r="R103" s="359"/>
      <c r="S103" s="359">
        <v>6.62</v>
      </c>
      <c r="T103" s="304" t="s">
        <v>1458</v>
      </c>
      <c r="U103" s="304"/>
      <c r="V103" s="169"/>
      <c r="W103" s="165"/>
    </row>
    <row r="104" s="315" customFormat="1" ht="36" spans="1:23">
      <c r="A104" s="335">
        <v>101</v>
      </c>
      <c r="B104" s="343"/>
      <c r="C104" s="343" t="s">
        <v>730</v>
      </c>
      <c r="D104" s="380" t="s">
        <v>1428</v>
      </c>
      <c r="E104" s="1" t="s">
        <v>1456</v>
      </c>
      <c r="F104" s="1" t="s">
        <v>1217</v>
      </c>
      <c r="G104" s="304" t="s">
        <v>1296</v>
      </c>
      <c r="H104" s="378" t="s">
        <v>1457</v>
      </c>
      <c r="I104" s="359"/>
      <c r="J104" s="360"/>
      <c r="K104" s="359"/>
      <c r="L104" s="359"/>
      <c r="M104" s="359"/>
      <c r="N104" s="359"/>
      <c r="O104" s="359"/>
      <c r="P104" s="359"/>
      <c r="Q104" s="359">
        <f t="shared" si="17"/>
        <v>0</v>
      </c>
      <c r="R104" s="359">
        <v>390</v>
      </c>
      <c r="S104" s="359">
        <v>0</v>
      </c>
      <c r="T104" s="304" t="s">
        <v>1459</v>
      </c>
      <c r="U104" s="304"/>
      <c r="V104" s="169"/>
      <c r="W104" s="169">
        <v>390</v>
      </c>
    </row>
    <row r="105" s="315" customFormat="1" ht="24" customHeight="1" spans="1:23">
      <c r="A105" s="335">
        <v>102</v>
      </c>
      <c r="B105" s="343" t="s">
        <v>730</v>
      </c>
      <c r="C105" s="343" t="s">
        <v>730</v>
      </c>
      <c r="D105" s="1" t="s">
        <v>1428</v>
      </c>
      <c r="E105" s="304" t="s">
        <v>1460</v>
      </c>
      <c r="F105" s="1" t="s">
        <v>1217</v>
      </c>
      <c r="G105" s="304" t="s">
        <v>1296</v>
      </c>
      <c r="H105" s="378" t="s">
        <v>1461</v>
      </c>
      <c r="I105" s="359">
        <v>996.65</v>
      </c>
      <c r="J105" s="360"/>
      <c r="K105" s="359">
        <v>996.65</v>
      </c>
      <c r="L105" s="359"/>
      <c r="M105" s="359"/>
      <c r="N105" s="359"/>
      <c r="O105" s="359"/>
      <c r="P105" s="359">
        <v>-167.33</v>
      </c>
      <c r="Q105" s="359">
        <f t="shared" si="17"/>
        <v>829.32</v>
      </c>
      <c r="R105" s="359">
        <v>734.54</v>
      </c>
      <c r="S105" s="359">
        <v>20</v>
      </c>
      <c r="T105" s="304" t="s">
        <v>1462</v>
      </c>
      <c r="U105" s="304" t="s">
        <v>1463</v>
      </c>
      <c r="V105" s="169" t="s">
        <v>1221</v>
      </c>
      <c r="W105" s="165"/>
    </row>
    <row r="106" s="315" customFormat="1" ht="24" customHeight="1" spans="1:23">
      <c r="A106" s="335">
        <v>103</v>
      </c>
      <c r="B106" s="343" t="s">
        <v>730</v>
      </c>
      <c r="C106" s="343" t="s">
        <v>730</v>
      </c>
      <c r="D106" s="1" t="s">
        <v>1428</v>
      </c>
      <c r="E106" s="304" t="s">
        <v>1460</v>
      </c>
      <c r="F106" s="1" t="s">
        <v>1217</v>
      </c>
      <c r="G106" s="304" t="s">
        <v>1230</v>
      </c>
      <c r="H106" s="378" t="s">
        <v>1464</v>
      </c>
      <c r="I106" s="359">
        <v>50</v>
      </c>
      <c r="J106" s="360"/>
      <c r="K106" s="359">
        <v>50</v>
      </c>
      <c r="L106" s="359"/>
      <c r="M106" s="359"/>
      <c r="N106" s="359"/>
      <c r="O106" s="359"/>
      <c r="P106" s="359"/>
      <c r="Q106" s="359">
        <f t="shared" si="17"/>
        <v>50</v>
      </c>
      <c r="R106" s="359">
        <v>37.5</v>
      </c>
      <c r="S106" s="359">
        <v>12.5</v>
      </c>
      <c r="T106" s="304"/>
      <c r="U106" s="304" t="s">
        <v>1465</v>
      </c>
      <c r="V106" s="169" t="s">
        <v>1221</v>
      </c>
      <c r="W106" s="165"/>
    </row>
    <row r="107" s="315" customFormat="1" ht="24" customHeight="1" spans="1:23">
      <c r="A107" s="335">
        <v>104</v>
      </c>
      <c r="B107" s="343" t="s">
        <v>730</v>
      </c>
      <c r="C107" s="343" t="s">
        <v>730</v>
      </c>
      <c r="D107" s="304" t="s">
        <v>1466</v>
      </c>
      <c r="E107" s="1" t="s">
        <v>1467</v>
      </c>
      <c r="F107" s="1" t="s">
        <v>1217</v>
      </c>
      <c r="G107" s="304" t="s">
        <v>1230</v>
      </c>
      <c r="H107" s="304" t="s">
        <v>1468</v>
      </c>
      <c r="I107" s="359">
        <v>30</v>
      </c>
      <c r="J107" s="360">
        <v>30</v>
      </c>
      <c r="K107" s="359"/>
      <c r="L107" s="359">
        <v>0</v>
      </c>
      <c r="M107" s="359"/>
      <c r="N107" s="359"/>
      <c r="O107" s="359"/>
      <c r="P107" s="359">
        <v>4.19</v>
      </c>
      <c r="Q107" s="359">
        <f t="shared" si="17"/>
        <v>34.19</v>
      </c>
      <c r="R107" s="367">
        <v>30</v>
      </c>
      <c r="S107" s="367">
        <v>4.19</v>
      </c>
      <c r="T107" s="304" t="s">
        <v>1469</v>
      </c>
      <c r="U107" s="304" t="s">
        <v>1470</v>
      </c>
      <c r="V107" s="169" t="s">
        <v>1221</v>
      </c>
      <c r="W107" s="165"/>
    </row>
    <row r="108" s="315" customFormat="1" ht="24" customHeight="1" spans="1:23">
      <c r="A108" s="335">
        <v>105</v>
      </c>
      <c r="B108" s="343" t="s">
        <v>730</v>
      </c>
      <c r="C108" s="343" t="s">
        <v>730</v>
      </c>
      <c r="D108" s="1" t="s">
        <v>1428</v>
      </c>
      <c r="E108" s="1" t="s">
        <v>1471</v>
      </c>
      <c r="F108" s="1" t="s">
        <v>1217</v>
      </c>
      <c r="G108" s="304" t="s">
        <v>1296</v>
      </c>
      <c r="H108" s="378" t="s">
        <v>1472</v>
      </c>
      <c r="I108" s="359">
        <v>664.89</v>
      </c>
      <c r="J108" s="360">
        <v>0</v>
      </c>
      <c r="K108" s="359">
        <v>664.89</v>
      </c>
      <c r="L108" s="359"/>
      <c r="M108" s="359"/>
      <c r="N108" s="359"/>
      <c r="O108" s="359"/>
      <c r="P108" s="359">
        <v>-170</v>
      </c>
      <c r="Q108" s="359">
        <f t="shared" si="17"/>
        <v>494.89</v>
      </c>
      <c r="R108" s="359">
        <v>419.07</v>
      </c>
      <c r="S108" s="359">
        <v>72</v>
      </c>
      <c r="T108" s="304" t="s">
        <v>1473</v>
      </c>
      <c r="U108" s="304" t="s">
        <v>1474</v>
      </c>
      <c r="V108" s="169" t="s">
        <v>1221</v>
      </c>
      <c r="W108" s="165"/>
    </row>
    <row r="109" s="315" customFormat="1" ht="36" spans="1:23">
      <c r="A109" s="335">
        <v>106</v>
      </c>
      <c r="B109" s="343"/>
      <c r="C109" s="343" t="s">
        <v>730</v>
      </c>
      <c r="D109" s="1" t="s">
        <v>1428</v>
      </c>
      <c r="E109" s="1" t="s">
        <v>1471</v>
      </c>
      <c r="F109" s="1" t="s">
        <v>1217</v>
      </c>
      <c r="G109" s="304" t="s">
        <v>1296</v>
      </c>
      <c r="H109" s="378" t="s">
        <v>1475</v>
      </c>
      <c r="I109" s="359"/>
      <c r="J109" s="360"/>
      <c r="K109" s="359"/>
      <c r="L109" s="359"/>
      <c r="M109" s="359"/>
      <c r="N109" s="359"/>
      <c r="O109" s="359"/>
      <c r="P109" s="359"/>
      <c r="Q109" s="359">
        <f t="shared" si="17"/>
        <v>0</v>
      </c>
      <c r="R109" s="359"/>
      <c r="S109" s="359">
        <v>114.41</v>
      </c>
      <c r="T109" s="304" t="s">
        <v>1476</v>
      </c>
      <c r="U109" s="304"/>
      <c r="V109" s="169"/>
      <c r="W109" s="169">
        <v>114.88</v>
      </c>
    </row>
    <row r="110" s="315" customFormat="1" ht="37" customHeight="1" spans="1:23">
      <c r="A110" s="335">
        <v>107</v>
      </c>
      <c r="B110" s="343"/>
      <c r="C110" s="343" t="s">
        <v>730</v>
      </c>
      <c r="D110" s="1" t="s">
        <v>1428</v>
      </c>
      <c r="E110" s="1" t="s">
        <v>1471</v>
      </c>
      <c r="F110" s="1" t="s">
        <v>1217</v>
      </c>
      <c r="G110" s="304" t="s">
        <v>1296</v>
      </c>
      <c r="H110" s="378" t="s">
        <v>1477</v>
      </c>
      <c r="I110" s="359"/>
      <c r="J110" s="360"/>
      <c r="K110" s="359"/>
      <c r="L110" s="359"/>
      <c r="M110" s="359"/>
      <c r="N110" s="359"/>
      <c r="O110" s="359"/>
      <c r="P110" s="359">
        <v>532</v>
      </c>
      <c r="Q110" s="359">
        <f t="shared" si="17"/>
        <v>532</v>
      </c>
      <c r="R110" s="359"/>
      <c r="S110" s="359">
        <v>495.54</v>
      </c>
      <c r="T110" s="304" t="s">
        <v>1478</v>
      </c>
      <c r="U110" s="304"/>
      <c r="V110" s="169"/>
      <c r="W110" s="165"/>
    </row>
    <row r="111" s="315" customFormat="1" ht="24" customHeight="1" spans="1:23">
      <c r="A111" s="335">
        <v>108</v>
      </c>
      <c r="B111" s="343"/>
      <c r="C111" s="343" t="s">
        <v>730</v>
      </c>
      <c r="D111" s="1" t="s">
        <v>1466</v>
      </c>
      <c r="E111" s="1" t="s">
        <v>1471</v>
      </c>
      <c r="F111" s="1" t="s">
        <v>1217</v>
      </c>
      <c r="G111" s="304" t="s">
        <v>1230</v>
      </c>
      <c r="H111" s="378" t="s">
        <v>1479</v>
      </c>
      <c r="I111" s="359"/>
      <c r="J111" s="360"/>
      <c r="K111" s="359"/>
      <c r="L111" s="359"/>
      <c r="M111" s="359"/>
      <c r="N111" s="359"/>
      <c r="O111" s="359"/>
      <c r="P111" s="359">
        <v>98.81</v>
      </c>
      <c r="Q111" s="359">
        <f t="shared" si="17"/>
        <v>98.81</v>
      </c>
      <c r="R111" s="359"/>
      <c r="S111" s="359">
        <v>98.81</v>
      </c>
      <c r="T111" s="304" t="s">
        <v>1480</v>
      </c>
      <c r="U111" s="304"/>
      <c r="V111" s="169"/>
      <c r="W111" s="165"/>
    </row>
    <row r="112" s="315" customFormat="1" ht="24" customHeight="1" spans="1:23">
      <c r="A112" s="335">
        <v>109</v>
      </c>
      <c r="B112" s="343"/>
      <c r="C112" s="343" t="s">
        <v>1227</v>
      </c>
      <c r="D112" s="1" t="s">
        <v>1445</v>
      </c>
      <c r="E112" s="1" t="s">
        <v>1471</v>
      </c>
      <c r="F112" s="1" t="s">
        <v>1217</v>
      </c>
      <c r="G112" s="304" t="s">
        <v>1230</v>
      </c>
      <c r="H112" s="378" t="s">
        <v>1481</v>
      </c>
      <c r="I112" s="359"/>
      <c r="J112" s="360"/>
      <c r="K112" s="359"/>
      <c r="L112" s="359"/>
      <c r="M112" s="359"/>
      <c r="N112" s="359"/>
      <c r="O112" s="359"/>
      <c r="P112" s="359"/>
      <c r="Q112" s="359">
        <f t="shared" si="17"/>
        <v>0</v>
      </c>
      <c r="R112" s="359">
        <v>6</v>
      </c>
      <c r="S112" s="359"/>
      <c r="T112" s="304" t="s">
        <v>1276</v>
      </c>
      <c r="U112" s="304"/>
      <c r="V112" s="169"/>
      <c r="W112" s="165">
        <v>64.56</v>
      </c>
    </row>
    <row r="113" s="315" customFormat="1" ht="24" customHeight="1" spans="1:23">
      <c r="A113" s="335">
        <v>110</v>
      </c>
      <c r="B113" s="343"/>
      <c r="C113" s="376" t="s">
        <v>1288</v>
      </c>
      <c r="D113" s="381" t="s">
        <v>1349</v>
      </c>
      <c r="E113" s="348" t="s">
        <v>1471</v>
      </c>
      <c r="F113" s="348" t="s">
        <v>1217</v>
      </c>
      <c r="G113" s="349" t="s">
        <v>1218</v>
      </c>
      <c r="H113" s="382" t="s">
        <v>1482</v>
      </c>
      <c r="I113" s="361"/>
      <c r="J113" s="360"/>
      <c r="K113" s="359"/>
      <c r="L113" s="359"/>
      <c r="M113" s="359"/>
      <c r="N113" s="359"/>
      <c r="O113" s="359"/>
      <c r="P113" s="361">
        <v>300</v>
      </c>
      <c r="Q113" s="361">
        <f t="shared" si="17"/>
        <v>300</v>
      </c>
      <c r="R113" s="361">
        <v>300</v>
      </c>
      <c r="S113" s="361">
        <v>15.8</v>
      </c>
      <c r="T113" s="349" t="s">
        <v>1483</v>
      </c>
      <c r="U113" s="304"/>
      <c r="V113" s="169"/>
      <c r="W113" s="169"/>
    </row>
    <row r="114" s="315" customFormat="1" ht="24" customHeight="1" spans="1:23">
      <c r="A114" s="335"/>
      <c r="B114" s="343"/>
      <c r="C114" s="376" t="s">
        <v>1288</v>
      </c>
      <c r="D114" s="381" t="s">
        <v>1433</v>
      </c>
      <c r="E114" s="348" t="s">
        <v>1471</v>
      </c>
      <c r="F114" s="348" t="s">
        <v>1217</v>
      </c>
      <c r="G114" s="349" t="s">
        <v>1218</v>
      </c>
      <c r="H114" s="382" t="s">
        <v>1482</v>
      </c>
      <c r="I114" s="361"/>
      <c r="J114" s="360"/>
      <c r="K114" s="359"/>
      <c r="L114" s="359"/>
      <c r="M114" s="359"/>
      <c r="N114" s="359"/>
      <c r="O114" s="359"/>
      <c r="P114" s="361">
        <v>15.8</v>
      </c>
      <c r="Q114" s="361">
        <f t="shared" si="17"/>
        <v>15.8</v>
      </c>
      <c r="R114" s="361"/>
      <c r="S114" s="361"/>
      <c r="T114" s="349" t="s">
        <v>1484</v>
      </c>
      <c r="U114" s="304"/>
      <c r="V114" s="169"/>
      <c r="W114" s="169"/>
    </row>
    <row r="115" s="315" customFormat="1" ht="24" customHeight="1" spans="1:23">
      <c r="A115" s="335">
        <v>111</v>
      </c>
      <c r="B115" s="343"/>
      <c r="C115" s="343" t="s">
        <v>1288</v>
      </c>
      <c r="D115" s="1" t="s">
        <v>1485</v>
      </c>
      <c r="E115" s="1" t="s">
        <v>1471</v>
      </c>
      <c r="F115" s="1" t="s">
        <v>1217</v>
      </c>
      <c r="G115" s="304" t="s">
        <v>1218</v>
      </c>
      <c r="H115" s="378" t="s">
        <v>1486</v>
      </c>
      <c r="I115" s="359"/>
      <c r="J115" s="360"/>
      <c r="K115" s="359"/>
      <c r="L115" s="359"/>
      <c r="M115" s="359"/>
      <c r="N115" s="359"/>
      <c r="O115" s="359"/>
      <c r="P115" s="359">
        <v>4.22</v>
      </c>
      <c r="Q115" s="359">
        <f t="shared" ref="Q115:Q124" si="18">I115+P115</f>
        <v>4.22</v>
      </c>
      <c r="R115" s="359">
        <v>4.22</v>
      </c>
      <c r="S115" s="359">
        <v>0</v>
      </c>
      <c r="T115" s="304" t="s">
        <v>1487</v>
      </c>
      <c r="U115" s="304"/>
      <c r="V115" s="169"/>
      <c r="W115" s="165"/>
    </row>
    <row r="116" s="315" customFormat="1" ht="37" customHeight="1" spans="1:23">
      <c r="A116" s="335">
        <v>112</v>
      </c>
      <c r="B116" s="343"/>
      <c r="C116" s="343" t="s">
        <v>730</v>
      </c>
      <c r="D116" s="1" t="s">
        <v>1436</v>
      </c>
      <c r="E116" s="1" t="s">
        <v>1488</v>
      </c>
      <c r="F116" s="1" t="s">
        <v>1217</v>
      </c>
      <c r="G116" s="304" t="s">
        <v>1296</v>
      </c>
      <c r="H116" s="378" t="s">
        <v>1489</v>
      </c>
      <c r="I116" s="359"/>
      <c r="J116" s="360"/>
      <c r="K116" s="359"/>
      <c r="L116" s="359"/>
      <c r="M116" s="359"/>
      <c r="N116" s="359"/>
      <c r="O116" s="359"/>
      <c r="P116" s="359"/>
      <c r="Q116" s="359">
        <f t="shared" si="18"/>
        <v>0</v>
      </c>
      <c r="R116" s="359">
        <v>60.43</v>
      </c>
      <c r="S116" s="359">
        <v>0</v>
      </c>
      <c r="T116" s="304" t="s">
        <v>1490</v>
      </c>
      <c r="U116" s="304"/>
      <c r="V116" s="169"/>
      <c r="W116" s="169">
        <v>60.43</v>
      </c>
    </row>
    <row r="117" s="316" customFormat="1" ht="24" customHeight="1" spans="1:23">
      <c r="A117" s="335">
        <v>113</v>
      </c>
      <c r="B117" s="337"/>
      <c r="C117" s="337"/>
      <c r="D117" s="332"/>
      <c r="E117" s="333" t="s">
        <v>1491</v>
      </c>
      <c r="F117" s="333"/>
      <c r="G117" s="333"/>
      <c r="H117" s="334"/>
      <c r="I117" s="358">
        <f>SUM(I118:I138)</f>
        <v>5536.25</v>
      </c>
      <c r="J117" s="358">
        <f t="shared" ref="J117:S117" si="19">SUM(J118:J138)</f>
        <v>3228.62</v>
      </c>
      <c r="K117" s="358">
        <f t="shared" si="19"/>
        <v>2307.63</v>
      </c>
      <c r="L117" s="358">
        <f t="shared" si="19"/>
        <v>0</v>
      </c>
      <c r="M117" s="358">
        <f t="shared" si="19"/>
        <v>0</v>
      </c>
      <c r="N117" s="358">
        <f t="shared" si="19"/>
        <v>0</v>
      </c>
      <c r="O117" s="358">
        <f t="shared" si="19"/>
        <v>0</v>
      </c>
      <c r="P117" s="358">
        <f t="shared" si="19"/>
        <v>-1131.31</v>
      </c>
      <c r="Q117" s="358">
        <f t="shared" si="19"/>
        <v>4404.94</v>
      </c>
      <c r="R117" s="358">
        <f t="shared" si="19"/>
        <v>6643.209796</v>
      </c>
      <c r="S117" s="358">
        <f t="shared" si="19"/>
        <v>2939.640162</v>
      </c>
      <c r="T117" s="369"/>
      <c r="U117" s="364"/>
      <c r="V117" s="365"/>
      <c r="W117" s="366"/>
    </row>
    <row r="118" s="137" customFormat="1" ht="24" customHeight="1" spans="1:24">
      <c r="A118" s="335">
        <v>114</v>
      </c>
      <c r="B118" s="336"/>
      <c r="C118" s="345" t="s">
        <v>1288</v>
      </c>
      <c r="D118" s="346" t="s">
        <v>1492</v>
      </c>
      <c r="E118" s="347" t="s">
        <v>1493</v>
      </c>
      <c r="F118" s="347" t="s">
        <v>1217</v>
      </c>
      <c r="G118" s="347" t="s">
        <v>1218</v>
      </c>
      <c r="H118" s="349" t="s">
        <v>1494</v>
      </c>
      <c r="I118" s="361"/>
      <c r="J118" s="360"/>
      <c r="K118" s="359"/>
      <c r="L118" s="359"/>
      <c r="M118" s="359"/>
      <c r="N118" s="359"/>
      <c r="O118" s="359"/>
      <c r="P118" s="361">
        <f>305.05-300</f>
        <v>5.05000000000001</v>
      </c>
      <c r="Q118" s="361">
        <f t="shared" si="18"/>
        <v>5.05000000000001</v>
      </c>
      <c r="R118" s="361">
        <v>0</v>
      </c>
      <c r="S118" s="361">
        <v>5.05</v>
      </c>
      <c r="T118" s="372" t="s">
        <v>1495</v>
      </c>
      <c r="U118" s="304"/>
      <c r="V118" s="72"/>
      <c r="W118" s="2"/>
      <c r="X118" s="315"/>
    </row>
    <row r="119" s="137" customFormat="1" ht="24" customHeight="1" spans="1:24">
      <c r="A119" s="335">
        <v>115</v>
      </c>
      <c r="B119" s="336"/>
      <c r="C119" s="336" t="s">
        <v>1117</v>
      </c>
      <c r="D119" s="374" t="s">
        <v>1496</v>
      </c>
      <c r="E119" s="375" t="s">
        <v>1493</v>
      </c>
      <c r="F119" s="375" t="s">
        <v>1217</v>
      </c>
      <c r="G119" s="375" t="s">
        <v>1230</v>
      </c>
      <c r="H119" s="304" t="s">
        <v>1497</v>
      </c>
      <c r="I119" s="359"/>
      <c r="J119" s="360"/>
      <c r="K119" s="359"/>
      <c r="L119" s="359"/>
      <c r="M119" s="359"/>
      <c r="N119" s="359"/>
      <c r="O119" s="359"/>
      <c r="P119" s="359"/>
      <c r="Q119" s="359">
        <f t="shared" si="18"/>
        <v>0</v>
      </c>
      <c r="R119" s="359">
        <v>706.3</v>
      </c>
      <c r="S119" s="359">
        <v>850.66</v>
      </c>
      <c r="T119" s="388" t="s">
        <v>1498</v>
      </c>
      <c r="U119" s="304"/>
      <c r="V119" s="72"/>
      <c r="W119" s="2">
        <v>1556.96</v>
      </c>
      <c r="X119" s="315"/>
    </row>
    <row r="120" s="137" customFormat="1" ht="24" customHeight="1" spans="1:24">
      <c r="A120" s="335">
        <v>116</v>
      </c>
      <c r="B120" s="336"/>
      <c r="C120" s="336" t="s">
        <v>1117</v>
      </c>
      <c r="D120" s="374" t="s">
        <v>1361</v>
      </c>
      <c r="E120" s="375" t="s">
        <v>1493</v>
      </c>
      <c r="F120" s="375" t="s">
        <v>1217</v>
      </c>
      <c r="G120" s="375" t="s">
        <v>1230</v>
      </c>
      <c r="H120" s="304" t="s">
        <v>1499</v>
      </c>
      <c r="I120" s="359"/>
      <c r="J120" s="360"/>
      <c r="K120" s="359"/>
      <c r="L120" s="359"/>
      <c r="M120" s="359"/>
      <c r="N120" s="359"/>
      <c r="O120" s="359"/>
      <c r="P120" s="359"/>
      <c r="Q120" s="359">
        <f t="shared" si="18"/>
        <v>0</v>
      </c>
      <c r="R120" s="359">
        <v>233</v>
      </c>
      <c r="S120" s="359">
        <v>428.54</v>
      </c>
      <c r="T120" s="388" t="s">
        <v>1498</v>
      </c>
      <c r="U120" s="304"/>
      <c r="V120" s="72"/>
      <c r="W120" s="2">
        <v>661.54</v>
      </c>
      <c r="X120" s="315"/>
    </row>
    <row r="121" s="137" customFormat="1" ht="24" customHeight="1" spans="1:24">
      <c r="A121" s="335">
        <v>117</v>
      </c>
      <c r="B121" s="336"/>
      <c r="C121" s="336" t="s">
        <v>1117</v>
      </c>
      <c r="D121" s="374" t="s">
        <v>1500</v>
      </c>
      <c r="E121" s="375" t="s">
        <v>1493</v>
      </c>
      <c r="F121" s="375" t="s">
        <v>1217</v>
      </c>
      <c r="G121" s="375" t="s">
        <v>1230</v>
      </c>
      <c r="H121" s="304" t="s">
        <v>1501</v>
      </c>
      <c r="I121" s="359"/>
      <c r="J121" s="360"/>
      <c r="K121" s="359"/>
      <c r="L121" s="359"/>
      <c r="M121" s="359"/>
      <c r="N121" s="359"/>
      <c r="O121" s="359"/>
      <c r="P121" s="359"/>
      <c r="Q121" s="359">
        <f t="shared" si="18"/>
        <v>0</v>
      </c>
      <c r="R121" s="359">
        <v>227.8553</v>
      </c>
      <c r="S121" s="359">
        <v>186.4047</v>
      </c>
      <c r="T121" s="388" t="s">
        <v>1498</v>
      </c>
      <c r="U121" s="304"/>
      <c r="V121" s="72"/>
      <c r="W121" s="2">
        <v>414.26</v>
      </c>
      <c r="X121" s="315"/>
    </row>
    <row r="122" s="137" customFormat="1" ht="24" customHeight="1" spans="1:24">
      <c r="A122" s="335">
        <v>118</v>
      </c>
      <c r="B122" s="336"/>
      <c r="C122" s="336" t="s">
        <v>1117</v>
      </c>
      <c r="D122" s="374" t="s">
        <v>1502</v>
      </c>
      <c r="E122" s="375" t="s">
        <v>1493</v>
      </c>
      <c r="F122" s="375" t="s">
        <v>1217</v>
      </c>
      <c r="G122" s="375" t="s">
        <v>1230</v>
      </c>
      <c r="H122" s="304" t="s">
        <v>1503</v>
      </c>
      <c r="I122" s="359"/>
      <c r="J122" s="360"/>
      <c r="K122" s="359"/>
      <c r="L122" s="359"/>
      <c r="M122" s="359"/>
      <c r="N122" s="359"/>
      <c r="O122" s="359"/>
      <c r="P122" s="359"/>
      <c r="Q122" s="359">
        <f t="shared" si="18"/>
        <v>0</v>
      </c>
      <c r="R122" s="359">
        <v>280</v>
      </c>
      <c r="S122" s="359">
        <v>280</v>
      </c>
      <c r="T122" s="388" t="s">
        <v>1498</v>
      </c>
      <c r="U122" s="304"/>
      <c r="V122" s="72"/>
      <c r="W122" s="2">
        <v>560</v>
      </c>
      <c r="X122" s="315"/>
    </row>
    <row r="123" s="137" customFormat="1" ht="24" customHeight="1" spans="1:24">
      <c r="A123" s="335">
        <v>119</v>
      </c>
      <c r="B123" s="336"/>
      <c r="C123" s="336" t="s">
        <v>1117</v>
      </c>
      <c r="D123" s="374" t="s">
        <v>1504</v>
      </c>
      <c r="E123" s="375" t="s">
        <v>1493</v>
      </c>
      <c r="F123" s="375" t="s">
        <v>1217</v>
      </c>
      <c r="G123" s="375" t="s">
        <v>1230</v>
      </c>
      <c r="H123" s="304" t="s">
        <v>1505</v>
      </c>
      <c r="I123" s="359"/>
      <c r="J123" s="360"/>
      <c r="K123" s="359"/>
      <c r="L123" s="359"/>
      <c r="M123" s="359"/>
      <c r="N123" s="359"/>
      <c r="O123" s="359"/>
      <c r="P123" s="359"/>
      <c r="Q123" s="359">
        <f t="shared" si="18"/>
        <v>0</v>
      </c>
      <c r="R123" s="359">
        <v>95.3853</v>
      </c>
      <c r="S123" s="359">
        <v>71.6147</v>
      </c>
      <c r="T123" s="388" t="s">
        <v>1498</v>
      </c>
      <c r="U123" s="304"/>
      <c r="V123" s="72"/>
      <c r="W123" s="2">
        <v>167</v>
      </c>
      <c r="X123" s="315"/>
    </row>
    <row r="124" s="137" customFormat="1" ht="24" customHeight="1" spans="1:24">
      <c r="A124" s="335">
        <v>120</v>
      </c>
      <c r="B124" s="336"/>
      <c r="C124" s="336" t="s">
        <v>1117</v>
      </c>
      <c r="D124" s="374" t="s">
        <v>1506</v>
      </c>
      <c r="E124" s="375" t="s">
        <v>1493</v>
      </c>
      <c r="F124" s="375" t="s">
        <v>1217</v>
      </c>
      <c r="G124" s="375" t="s">
        <v>1230</v>
      </c>
      <c r="H124" s="304" t="s">
        <v>1507</v>
      </c>
      <c r="I124" s="359"/>
      <c r="J124" s="360"/>
      <c r="K124" s="359"/>
      <c r="L124" s="359"/>
      <c r="M124" s="359"/>
      <c r="N124" s="359"/>
      <c r="O124" s="359"/>
      <c r="P124" s="359"/>
      <c r="Q124" s="359">
        <f t="shared" si="18"/>
        <v>0</v>
      </c>
      <c r="R124" s="359">
        <v>549.4779</v>
      </c>
      <c r="S124" s="359">
        <v>25.5221</v>
      </c>
      <c r="T124" s="388" t="s">
        <v>1498</v>
      </c>
      <c r="U124" s="304"/>
      <c r="V124" s="72"/>
      <c r="W124" s="2">
        <v>575</v>
      </c>
      <c r="X124" s="315"/>
    </row>
    <row r="125" s="137" customFormat="1" ht="24" customHeight="1" spans="1:24">
      <c r="A125" s="335">
        <v>121</v>
      </c>
      <c r="B125" s="336"/>
      <c r="C125" s="336" t="s">
        <v>1117</v>
      </c>
      <c r="D125" s="374" t="s">
        <v>1508</v>
      </c>
      <c r="E125" s="375" t="s">
        <v>1509</v>
      </c>
      <c r="F125" s="375" t="s">
        <v>1217</v>
      </c>
      <c r="G125" s="375" t="s">
        <v>1230</v>
      </c>
      <c r="H125" s="304" t="s">
        <v>1510</v>
      </c>
      <c r="I125" s="359"/>
      <c r="J125" s="360"/>
      <c r="K125" s="359"/>
      <c r="L125" s="359"/>
      <c r="M125" s="359"/>
      <c r="N125" s="359"/>
      <c r="O125" s="359"/>
      <c r="P125" s="359"/>
      <c r="Q125" s="359">
        <f t="shared" ref="Q125:Q131" si="20">I125+P125</f>
        <v>0</v>
      </c>
      <c r="R125" s="359">
        <v>0</v>
      </c>
      <c r="S125" s="359"/>
      <c r="T125" s="388" t="s">
        <v>1511</v>
      </c>
      <c r="U125" s="304"/>
      <c r="V125" s="72"/>
      <c r="W125" s="2">
        <v>37.39</v>
      </c>
      <c r="X125" s="315"/>
    </row>
    <row r="126" s="137" customFormat="1" ht="24" customHeight="1" spans="1:24">
      <c r="A126" s="335">
        <v>122</v>
      </c>
      <c r="B126" s="336"/>
      <c r="C126" s="336" t="s">
        <v>1117</v>
      </c>
      <c r="D126" s="374" t="s">
        <v>1508</v>
      </c>
      <c r="E126" s="375" t="s">
        <v>1512</v>
      </c>
      <c r="F126" s="375" t="s">
        <v>1217</v>
      </c>
      <c r="G126" s="375" t="s">
        <v>1230</v>
      </c>
      <c r="H126" s="304" t="s">
        <v>1513</v>
      </c>
      <c r="I126" s="359"/>
      <c r="J126" s="360"/>
      <c r="K126" s="359"/>
      <c r="L126" s="359"/>
      <c r="M126" s="359"/>
      <c r="N126" s="359"/>
      <c r="O126" s="359"/>
      <c r="P126" s="359"/>
      <c r="Q126" s="359">
        <f t="shared" si="20"/>
        <v>0</v>
      </c>
      <c r="R126" s="359">
        <v>0</v>
      </c>
      <c r="S126" s="359"/>
      <c r="T126" s="388" t="s">
        <v>1511</v>
      </c>
      <c r="U126" s="304"/>
      <c r="V126" s="72"/>
      <c r="W126" s="2">
        <v>170.46</v>
      </c>
      <c r="X126" s="315"/>
    </row>
    <row r="127" s="137" customFormat="1" ht="24" customHeight="1" spans="1:24">
      <c r="A127" s="335">
        <v>123</v>
      </c>
      <c r="B127" s="336"/>
      <c r="C127" s="336" t="s">
        <v>1117</v>
      </c>
      <c r="D127" s="374" t="s">
        <v>1508</v>
      </c>
      <c r="E127" s="375" t="s">
        <v>1512</v>
      </c>
      <c r="F127" s="375" t="s">
        <v>1217</v>
      </c>
      <c r="G127" s="375" t="s">
        <v>1230</v>
      </c>
      <c r="H127" s="304" t="s">
        <v>1514</v>
      </c>
      <c r="I127" s="359"/>
      <c r="J127" s="360"/>
      <c r="K127" s="359"/>
      <c r="L127" s="359"/>
      <c r="M127" s="359"/>
      <c r="N127" s="359"/>
      <c r="O127" s="359"/>
      <c r="P127" s="359"/>
      <c r="Q127" s="359">
        <f t="shared" si="20"/>
        <v>0</v>
      </c>
      <c r="R127" s="359">
        <v>0</v>
      </c>
      <c r="S127" s="359"/>
      <c r="T127" s="388" t="s">
        <v>1511</v>
      </c>
      <c r="U127" s="304"/>
      <c r="V127" s="72"/>
      <c r="W127" s="2">
        <v>1.3</v>
      </c>
      <c r="X127" s="315"/>
    </row>
    <row r="128" s="137" customFormat="1" ht="24" customHeight="1" spans="1:24">
      <c r="A128" s="335">
        <v>124</v>
      </c>
      <c r="B128" s="336"/>
      <c r="C128" s="336" t="s">
        <v>1117</v>
      </c>
      <c r="D128" s="374" t="s">
        <v>1508</v>
      </c>
      <c r="E128" s="375" t="s">
        <v>1512</v>
      </c>
      <c r="F128" s="375" t="s">
        <v>1217</v>
      </c>
      <c r="G128" s="375" t="s">
        <v>1230</v>
      </c>
      <c r="H128" s="304" t="s">
        <v>1515</v>
      </c>
      <c r="I128" s="359"/>
      <c r="J128" s="360"/>
      <c r="K128" s="359"/>
      <c r="L128" s="359"/>
      <c r="M128" s="359"/>
      <c r="N128" s="359"/>
      <c r="O128" s="359"/>
      <c r="P128" s="359"/>
      <c r="Q128" s="359">
        <f t="shared" si="20"/>
        <v>0</v>
      </c>
      <c r="R128" s="359">
        <v>0</v>
      </c>
      <c r="S128" s="359"/>
      <c r="T128" s="388" t="s">
        <v>1511</v>
      </c>
      <c r="U128" s="304"/>
      <c r="V128" s="72"/>
      <c r="W128" s="2">
        <v>19.9</v>
      </c>
      <c r="X128" s="315"/>
    </row>
    <row r="129" s="137" customFormat="1" ht="24" customHeight="1" spans="1:24">
      <c r="A129" s="335">
        <v>125</v>
      </c>
      <c r="B129" s="336"/>
      <c r="C129" s="336" t="s">
        <v>1117</v>
      </c>
      <c r="D129" s="374" t="s">
        <v>1508</v>
      </c>
      <c r="E129" s="375" t="s">
        <v>1512</v>
      </c>
      <c r="F129" s="375" t="s">
        <v>1217</v>
      </c>
      <c r="G129" s="375" t="s">
        <v>1230</v>
      </c>
      <c r="H129" s="304" t="s">
        <v>1516</v>
      </c>
      <c r="I129" s="359"/>
      <c r="J129" s="360"/>
      <c r="K129" s="359"/>
      <c r="L129" s="359"/>
      <c r="M129" s="359"/>
      <c r="N129" s="359"/>
      <c r="O129" s="359"/>
      <c r="P129" s="359"/>
      <c r="Q129" s="359">
        <f t="shared" si="20"/>
        <v>0</v>
      </c>
      <c r="R129" s="359">
        <v>0</v>
      </c>
      <c r="S129" s="359"/>
      <c r="T129" s="388" t="s">
        <v>1511</v>
      </c>
      <c r="U129" s="304"/>
      <c r="V129" s="72"/>
      <c r="W129" s="2">
        <v>50</v>
      </c>
      <c r="X129" s="315"/>
    </row>
    <row r="130" s="138" customFormat="1" ht="24" customHeight="1" spans="1:23">
      <c r="A130" s="335">
        <v>126</v>
      </c>
      <c r="B130" s="336" t="s">
        <v>1135</v>
      </c>
      <c r="C130" s="345" t="s">
        <v>1288</v>
      </c>
      <c r="D130" s="349" t="s">
        <v>1517</v>
      </c>
      <c r="E130" s="349" t="s">
        <v>1518</v>
      </c>
      <c r="F130" s="348" t="s">
        <v>1217</v>
      </c>
      <c r="G130" s="349" t="s">
        <v>1230</v>
      </c>
      <c r="H130" s="349" t="s">
        <v>1519</v>
      </c>
      <c r="I130" s="361">
        <v>3228.62</v>
      </c>
      <c r="J130" s="360">
        <v>3228.62</v>
      </c>
      <c r="K130" s="359"/>
      <c r="L130" s="359"/>
      <c r="M130" s="359"/>
      <c r="N130" s="359"/>
      <c r="O130" s="359"/>
      <c r="P130" s="361">
        <v>-27.03</v>
      </c>
      <c r="Q130" s="361">
        <f t="shared" si="20"/>
        <v>3201.59</v>
      </c>
      <c r="R130" s="361">
        <v>3016.11</v>
      </c>
      <c r="S130" s="361">
        <v>185.48</v>
      </c>
      <c r="T130" s="349" t="s">
        <v>1520</v>
      </c>
      <c r="U130" s="304" t="s">
        <v>1521</v>
      </c>
      <c r="V130" s="169" t="s">
        <v>1221</v>
      </c>
      <c r="W130" s="169"/>
    </row>
    <row r="131" s="138" customFormat="1" ht="24" customHeight="1" spans="1:24">
      <c r="A131" s="335">
        <v>127</v>
      </c>
      <c r="B131" s="336"/>
      <c r="C131" s="345" t="s">
        <v>1288</v>
      </c>
      <c r="D131" s="349" t="s">
        <v>1522</v>
      </c>
      <c r="E131" s="349" t="s">
        <v>1518</v>
      </c>
      <c r="F131" s="348" t="s">
        <v>1217</v>
      </c>
      <c r="G131" s="349" t="s">
        <v>1218</v>
      </c>
      <c r="H131" s="349" t="s">
        <v>1523</v>
      </c>
      <c r="I131" s="361"/>
      <c r="J131" s="360"/>
      <c r="K131" s="359"/>
      <c r="L131" s="359"/>
      <c r="M131" s="359"/>
      <c r="N131" s="359"/>
      <c r="O131" s="359"/>
      <c r="P131" s="361">
        <f>1176.49-1120</f>
        <v>56.49</v>
      </c>
      <c r="Q131" s="361">
        <f t="shared" si="20"/>
        <v>56.49</v>
      </c>
      <c r="R131" s="361">
        <v>0</v>
      </c>
      <c r="S131" s="361">
        <v>56.49</v>
      </c>
      <c r="T131" s="349" t="s">
        <v>1524</v>
      </c>
      <c r="U131" s="304"/>
      <c r="V131" s="169"/>
      <c r="W131" s="169"/>
      <c r="X131" s="315"/>
    </row>
    <row r="132" s="138" customFormat="1" ht="24" customHeight="1" spans="1:24">
      <c r="A132" s="335">
        <v>128</v>
      </c>
      <c r="B132" s="336"/>
      <c r="C132" s="345" t="s">
        <v>1288</v>
      </c>
      <c r="D132" s="349" t="s">
        <v>1492</v>
      </c>
      <c r="E132" s="349" t="s">
        <v>1525</v>
      </c>
      <c r="F132" s="348" t="s">
        <v>1217</v>
      </c>
      <c r="G132" s="349" t="s">
        <v>1218</v>
      </c>
      <c r="H132" s="349" t="s">
        <v>1526</v>
      </c>
      <c r="I132" s="361"/>
      <c r="J132" s="360"/>
      <c r="K132" s="359"/>
      <c r="L132" s="359"/>
      <c r="M132" s="359"/>
      <c r="N132" s="359"/>
      <c r="O132" s="359"/>
      <c r="P132" s="361">
        <f>418.16-400</f>
        <v>18.16</v>
      </c>
      <c r="Q132" s="361">
        <f t="shared" ref="Q130:Q138" si="21">I132+P132</f>
        <v>18.16</v>
      </c>
      <c r="R132" s="361">
        <v>0</v>
      </c>
      <c r="S132" s="361">
        <v>18.16</v>
      </c>
      <c r="T132" s="349" t="s">
        <v>1527</v>
      </c>
      <c r="U132" s="304"/>
      <c r="V132" s="169"/>
      <c r="W132" s="169"/>
      <c r="X132" s="315"/>
    </row>
    <row r="133" s="138" customFormat="1" ht="24" customHeight="1" spans="1:23">
      <c r="A133" s="335">
        <v>129</v>
      </c>
      <c r="B133" s="336"/>
      <c r="C133" s="336" t="s">
        <v>880</v>
      </c>
      <c r="D133" s="304" t="s">
        <v>1492</v>
      </c>
      <c r="E133" s="304" t="s">
        <v>1518</v>
      </c>
      <c r="F133" s="1" t="s">
        <v>1217</v>
      </c>
      <c r="G133" s="304" t="s">
        <v>1296</v>
      </c>
      <c r="H133" s="304" t="s">
        <v>1528</v>
      </c>
      <c r="I133" s="359"/>
      <c r="J133" s="360"/>
      <c r="K133" s="359"/>
      <c r="L133" s="359"/>
      <c r="M133" s="359"/>
      <c r="N133" s="359"/>
      <c r="O133" s="359"/>
      <c r="P133" s="359">
        <v>65.4</v>
      </c>
      <c r="Q133" s="359">
        <f t="shared" si="21"/>
        <v>65.4</v>
      </c>
      <c r="R133" s="359"/>
      <c r="S133" s="359">
        <v>65.4</v>
      </c>
      <c r="T133" s="304"/>
      <c r="U133" s="304"/>
      <c r="V133" s="169"/>
      <c r="W133" s="169"/>
    </row>
    <row r="134" s="138" customFormat="1" ht="24" customHeight="1" spans="1:24">
      <c r="A134" s="335">
        <v>130</v>
      </c>
      <c r="B134" s="336"/>
      <c r="C134" s="336" t="s">
        <v>1288</v>
      </c>
      <c r="D134" s="304" t="s">
        <v>1529</v>
      </c>
      <c r="E134" s="304" t="s">
        <v>1518</v>
      </c>
      <c r="F134" s="1" t="s">
        <v>1217</v>
      </c>
      <c r="G134" s="304" t="s">
        <v>1218</v>
      </c>
      <c r="H134" s="304" t="s">
        <v>1530</v>
      </c>
      <c r="I134" s="359"/>
      <c r="J134" s="360"/>
      <c r="K134" s="359"/>
      <c r="L134" s="359"/>
      <c r="M134" s="359"/>
      <c r="N134" s="359"/>
      <c r="O134" s="359"/>
      <c r="P134" s="359">
        <f>800-800</f>
        <v>0</v>
      </c>
      <c r="Q134" s="359">
        <f t="shared" si="21"/>
        <v>0</v>
      </c>
      <c r="R134" s="361">
        <v>0</v>
      </c>
      <c r="S134" s="361">
        <v>0</v>
      </c>
      <c r="T134" s="304" t="s">
        <v>1531</v>
      </c>
      <c r="U134" s="304"/>
      <c r="V134" s="169"/>
      <c r="W134" s="169"/>
      <c r="X134" s="315"/>
    </row>
    <row r="135" s="318" customFormat="1" ht="24" customHeight="1" spans="1:24">
      <c r="A135" s="335">
        <v>131</v>
      </c>
      <c r="B135" s="336" t="s">
        <v>880</v>
      </c>
      <c r="C135" s="336" t="s">
        <v>880</v>
      </c>
      <c r="D135" s="304" t="s">
        <v>1532</v>
      </c>
      <c r="E135" s="304" t="s">
        <v>1518</v>
      </c>
      <c r="F135" s="1" t="s">
        <v>1217</v>
      </c>
      <c r="G135" s="304" t="s">
        <v>1296</v>
      </c>
      <c r="H135" s="304" t="s">
        <v>1533</v>
      </c>
      <c r="I135" s="359">
        <v>1249.38</v>
      </c>
      <c r="J135" s="360"/>
      <c r="K135" s="392">
        <v>1249.38</v>
      </c>
      <c r="L135" s="392"/>
      <c r="M135" s="392"/>
      <c r="N135" s="392"/>
      <c r="O135" s="392"/>
      <c r="P135" s="359">
        <v>-1249.38</v>
      </c>
      <c r="Q135" s="359">
        <f t="shared" si="21"/>
        <v>0</v>
      </c>
      <c r="R135" s="359">
        <v>948.272</v>
      </c>
      <c r="S135" s="359">
        <v>301.108</v>
      </c>
      <c r="T135" s="304"/>
      <c r="U135" s="304" t="s">
        <v>1534</v>
      </c>
      <c r="V135" s="169" t="s">
        <v>1221</v>
      </c>
      <c r="W135" s="169">
        <v>1249.38</v>
      </c>
      <c r="X135" s="315"/>
    </row>
    <row r="136" s="318" customFormat="1" ht="24" customHeight="1" spans="1:23">
      <c r="A136" s="335">
        <v>132</v>
      </c>
      <c r="B136" s="336" t="s">
        <v>880</v>
      </c>
      <c r="C136" s="336" t="s">
        <v>880</v>
      </c>
      <c r="D136" s="304" t="s">
        <v>1532</v>
      </c>
      <c r="E136" s="304" t="s">
        <v>1518</v>
      </c>
      <c r="F136" s="1" t="s">
        <v>1217</v>
      </c>
      <c r="G136" s="304" t="s">
        <v>1296</v>
      </c>
      <c r="H136" s="304" t="s">
        <v>1535</v>
      </c>
      <c r="I136" s="359">
        <v>343.5</v>
      </c>
      <c r="J136" s="360"/>
      <c r="K136" s="392">
        <v>343.5</v>
      </c>
      <c r="L136" s="392"/>
      <c r="M136" s="392"/>
      <c r="N136" s="392"/>
      <c r="O136" s="392"/>
      <c r="P136" s="359"/>
      <c r="Q136" s="359">
        <f t="shared" si="21"/>
        <v>343.5</v>
      </c>
      <c r="R136" s="359">
        <v>259.29093</v>
      </c>
      <c r="S136" s="359">
        <v>84.20907</v>
      </c>
      <c r="T136" s="304"/>
      <c r="U136" s="304"/>
      <c r="V136" s="169" t="s">
        <v>1221</v>
      </c>
      <c r="W136" s="169"/>
    </row>
    <row r="137" s="318" customFormat="1" ht="24" customHeight="1" spans="1:23">
      <c r="A137" s="335">
        <v>133</v>
      </c>
      <c r="B137" s="336" t="s">
        <v>880</v>
      </c>
      <c r="C137" s="336" t="s">
        <v>880</v>
      </c>
      <c r="D137" s="304" t="s">
        <v>1532</v>
      </c>
      <c r="E137" s="304" t="s">
        <v>1518</v>
      </c>
      <c r="F137" s="1" t="s">
        <v>1217</v>
      </c>
      <c r="G137" s="304" t="s">
        <v>1296</v>
      </c>
      <c r="H137" s="304" t="s">
        <v>1536</v>
      </c>
      <c r="I137" s="359">
        <v>45</v>
      </c>
      <c r="J137" s="360"/>
      <c r="K137" s="392">
        <v>45</v>
      </c>
      <c r="L137" s="392"/>
      <c r="M137" s="392"/>
      <c r="N137" s="392"/>
      <c r="O137" s="392"/>
      <c r="P137" s="359"/>
      <c r="Q137" s="359">
        <f t="shared" si="21"/>
        <v>45</v>
      </c>
      <c r="R137" s="359">
        <v>26.769958</v>
      </c>
      <c r="S137" s="359">
        <v>12</v>
      </c>
      <c r="T137" s="304"/>
      <c r="U137" s="304" t="s">
        <v>1234</v>
      </c>
      <c r="V137" s="169" t="s">
        <v>1221</v>
      </c>
      <c r="W137" s="169"/>
    </row>
    <row r="138" s="318" customFormat="1" ht="24" customHeight="1" spans="1:23">
      <c r="A138" s="335">
        <v>134</v>
      </c>
      <c r="B138" s="336" t="s">
        <v>880</v>
      </c>
      <c r="C138" s="336" t="s">
        <v>880</v>
      </c>
      <c r="D138" s="304" t="s">
        <v>1532</v>
      </c>
      <c r="E138" s="304" t="s">
        <v>1518</v>
      </c>
      <c r="F138" s="1" t="s">
        <v>1217</v>
      </c>
      <c r="G138" s="304" t="s">
        <v>1296</v>
      </c>
      <c r="H138" s="304" t="s">
        <v>1537</v>
      </c>
      <c r="I138" s="359">
        <v>669.75</v>
      </c>
      <c r="J138" s="360"/>
      <c r="K138" s="392">
        <v>669.75</v>
      </c>
      <c r="L138" s="392"/>
      <c r="M138" s="392"/>
      <c r="N138" s="392"/>
      <c r="O138" s="392"/>
      <c r="P138" s="359"/>
      <c r="Q138" s="359">
        <f t="shared" si="21"/>
        <v>669.75</v>
      </c>
      <c r="R138" s="359">
        <v>300.748408</v>
      </c>
      <c r="S138" s="359">
        <v>369.001592</v>
      </c>
      <c r="T138" s="304"/>
      <c r="U138" s="304"/>
      <c r="V138" s="169" t="s">
        <v>1221</v>
      </c>
      <c r="W138" s="169"/>
    </row>
    <row r="139" s="316" customFormat="1" ht="24" customHeight="1" spans="1:23">
      <c r="A139" s="335">
        <v>135</v>
      </c>
      <c r="B139" s="337"/>
      <c r="C139" s="337"/>
      <c r="D139" s="332"/>
      <c r="E139" s="333" t="s">
        <v>1538</v>
      </c>
      <c r="F139" s="333"/>
      <c r="G139" s="333"/>
      <c r="H139" s="334"/>
      <c r="I139" s="358">
        <f>SUM(I140:I163)</f>
        <v>3081.49</v>
      </c>
      <c r="J139" s="358">
        <f t="shared" ref="J139:S139" si="22">SUM(J140:J163)</f>
        <v>85</v>
      </c>
      <c r="K139" s="358">
        <f t="shared" si="22"/>
        <v>2996.49</v>
      </c>
      <c r="L139" s="358">
        <f t="shared" si="22"/>
        <v>0</v>
      </c>
      <c r="M139" s="358">
        <f t="shared" si="22"/>
        <v>0</v>
      </c>
      <c r="N139" s="358">
        <f t="shared" si="22"/>
        <v>0</v>
      </c>
      <c r="O139" s="358">
        <f t="shared" si="22"/>
        <v>0</v>
      </c>
      <c r="P139" s="358">
        <f t="shared" si="22"/>
        <v>3705.775</v>
      </c>
      <c r="Q139" s="358">
        <f t="shared" si="22"/>
        <v>6787.265</v>
      </c>
      <c r="R139" s="358">
        <f t="shared" si="22"/>
        <v>6330.665971</v>
      </c>
      <c r="S139" s="358">
        <f t="shared" si="22"/>
        <v>2314.17</v>
      </c>
      <c r="T139" s="369"/>
      <c r="U139" s="364"/>
      <c r="V139" s="365"/>
      <c r="W139" s="366"/>
    </row>
    <row r="140" s="315" customFormat="1" ht="24" customHeight="1" spans="1:23">
      <c r="A140" s="335">
        <v>136</v>
      </c>
      <c r="B140" s="336" t="s">
        <v>880</v>
      </c>
      <c r="C140" s="336" t="s">
        <v>880</v>
      </c>
      <c r="D140" s="304" t="s">
        <v>1532</v>
      </c>
      <c r="E140" s="304" t="s">
        <v>1539</v>
      </c>
      <c r="F140" s="1" t="s">
        <v>1217</v>
      </c>
      <c r="G140" s="304" t="s">
        <v>1230</v>
      </c>
      <c r="H140" s="304" t="s">
        <v>1540</v>
      </c>
      <c r="I140" s="359">
        <v>50</v>
      </c>
      <c r="J140" s="360">
        <v>50</v>
      </c>
      <c r="K140" s="359"/>
      <c r="L140" s="359"/>
      <c r="M140" s="359"/>
      <c r="N140" s="359"/>
      <c r="O140" s="359"/>
      <c r="P140" s="359"/>
      <c r="Q140" s="359">
        <f t="shared" ref="Q140:Q146" si="23">I140+P140</f>
        <v>50</v>
      </c>
      <c r="R140" s="359"/>
      <c r="S140" s="359">
        <v>40</v>
      </c>
      <c r="T140" s="304"/>
      <c r="U140" s="304" t="s">
        <v>1541</v>
      </c>
      <c r="V140" s="169" t="s">
        <v>1221</v>
      </c>
      <c r="W140" s="165"/>
    </row>
    <row r="141" s="315" customFormat="1" ht="24" customHeight="1" spans="1:23">
      <c r="A141" s="335">
        <v>137</v>
      </c>
      <c r="B141" s="336"/>
      <c r="C141" s="336" t="s">
        <v>880</v>
      </c>
      <c r="D141" s="304" t="s">
        <v>1542</v>
      </c>
      <c r="E141" s="304" t="s">
        <v>1543</v>
      </c>
      <c r="F141" s="1" t="s">
        <v>1217</v>
      </c>
      <c r="G141" s="304" t="s">
        <v>1230</v>
      </c>
      <c r="H141" s="304" t="s">
        <v>1544</v>
      </c>
      <c r="I141" s="359"/>
      <c r="J141" s="360"/>
      <c r="K141" s="359"/>
      <c r="L141" s="359"/>
      <c r="M141" s="359"/>
      <c r="N141" s="359"/>
      <c r="O141" s="359"/>
      <c r="P141" s="359"/>
      <c r="Q141" s="359">
        <f t="shared" si="23"/>
        <v>0</v>
      </c>
      <c r="R141" s="359">
        <v>95</v>
      </c>
      <c r="S141" s="359"/>
      <c r="T141" s="304" t="s">
        <v>1545</v>
      </c>
      <c r="U141" s="304"/>
      <c r="V141" s="169"/>
      <c r="W141" s="165">
        <v>95</v>
      </c>
    </row>
    <row r="142" s="315" customFormat="1" ht="24" customHeight="1" spans="1:23">
      <c r="A142" s="335">
        <v>138</v>
      </c>
      <c r="B142" s="336"/>
      <c r="C142" s="336" t="s">
        <v>880</v>
      </c>
      <c r="D142" s="304" t="s">
        <v>1542</v>
      </c>
      <c r="E142" s="304" t="s">
        <v>1543</v>
      </c>
      <c r="F142" s="1" t="s">
        <v>1217</v>
      </c>
      <c r="G142" s="304" t="s">
        <v>1230</v>
      </c>
      <c r="H142" s="304" t="s">
        <v>1546</v>
      </c>
      <c r="I142" s="359"/>
      <c r="J142" s="360"/>
      <c r="K142" s="359"/>
      <c r="L142" s="359"/>
      <c r="M142" s="359"/>
      <c r="N142" s="359"/>
      <c r="O142" s="359"/>
      <c r="P142" s="359">
        <v>18.145</v>
      </c>
      <c r="Q142" s="359">
        <f t="shared" si="23"/>
        <v>18.145</v>
      </c>
      <c r="R142" s="359"/>
      <c r="S142" s="359"/>
      <c r="T142" s="304" t="s">
        <v>1547</v>
      </c>
      <c r="U142" s="304"/>
      <c r="V142" s="169"/>
      <c r="W142" s="165"/>
    </row>
    <row r="143" s="315" customFormat="1" ht="24" customHeight="1" spans="1:23">
      <c r="A143" s="335">
        <v>139</v>
      </c>
      <c r="B143" s="336"/>
      <c r="C143" s="336" t="s">
        <v>880</v>
      </c>
      <c r="D143" s="304" t="s">
        <v>1542</v>
      </c>
      <c r="E143" s="304" t="s">
        <v>1543</v>
      </c>
      <c r="F143" s="1" t="s">
        <v>1217</v>
      </c>
      <c r="G143" s="304" t="s">
        <v>1230</v>
      </c>
      <c r="H143" s="304" t="s">
        <v>1548</v>
      </c>
      <c r="I143" s="359"/>
      <c r="J143" s="360"/>
      <c r="K143" s="359"/>
      <c r="L143" s="359"/>
      <c r="M143" s="359"/>
      <c r="N143" s="359"/>
      <c r="O143" s="359"/>
      <c r="P143" s="359">
        <v>17.19</v>
      </c>
      <c r="Q143" s="359">
        <f t="shared" si="23"/>
        <v>17.19</v>
      </c>
      <c r="R143" s="359"/>
      <c r="S143" s="359">
        <v>17.19</v>
      </c>
      <c r="T143" s="304" t="s">
        <v>1549</v>
      </c>
      <c r="U143" s="304"/>
      <c r="V143" s="169"/>
      <c r="W143" s="165"/>
    </row>
    <row r="144" s="315" customFormat="1" ht="24" customHeight="1" spans="1:23">
      <c r="A144" s="335">
        <v>140</v>
      </c>
      <c r="B144" s="336"/>
      <c r="C144" s="345" t="s">
        <v>1288</v>
      </c>
      <c r="D144" s="349" t="s">
        <v>1550</v>
      </c>
      <c r="E144" s="349" t="s">
        <v>1551</v>
      </c>
      <c r="F144" s="348" t="s">
        <v>1217</v>
      </c>
      <c r="G144" s="349" t="s">
        <v>1218</v>
      </c>
      <c r="H144" s="349" t="s">
        <v>1552</v>
      </c>
      <c r="I144" s="361"/>
      <c r="J144" s="360"/>
      <c r="K144" s="359"/>
      <c r="L144" s="359"/>
      <c r="M144" s="359"/>
      <c r="N144" s="359"/>
      <c r="O144" s="359"/>
      <c r="P144" s="361">
        <v>9.73</v>
      </c>
      <c r="Q144" s="361">
        <f t="shared" si="23"/>
        <v>9.73</v>
      </c>
      <c r="R144" s="361">
        <v>0</v>
      </c>
      <c r="S144" s="361">
        <v>9.73</v>
      </c>
      <c r="T144" s="349" t="s">
        <v>1553</v>
      </c>
      <c r="U144" s="304"/>
      <c r="V144" s="169"/>
      <c r="W144" s="165"/>
    </row>
    <row r="145" s="315" customFormat="1" ht="24" customHeight="1" spans="1:23">
      <c r="A145" s="335">
        <v>141</v>
      </c>
      <c r="B145" s="336"/>
      <c r="C145" s="336" t="s">
        <v>1288</v>
      </c>
      <c r="D145" s="304" t="s">
        <v>1532</v>
      </c>
      <c r="E145" s="304" t="s">
        <v>1551</v>
      </c>
      <c r="F145" s="1" t="s">
        <v>1217</v>
      </c>
      <c r="G145" s="304" t="s">
        <v>1218</v>
      </c>
      <c r="H145" s="304" t="s">
        <v>1554</v>
      </c>
      <c r="I145" s="359"/>
      <c r="J145" s="360"/>
      <c r="K145" s="359"/>
      <c r="L145" s="359"/>
      <c r="M145" s="359"/>
      <c r="N145" s="359"/>
      <c r="O145" s="359"/>
      <c r="P145" s="359">
        <v>1800</v>
      </c>
      <c r="Q145" s="359">
        <f t="shared" si="23"/>
        <v>1800</v>
      </c>
      <c r="R145" s="359">
        <v>1350</v>
      </c>
      <c r="S145" s="359">
        <v>450</v>
      </c>
      <c r="T145" s="304" t="s">
        <v>1555</v>
      </c>
      <c r="U145" s="304"/>
      <c r="V145" s="169"/>
      <c r="W145" s="165"/>
    </row>
    <row r="146" s="315" customFormat="1" ht="24" customHeight="1" spans="1:23">
      <c r="A146" s="335">
        <v>143</v>
      </c>
      <c r="B146" s="336" t="s">
        <v>880</v>
      </c>
      <c r="C146" s="336" t="s">
        <v>880</v>
      </c>
      <c r="D146" s="304" t="s">
        <v>1556</v>
      </c>
      <c r="E146" s="304" t="s">
        <v>1557</v>
      </c>
      <c r="F146" s="1" t="s">
        <v>1217</v>
      </c>
      <c r="G146" s="304" t="s">
        <v>1230</v>
      </c>
      <c r="H146" s="304" t="s">
        <v>1558</v>
      </c>
      <c r="I146" s="359">
        <v>25</v>
      </c>
      <c r="J146" s="360">
        <v>25</v>
      </c>
      <c r="K146" s="359"/>
      <c r="L146" s="359"/>
      <c r="M146" s="359"/>
      <c r="N146" s="359"/>
      <c r="O146" s="359"/>
      <c r="P146" s="359">
        <v>-25</v>
      </c>
      <c r="Q146" s="359">
        <f t="shared" ref="Q146:Q163" si="24">I146+P146</f>
        <v>0</v>
      </c>
      <c r="R146" s="359"/>
      <c r="S146" s="359"/>
      <c r="T146" s="304" t="s">
        <v>1559</v>
      </c>
      <c r="U146" s="368" t="s">
        <v>1560</v>
      </c>
      <c r="V146" s="169" t="s">
        <v>1221</v>
      </c>
      <c r="W146" s="165"/>
    </row>
    <row r="147" s="315" customFormat="1" ht="24" customHeight="1" spans="1:23">
      <c r="A147" s="335">
        <v>144</v>
      </c>
      <c r="B147" s="336" t="s">
        <v>880</v>
      </c>
      <c r="C147" s="336" t="s">
        <v>880</v>
      </c>
      <c r="D147" s="304" t="s">
        <v>1561</v>
      </c>
      <c r="E147" s="304" t="s">
        <v>1557</v>
      </c>
      <c r="F147" s="1" t="s">
        <v>1217</v>
      </c>
      <c r="G147" s="304" t="s">
        <v>1296</v>
      </c>
      <c r="H147" s="304" t="s">
        <v>1562</v>
      </c>
      <c r="I147" s="359">
        <v>1519.86</v>
      </c>
      <c r="J147" s="360"/>
      <c r="K147" s="359">
        <v>1519.86</v>
      </c>
      <c r="L147" s="359"/>
      <c r="M147" s="359"/>
      <c r="N147" s="359"/>
      <c r="O147" s="359"/>
      <c r="P147" s="359">
        <v>-1519.86</v>
      </c>
      <c r="Q147" s="359">
        <f t="shared" si="24"/>
        <v>0</v>
      </c>
      <c r="R147" s="359">
        <v>142.9107</v>
      </c>
      <c r="S147" s="359"/>
      <c r="T147" s="304"/>
      <c r="U147" s="304" t="s">
        <v>1563</v>
      </c>
      <c r="V147" s="169" t="s">
        <v>1221</v>
      </c>
      <c r="W147" s="169">
        <v>1519.86</v>
      </c>
    </row>
    <row r="148" s="315" customFormat="1" ht="24" customHeight="1" spans="1:23">
      <c r="A148" s="335">
        <v>145</v>
      </c>
      <c r="B148" s="336" t="s">
        <v>880</v>
      </c>
      <c r="C148" s="336" t="s">
        <v>880</v>
      </c>
      <c r="D148" s="304" t="s">
        <v>1561</v>
      </c>
      <c r="E148" s="304" t="s">
        <v>1557</v>
      </c>
      <c r="F148" s="1" t="s">
        <v>1217</v>
      </c>
      <c r="G148" s="304" t="s">
        <v>1296</v>
      </c>
      <c r="H148" s="304" t="s">
        <v>1564</v>
      </c>
      <c r="I148" s="359">
        <v>1393.08</v>
      </c>
      <c r="J148" s="360"/>
      <c r="K148" s="359">
        <v>1393.08</v>
      </c>
      <c r="L148" s="359"/>
      <c r="M148" s="359"/>
      <c r="N148" s="359"/>
      <c r="O148" s="359"/>
      <c r="P148" s="359">
        <v>-1393.08</v>
      </c>
      <c r="Q148" s="359">
        <f t="shared" si="24"/>
        <v>0</v>
      </c>
      <c r="R148" s="359">
        <v>997.247221</v>
      </c>
      <c r="S148" s="359"/>
      <c r="T148" s="304"/>
      <c r="U148" s="368" t="s">
        <v>1565</v>
      </c>
      <c r="V148" s="169" t="s">
        <v>1221</v>
      </c>
      <c r="W148" s="169">
        <v>1393.08</v>
      </c>
    </row>
    <row r="149" s="318" customFormat="1" ht="36" spans="1:24">
      <c r="A149" s="335">
        <v>146</v>
      </c>
      <c r="B149" s="336" t="s">
        <v>856</v>
      </c>
      <c r="C149" s="336" t="s">
        <v>880</v>
      </c>
      <c r="D149" s="304" t="s">
        <v>1566</v>
      </c>
      <c r="E149" s="304" t="s">
        <v>1557</v>
      </c>
      <c r="F149" s="1" t="s">
        <v>1217</v>
      </c>
      <c r="G149" s="304" t="s">
        <v>1230</v>
      </c>
      <c r="H149" s="304" t="s">
        <v>1567</v>
      </c>
      <c r="I149" s="359">
        <v>78.15</v>
      </c>
      <c r="J149" s="360"/>
      <c r="K149" s="359">
        <f>78.15</f>
        <v>78.15</v>
      </c>
      <c r="L149" s="359"/>
      <c r="M149" s="359"/>
      <c r="N149" s="359"/>
      <c r="O149" s="359"/>
      <c r="P149" s="359">
        <f>83.27-161.42</f>
        <v>-78.15</v>
      </c>
      <c r="Q149" s="359">
        <f t="shared" si="24"/>
        <v>0</v>
      </c>
      <c r="R149" s="359">
        <v>88.24</v>
      </c>
      <c r="S149" s="359"/>
      <c r="T149" s="304" t="s">
        <v>1568</v>
      </c>
      <c r="U149" s="368" t="s">
        <v>1569</v>
      </c>
      <c r="V149" s="169" t="s">
        <v>1221</v>
      </c>
      <c r="W149" s="169">
        <v>161.42</v>
      </c>
      <c r="X149" s="315"/>
    </row>
    <row r="150" s="318" customFormat="1" ht="60" spans="1:24">
      <c r="A150" s="335">
        <v>147</v>
      </c>
      <c r="B150" s="336"/>
      <c r="C150" s="336" t="s">
        <v>880</v>
      </c>
      <c r="D150" s="304" t="s">
        <v>1542</v>
      </c>
      <c r="E150" s="304" t="s">
        <v>1570</v>
      </c>
      <c r="F150" s="1" t="s">
        <v>1217</v>
      </c>
      <c r="G150" s="304" t="s">
        <v>1230</v>
      </c>
      <c r="H150" s="304" t="s">
        <v>1571</v>
      </c>
      <c r="I150" s="359"/>
      <c r="J150" s="360"/>
      <c r="K150" s="359"/>
      <c r="L150" s="359"/>
      <c r="M150" s="359"/>
      <c r="N150" s="359"/>
      <c r="O150" s="359"/>
      <c r="P150" s="359"/>
      <c r="Q150" s="359">
        <f t="shared" si="24"/>
        <v>0</v>
      </c>
      <c r="R150" s="359">
        <v>599.966</v>
      </c>
      <c r="S150" s="359"/>
      <c r="T150" s="304" t="s">
        <v>1572</v>
      </c>
      <c r="U150" s="304"/>
      <c r="V150" s="169"/>
      <c r="W150" s="165">
        <v>1419.8623</v>
      </c>
      <c r="X150" s="315"/>
    </row>
    <row r="151" s="315" customFormat="1" ht="24" customHeight="1" spans="1:23">
      <c r="A151" s="335">
        <v>148</v>
      </c>
      <c r="B151" s="336" t="s">
        <v>880</v>
      </c>
      <c r="C151" s="336" t="s">
        <v>880</v>
      </c>
      <c r="D151" s="304" t="s">
        <v>1573</v>
      </c>
      <c r="E151" s="304" t="s">
        <v>1574</v>
      </c>
      <c r="F151" s="1" t="s">
        <v>1217</v>
      </c>
      <c r="G151" s="304" t="s">
        <v>1296</v>
      </c>
      <c r="H151" s="304" t="s">
        <v>1575</v>
      </c>
      <c r="I151" s="359">
        <v>5.4</v>
      </c>
      <c r="J151" s="360"/>
      <c r="K151" s="359">
        <v>5.4</v>
      </c>
      <c r="L151" s="359"/>
      <c r="M151" s="359"/>
      <c r="N151" s="359"/>
      <c r="O151" s="359"/>
      <c r="P151" s="359"/>
      <c r="Q151" s="359">
        <f t="shared" si="24"/>
        <v>5.4</v>
      </c>
      <c r="R151" s="359">
        <v>1.35</v>
      </c>
      <c r="S151" s="359"/>
      <c r="T151" s="304"/>
      <c r="U151" s="304" t="s">
        <v>1576</v>
      </c>
      <c r="V151" s="169" t="s">
        <v>1221</v>
      </c>
      <c r="W151" s="165"/>
    </row>
    <row r="152" s="315" customFormat="1" ht="24" customHeight="1" spans="1:23">
      <c r="A152" s="335">
        <v>149</v>
      </c>
      <c r="B152" s="336" t="s">
        <v>880</v>
      </c>
      <c r="C152" s="336" t="s">
        <v>880</v>
      </c>
      <c r="D152" s="304" t="s">
        <v>1542</v>
      </c>
      <c r="E152" s="304" t="s">
        <v>1574</v>
      </c>
      <c r="F152" s="1" t="s">
        <v>1217</v>
      </c>
      <c r="G152" s="304" t="s">
        <v>1230</v>
      </c>
      <c r="H152" s="304" t="s">
        <v>1577</v>
      </c>
      <c r="I152" s="359">
        <v>10</v>
      </c>
      <c r="J152" s="360">
        <v>10</v>
      </c>
      <c r="K152" s="359"/>
      <c r="L152" s="359"/>
      <c r="M152" s="359"/>
      <c r="N152" s="359"/>
      <c r="O152" s="359"/>
      <c r="P152" s="359"/>
      <c r="Q152" s="359">
        <f t="shared" si="24"/>
        <v>10</v>
      </c>
      <c r="R152" s="359"/>
      <c r="S152" s="359"/>
      <c r="T152" s="304"/>
      <c r="U152" s="304" t="s">
        <v>1578</v>
      </c>
      <c r="V152" s="169" t="s">
        <v>1221</v>
      </c>
      <c r="W152" s="165"/>
    </row>
    <row r="153" s="315" customFormat="1" ht="24" spans="1:23">
      <c r="A153" s="335">
        <v>150</v>
      </c>
      <c r="B153" s="336"/>
      <c r="C153" s="336" t="s">
        <v>880</v>
      </c>
      <c r="D153" s="304" t="s">
        <v>1579</v>
      </c>
      <c r="E153" s="304" t="s">
        <v>1574</v>
      </c>
      <c r="F153" s="1" t="s">
        <v>1217</v>
      </c>
      <c r="G153" s="304" t="s">
        <v>1230</v>
      </c>
      <c r="H153" s="304" t="s">
        <v>1580</v>
      </c>
      <c r="I153" s="359"/>
      <c r="J153" s="360"/>
      <c r="K153" s="359"/>
      <c r="L153" s="359"/>
      <c r="M153" s="359"/>
      <c r="N153" s="359"/>
      <c r="O153" s="359"/>
      <c r="P153" s="359">
        <v>43.7</v>
      </c>
      <c r="Q153" s="359">
        <f t="shared" si="24"/>
        <v>43.7</v>
      </c>
      <c r="R153" s="359">
        <v>35.92</v>
      </c>
      <c r="S153" s="359"/>
      <c r="T153" s="304" t="s">
        <v>1581</v>
      </c>
      <c r="U153" s="304"/>
      <c r="V153" s="169"/>
      <c r="W153" s="165"/>
    </row>
    <row r="154" s="315" customFormat="1" ht="24" customHeight="1" spans="1:23">
      <c r="A154" s="335">
        <v>151</v>
      </c>
      <c r="B154" s="336"/>
      <c r="C154" s="336" t="s">
        <v>1227</v>
      </c>
      <c r="D154" s="304" t="s">
        <v>1349</v>
      </c>
      <c r="E154" s="304" t="s">
        <v>1574</v>
      </c>
      <c r="F154" s="1" t="s">
        <v>1217</v>
      </c>
      <c r="G154" s="304" t="s">
        <v>1230</v>
      </c>
      <c r="H154" s="304" t="s">
        <v>1582</v>
      </c>
      <c r="I154" s="359"/>
      <c r="J154" s="360"/>
      <c r="K154" s="359"/>
      <c r="L154" s="359"/>
      <c r="M154" s="359"/>
      <c r="N154" s="359"/>
      <c r="O154" s="359"/>
      <c r="P154" s="359">
        <v>5</v>
      </c>
      <c r="Q154" s="359">
        <f t="shared" si="24"/>
        <v>5</v>
      </c>
      <c r="R154" s="359">
        <v>5</v>
      </c>
      <c r="S154" s="359"/>
      <c r="T154" s="304" t="s">
        <v>1276</v>
      </c>
      <c r="U154" s="368"/>
      <c r="V154" s="169"/>
      <c r="W154" s="165"/>
    </row>
    <row r="155" s="315" customFormat="1" ht="24" customHeight="1" spans="1:23">
      <c r="A155" s="335">
        <v>152</v>
      </c>
      <c r="B155" s="336"/>
      <c r="C155" s="336" t="s">
        <v>1227</v>
      </c>
      <c r="D155" s="304" t="s">
        <v>1583</v>
      </c>
      <c r="E155" s="304" t="s">
        <v>1574</v>
      </c>
      <c r="F155" s="1" t="s">
        <v>1217</v>
      </c>
      <c r="G155" s="304" t="s">
        <v>1230</v>
      </c>
      <c r="H155" s="304" t="s">
        <v>1584</v>
      </c>
      <c r="I155" s="359"/>
      <c r="J155" s="360"/>
      <c r="K155" s="359"/>
      <c r="L155" s="359"/>
      <c r="M155" s="359"/>
      <c r="N155" s="359"/>
      <c r="O155" s="359"/>
      <c r="P155" s="359">
        <v>15.85</v>
      </c>
      <c r="Q155" s="359">
        <f t="shared" si="24"/>
        <v>15.85</v>
      </c>
      <c r="R155" s="359">
        <v>0</v>
      </c>
      <c r="S155" s="359"/>
      <c r="T155" s="304" t="s">
        <v>1276</v>
      </c>
      <c r="U155" s="368"/>
      <c r="V155" s="169"/>
      <c r="W155" s="165"/>
    </row>
    <row r="156" s="315" customFormat="1" ht="24" customHeight="1" spans="1:23">
      <c r="A156" s="335">
        <v>153</v>
      </c>
      <c r="B156" s="336"/>
      <c r="C156" s="336" t="s">
        <v>1227</v>
      </c>
      <c r="D156" s="304" t="s">
        <v>1585</v>
      </c>
      <c r="E156" s="304" t="s">
        <v>1574</v>
      </c>
      <c r="F156" s="1" t="s">
        <v>1217</v>
      </c>
      <c r="G156" s="304" t="s">
        <v>1230</v>
      </c>
      <c r="H156" s="304" t="s">
        <v>1586</v>
      </c>
      <c r="I156" s="359"/>
      <c r="J156" s="360"/>
      <c r="K156" s="359"/>
      <c r="L156" s="359"/>
      <c r="M156" s="359"/>
      <c r="N156" s="359"/>
      <c r="O156" s="359"/>
      <c r="P156" s="359"/>
      <c r="Q156" s="359">
        <f t="shared" si="24"/>
        <v>0</v>
      </c>
      <c r="R156" s="359">
        <v>0</v>
      </c>
      <c r="S156" s="359"/>
      <c r="T156" s="304" t="s">
        <v>1276</v>
      </c>
      <c r="U156" s="368"/>
      <c r="V156" s="169"/>
      <c r="W156" s="165">
        <v>118</v>
      </c>
    </row>
    <row r="157" s="315" customFormat="1" ht="24" customHeight="1" spans="1:23">
      <c r="A157" s="335">
        <v>154</v>
      </c>
      <c r="B157" s="336"/>
      <c r="C157" s="336" t="s">
        <v>1227</v>
      </c>
      <c r="D157" s="304" t="s">
        <v>1542</v>
      </c>
      <c r="E157" s="304" t="s">
        <v>1574</v>
      </c>
      <c r="F157" s="1" t="s">
        <v>1217</v>
      </c>
      <c r="G157" s="304" t="s">
        <v>1230</v>
      </c>
      <c r="H157" s="304" t="s">
        <v>1587</v>
      </c>
      <c r="I157" s="359"/>
      <c r="J157" s="360"/>
      <c r="K157" s="359"/>
      <c r="L157" s="359"/>
      <c r="M157" s="359"/>
      <c r="N157" s="359"/>
      <c r="O157" s="359"/>
      <c r="P157" s="359"/>
      <c r="Q157" s="359">
        <f t="shared" si="24"/>
        <v>0</v>
      </c>
      <c r="R157" s="359">
        <v>0</v>
      </c>
      <c r="S157" s="359"/>
      <c r="T157" s="304" t="s">
        <v>1276</v>
      </c>
      <c r="U157" s="368"/>
      <c r="V157" s="169"/>
      <c r="W157" s="165">
        <v>503.4416</v>
      </c>
    </row>
    <row r="158" s="315" customFormat="1" ht="24" customHeight="1" spans="1:23">
      <c r="A158" s="335">
        <v>155</v>
      </c>
      <c r="B158" s="336"/>
      <c r="C158" s="336" t="s">
        <v>1227</v>
      </c>
      <c r="D158" s="304" t="s">
        <v>1274</v>
      </c>
      <c r="E158" s="304" t="s">
        <v>1574</v>
      </c>
      <c r="F158" s="1" t="s">
        <v>1217</v>
      </c>
      <c r="G158" s="304" t="s">
        <v>1230</v>
      </c>
      <c r="H158" s="304" t="s">
        <v>1588</v>
      </c>
      <c r="I158" s="359"/>
      <c r="J158" s="360"/>
      <c r="K158" s="359"/>
      <c r="L158" s="359"/>
      <c r="M158" s="359"/>
      <c r="N158" s="359"/>
      <c r="O158" s="359"/>
      <c r="P158" s="359"/>
      <c r="Q158" s="359">
        <f t="shared" si="24"/>
        <v>0</v>
      </c>
      <c r="R158" s="359">
        <v>260.03205</v>
      </c>
      <c r="S158" s="359"/>
      <c r="T158" s="304" t="s">
        <v>1276</v>
      </c>
      <c r="U158" s="368"/>
      <c r="V158" s="169"/>
      <c r="W158" s="165">
        <v>260.03205</v>
      </c>
    </row>
    <row r="159" s="315" customFormat="1" ht="24" customHeight="1" spans="1:23">
      <c r="A159" s="335">
        <v>156</v>
      </c>
      <c r="B159" s="336"/>
      <c r="C159" s="345" t="s">
        <v>1288</v>
      </c>
      <c r="D159" s="349" t="s">
        <v>1506</v>
      </c>
      <c r="E159" s="349" t="s">
        <v>1574</v>
      </c>
      <c r="F159" s="348" t="s">
        <v>1217</v>
      </c>
      <c r="G159" s="349" t="s">
        <v>1218</v>
      </c>
      <c r="H159" s="349" t="s">
        <v>1589</v>
      </c>
      <c r="I159" s="361"/>
      <c r="J159" s="360"/>
      <c r="K159" s="359"/>
      <c r="L159" s="359"/>
      <c r="M159" s="359"/>
      <c r="N159" s="359"/>
      <c r="O159" s="359"/>
      <c r="P159" s="361">
        <f>1519.25-1500</f>
        <v>19.25</v>
      </c>
      <c r="Q159" s="361">
        <f t="shared" si="24"/>
        <v>19.25</v>
      </c>
      <c r="R159" s="361">
        <v>0</v>
      </c>
      <c r="S159" s="361">
        <v>19.25</v>
      </c>
      <c r="T159" s="349" t="s">
        <v>1590</v>
      </c>
      <c r="U159" s="368"/>
      <c r="V159" s="169"/>
      <c r="W159" s="165"/>
    </row>
    <row r="160" s="315" customFormat="1" ht="24" customHeight="1" spans="1:23">
      <c r="A160" s="335">
        <v>157</v>
      </c>
      <c r="B160" s="336"/>
      <c r="C160" s="336" t="s">
        <v>1288</v>
      </c>
      <c r="D160" s="304" t="s">
        <v>1591</v>
      </c>
      <c r="E160" s="304" t="s">
        <v>1574</v>
      </c>
      <c r="F160" s="1" t="s">
        <v>1217</v>
      </c>
      <c r="G160" s="304" t="s">
        <v>1218</v>
      </c>
      <c r="H160" s="304" t="s">
        <v>1592</v>
      </c>
      <c r="I160" s="359"/>
      <c r="J160" s="360"/>
      <c r="K160" s="359"/>
      <c r="L160" s="359"/>
      <c r="M160" s="359"/>
      <c r="N160" s="359"/>
      <c r="O160" s="359"/>
      <c r="P160" s="359">
        <v>1000</v>
      </c>
      <c r="Q160" s="359">
        <f t="shared" si="24"/>
        <v>1000</v>
      </c>
      <c r="R160" s="359">
        <v>1000</v>
      </c>
      <c r="S160" s="359"/>
      <c r="T160" s="304" t="s">
        <v>1593</v>
      </c>
      <c r="U160" s="368"/>
      <c r="V160" s="169"/>
      <c r="W160" s="165"/>
    </row>
    <row r="161" s="315" customFormat="1" ht="24" customHeight="1" spans="1:23">
      <c r="A161" s="335">
        <v>158</v>
      </c>
      <c r="B161" s="336"/>
      <c r="C161" s="336" t="s">
        <v>1288</v>
      </c>
      <c r="D161" s="304" t="s">
        <v>1591</v>
      </c>
      <c r="E161" s="304" t="s">
        <v>1574</v>
      </c>
      <c r="F161" s="1" t="s">
        <v>1217</v>
      </c>
      <c r="G161" s="304" t="s">
        <v>1218</v>
      </c>
      <c r="H161" s="304" t="s">
        <v>1594</v>
      </c>
      <c r="I161" s="359"/>
      <c r="J161" s="360"/>
      <c r="K161" s="359"/>
      <c r="L161" s="359"/>
      <c r="M161" s="359"/>
      <c r="N161" s="359"/>
      <c r="O161" s="359"/>
      <c r="P161" s="359">
        <v>1300</v>
      </c>
      <c r="Q161" s="359">
        <f t="shared" si="24"/>
        <v>1300</v>
      </c>
      <c r="R161" s="359">
        <v>0</v>
      </c>
      <c r="S161" s="359">
        <v>1300</v>
      </c>
      <c r="T161" s="304" t="s">
        <v>1595</v>
      </c>
      <c r="U161" s="368"/>
      <c r="V161" s="169"/>
      <c r="W161" s="165"/>
    </row>
    <row r="162" s="315" customFormat="1" ht="24" customHeight="1" spans="1:23">
      <c r="A162" s="335">
        <v>159</v>
      </c>
      <c r="B162" s="336"/>
      <c r="C162" s="336" t="s">
        <v>1288</v>
      </c>
      <c r="D162" s="304" t="s">
        <v>1591</v>
      </c>
      <c r="E162" s="304" t="s">
        <v>1574</v>
      </c>
      <c r="F162" s="1" t="s">
        <v>1217</v>
      </c>
      <c r="G162" s="304" t="s">
        <v>1218</v>
      </c>
      <c r="H162" s="304" t="s">
        <v>1596</v>
      </c>
      <c r="I162" s="359"/>
      <c r="J162" s="360"/>
      <c r="K162" s="359"/>
      <c r="L162" s="359"/>
      <c r="M162" s="359"/>
      <c r="N162" s="359"/>
      <c r="O162" s="359"/>
      <c r="P162" s="359">
        <v>260</v>
      </c>
      <c r="Q162" s="359">
        <f t="shared" si="24"/>
        <v>260</v>
      </c>
      <c r="R162" s="359"/>
      <c r="S162" s="359"/>
      <c r="T162" s="304" t="s">
        <v>1273</v>
      </c>
      <c r="U162" s="368"/>
      <c r="V162" s="169"/>
      <c r="W162" s="165"/>
    </row>
    <row r="163" s="315" customFormat="1" ht="24" customHeight="1" spans="1:23">
      <c r="A163" s="335">
        <v>160</v>
      </c>
      <c r="B163" s="336"/>
      <c r="C163" s="336" t="s">
        <v>1288</v>
      </c>
      <c r="D163" s="304" t="s">
        <v>1591</v>
      </c>
      <c r="E163" s="304" t="s">
        <v>1574</v>
      </c>
      <c r="F163" s="1" t="s">
        <v>1217</v>
      </c>
      <c r="G163" s="304" t="s">
        <v>1218</v>
      </c>
      <c r="H163" s="304" t="s">
        <v>1597</v>
      </c>
      <c r="I163" s="359"/>
      <c r="J163" s="360"/>
      <c r="K163" s="359"/>
      <c r="L163" s="359"/>
      <c r="M163" s="359"/>
      <c r="N163" s="359"/>
      <c r="O163" s="359"/>
      <c r="P163" s="359">
        <v>2233</v>
      </c>
      <c r="Q163" s="359">
        <f t="shared" si="24"/>
        <v>2233</v>
      </c>
      <c r="R163" s="359">
        <v>1755</v>
      </c>
      <c r="S163" s="359">
        <v>478</v>
      </c>
      <c r="T163" s="304" t="s">
        <v>1598</v>
      </c>
      <c r="U163" s="368"/>
      <c r="V163" s="169"/>
      <c r="W163" s="165"/>
    </row>
    <row r="164" s="316" customFormat="1" ht="24" customHeight="1" spans="1:23">
      <c r="A164" s="335">
        <v>161</v>
      </c>
      <c r="B164" s="337"/>
      <c r="C164" s="337"/>
      <c r="D164" s="332"/>
      <c r="E164" s="333" t="s">
        <v>1599</v>
      </c>
      <c r="F164" s="333"/>
      <c r="G164" s="333"/>
      <c r="H164" s="334"/>
      <c r="I164" s="358">
        <f>SUM(I165:I237)</f>
        <v>4117.65</v>
      </c>
      <c r="J164" s="358">
        <f t="shared" ref="J164:S164" si="25">SUM(J165:J237)</f>
        <v>3595.8495</v>
      </c>
      <c r="K164" s="358">
        <f t="shared" si="25"/>
        <v>521.8</v>
      </c>
      <c r="L164" s="358">
        <f t="shared" si="25"/>
        <v>0</v>
      </c>
      <c r="M164" s="358">
        <f t="shared" si="25"/>
        <v>0</v>
      </c>
      <c r="N164" s="358">
        <f t="shared" si="25"/>
        <v>0</v>
      </c>
      <c r="O164" s="358">
        <f t="shared" si="25"/>
        <v>0</v>
      </c>
      <c r="P164" s="358">
        <f t="shared" si="25"/>
        <v>3354.11</v>
      </c>
      <c r="Q164" s="358">
        <f t="shared" si="25"/>
        <v>7471.76</v>
      </c>
      <c r="R164" s="358">
        <f t="shared" si="25"/>
        <v>3710.46235</v>
      </c>
      <c r="S164" s="358">
        <f t="shared" si="25"/>
        <v>6156.5</v>
      </c>
      <c r="T164" s="369"/>
      <c r="U164" s="364"/>
      <c r="V164" s="365"/>
      <c r="W164" s="366"/>
    </row>
    <row r="165" s="315" customFormat="1" ht="27" customHeight="1" spans="1:23">
      <c r="A165" s="335">
        <v>179</v>
      </c>
      <c r="B165" s="336" t="s">
        <v>1135</v>
      </c>
      <c r="C165" s="336" t="s">
        <v>1135</v>
      </c>
      <c r="D165" s="304" t="s">
        <v>1517</v>
      </c>
      <c r="E165" s="304" t="s">
        <v>1600</v>
      </c>
      <c r="F165" s="1" t="s">
        <v>1217</v>
      </c>
      <c r="G165" s="304" t="s">
        <v>1230</v>
      </c>
      <c r="H165" s="304" t="s">
        <v>1601</v>
      </c>
      <c r="I165" s="359">
        <v>25</v>
      </c>
      <c r="J165" s="360">
        <v>25</v>
      </c>
      <c r="K165" s="359"/>
      <c r="L165" s="359"/>
      <c r="M165" s="359"/>
      <c r="N165" s="359"/>
      <c r="O165" s="359"/>
      <c r="P165" s="359"/>
      <c r="Q165" s="359">
        <f t="shared" ref="Q165:Q228" si="26">I165+P165</f>
        <v>25</v>
      </c>
      <c r="R165" s="359"/>
      <c r="S165" s="359">
        <v>12</v>
      </c>
      <c r="T165" s="304"/>
      <c r="U165" s="304" t="s">
        <v>1602</v>
      </c>
      <c r="V165" s="169" t="s">
        <v>1221</v>
      </c>
      <c r="W165" s="165"/>
    </row>
    <row r="166" s="315" customFormat="1" ht="27" customHeight="1" spans="1:23">
      <c r="A166" s="335">
        <v>180</v>
      </c>
      <c r="B166" s="336" t="s">
        <v>1135</v>
      </c>
      <c r="C166" s="336" t="s">
        <v>1135</v>
      </c>
      <c r="D166" s="304" t="s">
        <v>1603</v>
      </c>
      <c r="E166" s="304" t="s">
        <v>1600</v>
      </c>
      <c r="F166" s="1" t="s">
        <v>1217</v>
      </c>
      <c r="G166" s="304" t="s">
        <v>1230</v>
      </c>
      <c r="H166" s="304" t="s">
        <v>1604</v>
      </c>
      <c r="I166" s="359">
        <v>80</v>
      </c>
      <c r="J166" s="360">
        <v>80</v>
      </c>
      <c r="K166" s="359"/>
      <c r="L166" s="359"/>
      <c r="M166" s="359"/>
      <c r="N166" s="359"/>
      <c r="O166" s="359"/>
      <c r="P166" s="359">
        <f>100-180</f>
        <v>-80</v>
      </c>
      <c r="Q166" s="359">
        <f t="shared" si="26"/>
        <v>0</v>
      </c>
      <c r="R166" s="359"/>
      <c r="S166" s="359">
        <v>180</v>
      </c>
      <c r="T166" s="304" t="s">
        <v>1605</v>
      </c>
      <c r="U166" s="304" t="s">
        <v>1606</v>
      </c>
      <c r="V166" s="169" t="s">
        <v>1221</v>
      </c>
      <c r="W166" s="165">
        <v>180</v>
      </c>
    </row>
    <row r="167" s="315" customFormat="1" ht="48" spans="1:23">
      <c r="A167" s="335">
        <v>181</v>
      </c>
      <c r="B167" s="336"/>
      <c r="C167" s="336" t="s">
        <v>1135</v>
      </c>
      <c r="D167" s="304" t="s">
        <v>1517</v>
      </c>
      <c r="E167" s="304" t="s">
        <v>1600</v>
      </c>
      <c r="F167" s="1" t="s">
        <v>1217</v>
      </c>
      <c r="G167" s="304" t="s">
        <v>1296</v>
      </c>
      <c r="H167" s="304" t="s">
        <v>1607</v>
      </c>
      <c r="I167" s="359"/>
      <c r="J167" s="360"/>
      <c r="K167" s="359"/>
      <c r="L167" s="359"/>
      <c r="M167" s="359"/>
      <c r="N167" s="359"/>
      <c r="O167" s="359"/>
      <c r="P167" s="359"/>
      <c r="Q167" s="359">
        <f t="shared" si="26"/>
        <v>0</v>
      </c>
      <c r="R167" s="359">
        <v>447.1</v>
      </c>
      <c r="S167" s="359">
        <v>149.7</v>
      </c>
      <c r="T167" s="304" t="s">
        <v>1608</v>
      </c>
      <c r="U167" s="304"/>
      <c r="V167" s="169"/>
      <c r="W167" s="165">
        <v>596.8</v>
      </c>
    </row>
    <row r="168" s="315" customFormat="1" ht="34" customHeight="1" spans="1:23">
      <c r="A168" s="335">
        <v>182</v>
      </c>
      <c r="B168" s="336"/>
      <c r="C168" s="336" t="s">
        <v>1135</v>
      </c>
      <c r="D168" s="304" t="s">
        <v>1517</v>
      </c>
      <c r="E168" s="304" t="s">
        <v>1600</v>
      </c>
      <c r="F168" s="1" t="s">
        <v>1217</v>
      </c>
      <c r="G168" s="304" t="s">
        <v>1218</v>
      </c>
      <c r="H168" s="304" t="s">
        <v>1609</v>
      </c>
      <c r="I168" s="359"/>
      <c r="J168" s="360"/>
      <c r="K168" s="359"/>
      <c r="L168" s="359"/>
      <c r="M168" s="359"/>
      <c r="N168" s="359"/>
      <c r="O168" s="359"/>
      <c r="P168" s="359">
        <v>10</v>
      </c>
      <c r="Q168" s="359">
        <f t="shared" si="26"/>
        <v>10</v>
      </c>
      <c r="R168" s="359"/>
      <c r="S168" s="359"/>
      <c r="T168" s="304" t="s">
        <v>1610</v>
      </c>
      <c r="U168" s="304"/>
      <c r="V168" s="169"/>
      <c r="W168" s="165"/>
    </row>
    <row r="169" s="315" customFormat="1" ht="34" customHeight="1" spans="1:23">
      <c r="A169" s="335">
        <v>183</v>
      </c>
      <c r="B169" s="343" t="s">
        <v>1117</v>
      </c>
      <c r="C169" s="343" t="s">
        <v>1117</v>
      </c>
      <c r="D169" s="1" t="s">
        <v>1611</v>
      </c>
      <c r="E169" s="1" t="s">
        <v>1612</v>
      </c>
      <c r="F169" s="1" t="s">
        <v>1217</v>
      </c>
      <c r="G169" s="304" t="s">
        <v>1230</v>
      </c>
      <c r="H169" s="304" t="s">
        <v>1613</v>
      </c>
      <c r="I169" s="359">
        <v>4.31</v>
      </c>
      <c r="J169" s="360">
        <v>4.3095</v>
      </c>
      <c r="K169" s="359"/>
      <c r="L169" s="359"/>
      <c r="M169" s="359"/>
      <c r="N169" s="359"/>
      <c r="O169" s="359"/>
      <c r="P169" s="359"/>
      <c r="Q169" s="359">
        <f t="shared" si="26"/>
        <v>4.31</v>
      </c>
      <c r="R169" s="359"/>
      <c r="S169" s="359"/>
      <c r="T169" s="304"/>
      <c r="U169" s="304"/>
      <c r="V169" s="169" t="s">
        <v>1221</v>
      </c>
      <c r="W169" s="165"/>
    </row>
    <row r="170" s="315" customFormat="1" ht="34" customHeight="1" spans="1:23">
      <c r="A170" s="335">
        <v>162</v>
      </c>
      <c r="B170" s="343" t="s">
        <v>1117</v>
      </c>
      <c r="C170" s="343" t="s">
        <v>1117</v>
      </c>
      <c r="D170" s="1" t="s">
        <v>1614</v>
      </c>
      <c r="E170" s="1" t="s">
        <v>1615</v>
      </c>
      <c r="F170" s="1" t="s">
        <v>1217</v>
      </c>
      <c r="G170" s="304" t="s">
        <v>1296</v>
      </c>
      <c r="H170" s="304" t="s">
        <v>1616</v>
      </c>
      <c r="I170" s="359">
        <v>13.3</v>
      </c>
      <c r="J170" s="393"/>
      <c r="K170" s="385">
        <v>13.3</v>
      </c>
      <c r="L170" s="359"/>
      <c r="M170" s="359"/>
      <c r="N170" s="359"/>
      <c r="O170" s="359"/>
      <c r="P170" s="359"/>
      <c r="Q170" s="359">
        <f t="shared" si="26"/>
        <v>13.3</v>
      </c>
      <c r="R170" s="359"/>
      <c r="S170" s="359"/>
      <c r="T170" s="304"/>
      <c r="U170" s="304" t="s">
        <v>1617</v>
      </c>
      <c r="V170" s="169" t="s">
        <v>1221</v>
      </c>
      <c r="W170" s="165"/>
    </row>
    <row r="171" s="315" customFormat="1" ht="27" customHeight="1" spans="1:23">
      <c r="A171" s="335">
        <v>163</v>
      </c>
      <c r="B171" s="343" t="s">
        <v>1117</v>
      </c>
      <c r="C171" s="343" t="s">
        <v>1117</v>
      </c>
      <c r="D171" s="1" t="s">
        <v>1614</v>
      </c>
      <c r="E171" s="1" t="s">
        <v>1615</v>
      </c>
      <c r="F171" s="1" t="s">
        <v>1217</v>
      </c>
      <c r="G171" s="304" t="s">
        <v>1230</v>
      </c>
      <c r="H171" s="304" t="s">
        <v>1618</v>
      </c>
      <c r="I171" s="359">
        <v>9</v>
      </c>
      <c r="J171" s="360">
        <v>9</v>
      </c>
      <c r="K171" s="359"/>
      <c r="L171" s="359"/>
      <c r="M171" s="359"/>
      <c r="N171" s="359"/>
      <c r="O171" s="359"/>
      <c r="P171" s="359"/>
      <c r="Q171" s="359">
        <f t="shared" si="26"/>
        <v>9</v>
      </c>
      <c r="R171" s="359"/>
      <c r="S171" s="359"/>
      <c r="T171" s="304"/>
      <c r="U171" s="304" t="s">
        <v>1619</v>
      </c>
      <c r="V171" s="169"/>
      <c r="W171" s="165"/>
    </row>
    <row r="172" s="315" customFormat="1" ht="24" spans="1:23">
      <c r="A172" s="335">
        <v>164</v>
      </c>
      <c r="B172" s="343" t="s">
        <v>1117</v>
      </c>
      <c r="C172" s="343" t="s">
        <v>1117</v>
      </c>
      <c r="D172" s="1" t="s">
        <v>1614</v>
      </c>
      <c r="E172" s="1" t="s">
        <v>1615</v>
      </c>
      <c r="F172" s="1" t="s">
        <v>1217</v>
      </c>
      <c r="G172" s="1" t="s">
        <v>1230</v>
      </c>
      <c r="H172" s="391" t="s">
        <v>1620</v>
      </c>
      <c r="I172" s="359">
        <v>4.5</v>
      </c>
      <c r="J172" s="394">
        <v>4.5</v>
      </c>
      <c r="K172" s="395"/>
      <c r="L172" s="359"/>
      <c r="M172" s="359"/>
      <c r="N172" s="359"/>
      <c r="O172" s="359"/>
      <c r="P172" s="359"/>
      <c r="Q172" s="359">
        <f t="shared" si="26"/>
        <v>4.5</v>
      </c>
      <c r="R172" s="359"/>
      <c r="S172" s="359"/>
      <c r="T172" s="304"/>
      <c r="U172" s="304"/>
      <c r="V172" s="169"/>
      <c r="W172" s="165"/>
    </row>
    <row r="173" s="315" customFormat="1" ht="24" customHeight="1" spans="1:23">
      <c r="A173" s="335">
        <v>165</v>
      </c>
      <c r="B173" s="343" t="s">
        <v>1117</v>
      </c>
      <c r="C173" s="343" t="s">
        <v>1117</v>
      </c>
      <c r="D173" s="1" t="s">
        <v>1614</v>
      </c>
      <c r="E173" s="1" t="s">
        <v>1615</v>
      </c>
      <c r="F173" s="1" t="s">
        <v>1217</v>
      </c>
      <c r="G173" s="1" t="s">
        <v>1230</v>
      </c>
      <c r="H173" s="391" t="s">
        <v>1621</v>
      </c>
      <c r="I173" s="359">
        <v>27</v>
      </c>
      <c r="J173" s="394">
        <v>27</v>
      </c>
      <c r="K173" s="395"/>
      <c r="L173" s="359"/>
      <c r="M173" s="359"/>
      <c r="N173" s="359"/>
      <c r="O173" s="359"/>
      <c r="P173" s="359">
        <v>2.98</v>
      </c>
      <c r="Q173" s="359">
        <f t="shared" si="26"/>
        <v>29.98</v>
      </c>
      <c r="R173" s="359"/>
      <c r="S173" s="359"/>
      <c r="T173" s="304" t="s">
        <v>1622</v>
      </c>
      <c r="U173" s="304"/>
      <c r="V173" s="169"/>
      <c r="W173" s="165"/>
    </row>
    <row r="174" s="315" customFormat="1" ht="24" customHeight="1" spans="1:23">
      <c r="A174" s="335">
        <v>166</v>
      </c>
      <c r="B174" s="343"/>
      <c r="C174" s="343" t="s">
        <v>1117</v>
      </c>
      <c r="D174" s="1" t="s">
        <v>1614</v>
      </c>
      <c r="E174" s="1" t="s">
        <v>1615</v>
      </c>
      <c r="F174" s="1" t="s">
        <v>1217</v>
      </c>
      <c r="G174" s="1" t="s">
        <v>1230</v>
      </c>
      <c r="H174" s="391" t="s">
        <v>1623</v>
      </c>
      <c r="I174" s="359"/>
      <c r="J174" s="394"/>
      <c r="K174" s="395"/>
      <c r="L174" s="359"/>
      <c r="M174" s="359"/>
      <c r="N174" s="359"/>
      <c r="O174" s="359"/>
      <c r="P174" s="359">
        <v>80.92</v>
      </c>
      <c r="Q174" s="359">
        <f t="shared" si="26"/>
        <v>80.92</v>
      </c>
      <c r="R174" s="359"/>
      <c r="S174" s="359"/>
      <c r="T174" s="304" t="s">
        <v>1624</v>
      </c>
      <c r="U174" s="304"/>
      <c r="V174" s="169"/>
      <c r="W174" s="165"/>
    </row>
    <row r="175" s="315" customFormat="1" ht="24" customHeight="1" spans="1:23">
      <c r="A175" s="335">
        <v>167</v>
      </c>
      <c r="B175" s="343"/>
      <c r="C175" s="343" t="s">
        <v>1117</v>
      </c>
      <c r="D175" s="1" t="s">
        <v>1614</v>
      </c>
      <c r="E175" s="1" t="s">
        <v>1615</v>
      </c>
      <c r="F175" s="1" t="s">
        <v>1217</v>
      </c>
      <c r="G175" s="1" t="s">
        <v>1230</v>
      </c>
      <c r="H175" s="391" t="s">
        <v>1625</v>
      </c>
      <c r="I175" s="359"/>
      <c r="J175" s="394"/>
      <c r="K175" s="395"/>
      <c r="L175" s="359"/>
      <c r="M175" s="359"/>
      <c r="N175" s="359"/>
      <c r="O175" s="359"/>
      <c r="P175" s="359">
        <v>20</v>
      </c>
      <c r="Q175" s="359">
        <f t="shared" si="26"/>
        <v>20</v>
      </c>
      <c r="R175" s="359"/>
      <c r="S175" s="359"/>
      <c r="T175" s="304" t="s">
        <v>1624</v>
      </c>
      <c r="U175" s="304"/>
      <c r="V175" s="169"/>
      <c r="W175" s="165"/>
    </row>
    <row r="176" s="315" customFormat="1" ht="24" customHeight="1" spans="1:23">
      <c r="A176" s="335">
        <v>168</v>
      </c>
      <c r="B176" s="343"/>
      <c r="C176" s="343" t="s">
        <v>1117</v>
      </c>
      <c r="D176" s="1" t="s">
        <v>1614</v>
      </c>
      <c r="E176" s="1" t="s">
        <v>1615</v>
      </c>
      <c r="F176" s="1" t="s">
        <v>1217</v>
      </c>
      <c r="G176" s="1" t="s">
        <v>1230</v>
      </c>
      <c r="H176" s="391" t="s">
        <v>1626</v>
      </c>
      <c r="I176" s="359"/>
      <c r="J176" s="394"/>
      <c r="K176" s="395"/>
      <c r="L176" s="359"/>
      <c r="M176" s="359"/>
      <c r="N176" s="359"/>
      <c r="O176" s="359"/>
      <c r="P176" s="359">
        <v>34</v>
      </c>
      <c r="Q176" s="359">
        <f t="shared" si="26"/>
        <v>34</v>
      </c>
      <c r="R176" s="359"/>
      <c r="S176" s="359"/>
      <c r="T176" s="304" t="s">
        <v>1624</v>
      </c>
      <c r="U176" s="304"/>
      <c r="V176" s="169"/>
      <c r="W176" s="165"/>
    </row>
    <row r="177" s="315" customFormat="1" ht="24" customHeight="1" spans="1:23">
      <c r="A177" s="335">
        <v>169</v>
      </c>
      <c r="B177" s="343"/>
      <c r="C177" s="343" t="s">
        <v>1117</v>
      </c>
      <c r="D177" s="1" t="s">
        <v>1614</v>
      </c>
      <c r="E177" s="1" t="s">
        <v>1615</v>
      </c>
      <c r="F177" s="1" t="s">
        <v>1217</v>
      </c>
      <c r="G177" s="1" t="s">
        <v>1230</v>
      </c>
      <c r="H177" s="391" t="s">
        <v>1627</v>
      </c>
      <c r="I177" s="359"/>
      <c r="J177" s="394"/>
      <c r="K177" s="395"/>
      <c r="L177" s="359"/>
      <c r="M177" s="359"/>
      <c r="N177" s="359"/>
      <c r="O177" s="359"/>
      <c r="P177" s="359">
        <v>3.92</v>
      </c>
      <c r="Q177" s="359">
        <f t="shared" si="26"/>
        <v>3.92</v>
      </c>
      <c r="R177" s="359"/>
      <c r="S177" s="359"/>
      <c r="T177" s="304" t="s">
        <v>1624</v>
      </c>
      <c r="U177" s="304"/>
      <c r="V177" s="169"/>
      <c r="W177" s="165"/>
    </row>
    <row r="178" s="315" customFormat="1" ht="24" customHeight="1" spans="1:23">
      <c r="A178" s="335">
        <v>170</v>
      </c>
      <c r="B178" s="343"/>
      <c r="C178" s="343" t="s">
        <v>1117</v>
      </c>
      <c r="D178" s="1" t="s">
        <v>1614</v>
      </c>
      <c r="E178" s="1" t="s">
        <v>1615</v>
      </c>
      <c r="F178" s="1" t="s">
        <v>1217</v>
      </c>
      <c r="G178" s="1" t="s">
        <v>1230</v>
      </c>
      <c r="H178" s="391" t="s">
        <v>1628</v>
      </c>
      <c r="I178" s="359"/>
      <c r="J178" s="394"/>
      <c r="K178" s="395"/>
      <c r="L178" s="359"/>
      <c r="M178" s="359"/>
      <c r="N178" s="359"/>
      <c r="O178" s="359"/>
      <c r="P178" s="359">
        <v>5.04</v>
      </c>
      <c r="Q178" s="359">
        <f t="shared" si="26"/>
        <v>5.04</v>
      </c>
      <c r="R178" s="359"/>
      <c r="S178" s="359"/>
      <c r="T178" s="304" t="s">
        <v>1624</v>
      </c>
      <c r="U178" s="304"/>
      <c r="V178" s="169"/>
      <c r="W178" s="165"/>
    </row>
    <row r="179" s="315" customFormat="1" ht="24" customHeight="1" spans="1:23">
      <c r="A179" s="335">
        <v>171</v>
      </c>
      <c r="B179" s="343"/>
      <c r="C179" s="343" t="s">
        <v>1117</v>
      </c>
      <c r="D179" s="1" t="s">
        <v>1614</v>
      </c>
      <c r="E179" s="1" t="s">
        <v>1615</v>
      </c>
      <c r="F179" s="1" t="s">
        <v>1217</v>
      </c>
      <c r="G179" s="1" t="s">
        <v>1230</v>
      </c>
      <c r="H179" s="391" t="s">
        <v>1629</v>
      </c>
      <c r="I179" s="359"/>
      <c r="J179" s="394"/>
      <c r="K179" s="395"/>
      <c r="L179" s="359"/>
      <c r="M179" s="359"/>
      <c r="N179" s="359"/>
      <c r="O179" s="359"/>
      <c r="P179" s="359">
        <v>4</v>
      </c>
      <c r="Q179" s="359">
        <f t="shared" si="26"/>
        <v>4</v>
      </c>
      <c r="R179" s="359"/>
      <c r="S179" s="359"/>
      <c r="T179" s="304" t="s">
        <v>1624</v>
      </c>
      <c r="U179" s="304"/>
      <c r="V179" s="169"/>
      <c r="W179" s="165"/>
    </row>
    <row r="180" s="315" customFormat="1" ht="24" customHeight="1" spans="1:23">
      <c r="A180" s="335">
        <v>172</v>
      </c>
      <c r="B180" s="343"/>
      <c r="C180" s="343" t="s">
        <v>1117</v>
      </c>
      <c r="D180" s="1" t="s">
        <v>1614</v>
      </c>
      <c r="E180" s="1" t="s">
        <v>1615</v>
      </c>
      <c r="F180" s="1" t="s">
        <v>1217</v>
      </c>
      <c r="G180" s="1" t="s">
        <v>1230</v>
      </c>
      <c r="H180" s="391" t="s">
        <v>1630</v>
      </c>
      <c r="I180" s="359"/>
      <c r="J180" s="394"/>
      <c r="K180" s="395"/>
      <c r="L180" s="359"/>
      <c r="M180" s="359"/>
      <c r="N180" s="359"/>
      <c r="O180" s="359"/>
      <c r="P180" s="359">
        <v>25</v>
      </c>
      <c r="Q180" s="359">
        <f t="shared" si="26"/>
        <v>25</v>
      </c>
      <c r="R180" s="359"/>
      <c r="S180" s="359"/>
      <c r="T180" s="304" t="s">
        <v>1631</v>
      </c>
      <c r="U180" s="304"/>
      <c r="V180" s="169"/>
      <c r="W180" s="165"/>
    </row>
    <row r="181" s="315" customFormat="1" ht="24" customHeight="1" spans="1:23">
      <c r="A181" s="335">
        <v>173</v>
      </c>
      <c r="B181" s="343"/>
      <c r="C181" s="343" t="s">
        <v>1117</v>
      </c>
      <c r="D181" s="1" t="s">
        <v>1614</v>
      </c>
      <c r="E181" s="1" t="s">
        <v>1615</v>
      </c>
      <c r="F181" s="1" t="s">
        <v>1217</v>
      </c>
      <c r="G181" s="1" t="s">
        <v>1296</v>
      </c>
      <c r="H181" s="391" t="s">
        <v>1632</v>
      </c>
      <c r="I181" s="359"/>
      <c r="J181" s="394"/>
      <c r="K181" s="395"/>
      <c r="L181" s="359"/>
      <c r="M181" s="359"/>
      <c r="N181" s="359"/>
      <c r="O181" s="359"/>
      <c r="P181" s="359">
        <v>104.62</v>
      </c>
      <c r="Q181" s="359">
        <f t="shared" si="26"/>
        <v>104.62</v>
      </c>
      <c r="R181" s="359">
        <v>46.66</v>
      </c>
      <c r="S181" s="359"/>
      <c r="T181" s="304" t="s">
        <v>1631</v>
      </c>
      <c r="U181" s="304"/>
      <c r="V181" s="169"/>
      <c r="W181" s="165"/>
    </row>
    <row r="182" s="315" customFormat="1" ht="24" customHeight="1" spans="1:23">
      <c r="A182" s="335">
        <v>174</v>
      </c>
      <c r="B182" s="343"/>
      <c r="C182" s="343" t="s">
        <v>1117</v>
      </c>
      <c r="D182" s="1" t="s">
        <v>1614</v>
      </c>
      <c r="E182" s="1" t="s">
        <v>1615</v>
      </c>
      <c r="F182" s="1" t="s">
        <v>1217</v>
      </c>
      <c r="G182" s="1" t="s">
        <v>1230</v>
      </c>
      <c r="H182" s="391" t="s">
        <v>1633</v>
      </c>
      <c r="I182" s="359"/>
      <c r="J182" s="394"/>
      <c r="K182" s="395"/>
      <c r="L182" s="359"/>
      <c r="M182" s="359"/>
      <c r="N182" s="359"/>
      <c r="O182" s="359"/>
      <c r="P182" s="359"/>
      <c r="Q182" s="359">
        <f t="shared" si="26"/>
        <v>0</v>
      </c>
      <c r="R182" s="359">
        <v>360</v>
      </c>
      <c r="S182" s="359"/>
      <c r="T182" s="304" t="s">
        <v>1634</v>
      </c>
      <c r="U182" s="304"/>
      <c r="V182" s="169"/>
      <c r="W182" s="165">
        <v>394</v>
      </c>
    </row>
    <row r="183" s="315" customFormat="1" ht="24" customHeight="1" spans="1:23">
      <c r="A183" s="335">
        <v>175</v>
      </c>
      <c r="B183" s="343"/>
      <c r="C183" s="343" t="s">
        <v>1117</v>
      </c>
      <c r="D183" s="1" t="s">
        <v>1614</v>
      </c>
      <c r="E183" s="1" t="s">
        <v>1615</v>
      </c>
      <c r="F183" s="1" t="s">
        <v>1217</v>
      </c>
      <c r="G183" s="1" t="s">
        <v>1230</v>
      </c>
      <c r="H183" s="391" t="s">
        <v>1635</v>
      </c>
      <c r="I183" s="359"/>
      <c r="J183" s="394"/>
      <c r="K183" s="395"/>
      <c r="L183" s="359"/>
      <c r="M183" s="359"/>
      <c r="N183" s="359"/>
      <c r="O183" s="359"/>
      <c r="P183" s="359">
        <v>74.25</v>
      </c>
      <c r="Q183" s="359">
        <f t="shared" si="26"/>
        <v>74.25</v>
      </c>
      <c r="R183" s="359"/>
      <c r="S183" s="359"/>
      <c r="T183" s="304" t="s">
        <v>1624</v>
      </c>
      <c r="U183" s="304"/>
      <c r="V183" s="169"/>
      <c r="W183" s="165"/>
    </row>
    <row r="184" s="315" customFormat="1" ht="24" customHeight="1" spans="1:23">
      <c r="A184" s="335">
        <v>176</v>
      </c>
      <c r="B184" s="343"/>
      <c r="C184" s="343" t="s">
        <v>1117</v>
      </c>
      <c r="D184" s="1" t="s">
        <v>1614</v>
      </c>
      <c r="E184" s="1" t="s">
        <v>1615</v>
      </c>
      <c r="F184" s="1" t="s">
        <v>1217</v>
      </c>
      <c r="G184" s="1" t="s">
        <v>1230</v>
      </c>
      <c r="H184" s="391" t="s">
        <v>1636</v>
      </c>
      <c r="I184" s="359"/>
      <c r="J184" s="394"/>
      <c r="K184" s="395"/>
      <c r="L184" s="359"/>
      <c r="M184" s="359"/>
      <c r="N184" s="359"/>
      <c r="O184" s="359"/>
      <c r="P184" s="359">
        <v>48.1</v>
      </c>
      <c r="Q184" s="359">
        <f t="shared" si="26"/>
        <v>48.1</v>
      </c>
      <c r="R184" s="359"/>
      <c r="S184" s="359"/>
      <c r="T184" s="304" t="s">
        <v>1637</v>
      </c>
      <c r="U184" s="304"/>
      <c r="V184" s="169"/>
      <c r="W184" s="165"/>
    </row>
    <row r="185" s="315" customFormat="1" ht="24" customHeight="1" spans="1:23">
      <c r="A185" s="335">
        <v>184</v>
      </c>
      <c r="B185" s="343" t="s">
        <v>1117</v>
      </c>
      <c r="C185" s="343" t="s">
        <v>1117</v>
      </c>
      <c r="D185" s="1" t="s">
        <v>1614</v>
      </c>
      <c r="E185" s="1" t="s">
        <v>1615</v>
      </c>
      <c r="F185" s="1" t="s">
        <v>1217</v>
      </c>
      <c r="G185" s="304" t="s">
        <v>1230</v>
      </c>
      <c r="H185" s="304" t="s">
        <v>1638</v>
      </c>
      <c r="I185" s="359">
        <v>9</v>
      </c>
      <c r="J185" s="360">
        <v>9</v>
      </c>
      <c r="K185" s="359"/>
      <c r="L185" s="359"/>
      <c r="M185" s="359"/>
      <c r="N185" s="359"/>
      <c r="O185" s="359"/>
      <c r="P185" s="359"/>
      <c r="Q185" s="359">
        <f t="shared" si="26"/>
        <v>9</v>
      </c>
      <c r="R185" s="359">
        <v>0.47</v>
      </c>
      <c r="S185" s="359"/>
      <c r="T185" s="304"/>
      <c r="U185" s="304" t="s">
        <v>1639</v>
      </c>
      <c r="V185" s="169"/>
      <c r="W185" s="165"/>
    </row>
    <row r="186" s="315" customFormat="1" ht="24" customHeight="1" spans="1:23">
      <c r="A186" s="335">
        <v>185</v>
      </c>
      <c r="B186" s="343" t="s">
        <v>1117</v>
      </c>
      <c r="C186" s="343" t="s">
        <v>1117</v>
      </c>
      <c r="D186" s="1" t="s">
        <v>1614</v>
      </c>
      <c r="E186" s="1" t="s">
        <v>1615</v>
      </c>
      <c r="F186" s="1" t="s">
        <v>1217</v>
      </c>
      <c r="G186" s="304" t="s">
        <v>1230</v>
      </c>
      <c r="H186" s="304" t="s">
        <v>1640</v>
      </c>
      <c r="I186" s="359">
        <v>9</v>
      </c>
      <c r="J186" s="360">
        <v>9</v>
      </c>
      <c r="K186" s="359"/>
      <c r="L186" s="359"/>
      <c r="M186" s="359"/>
      <c r="N186" s="359"/>
      <c r="O186" s="359"/>
      <c r="P186" s="359"/>
      <c r="Q186" s="359">
        <f t="shared" si="26"/>
        <v>9</v>
      </c>
      <c r="R186" s="359"/>
      <c r="S186" s="359"/>
      <c r="T186" s="304"/>
      <c r="U186" s="304" t="s">
        <v>1641</v>
      </c>
      <c r="V186" s="169"/>
      <c r="W186" s="165"/>
    </row>
    <row r="187" s="315" customFormat="1" ht="24" customHeight="1" spans="1:23">
      <c r="A187" s="335">
        <v>186</v>
      </c>
      <c r="B187" s="343" t="s">
        <v>1117</v>
      </c>
      <c r="C187" s="343" t="s">
        <v>1117</v>
      </c>
      <c r="D187" s="1" t="s">
        <v>1614</v>
      </c>
      <c r="E187" s="1" t="s">
        <v>1615</v>
      </c>
      <c r="F187" s="1" t="s">
        <v>1217</v>
      </c>
      <c r="G187" s="304" t="s">
        <v>1230</v>
      </c>
      <c r="H187" s="304" t="s">
        <v>1642</v>
      </c>
      <c r="I187" s="359">
        <v>18</v>
      </c>
      <c r="J187" s="360">
        <v>18</v>
      </c>
      <c r="K187" s="359"/>
      <c r="L187" s="359"/>
      <c r="M187" s="359"/>
      <c r="N187" s="359"/>
      <c r="O187" s="359"/>
      <c r="P187" s="359"/>
      <c r="Q187" s="359">
        <f t="shared" si="26"/>
        <v>18</v>
      </c>
      <c r="R187" s="359"/>
      <c r="S187" s="359"/>
      <c r="T187" s="304"/>
      <c r="U187" s="304" t="s">
        <v>1643</v>
      </c>
      <c r="V187" s="169"/>
      <c r="W187" s="165"/>
    </row>
    <row r="188" s="315" customFormat="1" ht="24" customHeight="1" spans="1:23">
      <c r="A188" s="335">
        <v>187</v>
      </c>
      <c r="B188" s="343" t="s">
        <v>1117</v>
      </c>
      <c r="C188" s="343" t="s">
        <v>1117</v>
      </c>
      <c r="D188" s="1" t="s">
        <v>1614</v>
      </c>
      <c r="E188" s="1" t="s">
        <v>1615</v>
      </c>
      <c r="F188" s="1" t="s">
        <v>1217</v>
      </c>
      <c r="G188" s="304" t="s">
        <v>1230</v>
      </c>
      <c r="H188" s="304" t="s">
        <v>1644</v>
      </c>
      <c r="I188" s="359">
        <v>4.5</v>
      </c>
      <c r="J188" s="360">
        <v>4.5</v>
      </c>
      <c r="K188" s="359"/>
      <c r="L188" s="359"/>
      <c r="M188" s="359"/>
      <c r="N188" s="359"/>
      <c r="O188" s="359"/>
      <c r="P188" s="359"/>
      <c r="Q188" s="359">
        <f t="shared" si="26"/>
        <v>4.5</v>
      </c>
      <c r="R188" s="359"/>
      <c r="S188" s="359"/>
      <c r="T188" s="304"/>
      <c r="U188" s="304" t="s">
        <v>1645</v>
      </c>
      <c r="V188" s="169"/>
      <c r="W188" s="165"/>
    </row>
    <row r="189" s="315" customFormat="1" ht="24" customHeight="1" spans="1:23">
      <c r="A189" s="335">
        <v>188</v>
      </c>
      <c r="B189" s="343" t="s">
        <v>1117</v>
      </c>
      <c r="C189" s="343" t="s">
        <v>1117</v>
      </c>
      <c r="D189" s="1" t="s">
        <v>1614</v>
      </c>
      <c r="E189" s="1" t="s">
        <v>1615</v>
      </c>
      <c r="F189" s="1" t="s">
        <v>1217</v>
      </c>
      <c r="G189" s="304" t="s">
        <v>1230</v>
      </c>
      <c r="H189" s="304" t="s">
        <v>1646</v>
      </c>
      <c r="I189" s="359">
        <v>18</v>
      </c>
      <c r="J189" s="360">
        <v>18</v>
      </c>
      <c r="K189" s="359"/>
      <c r="L189" s="359"/>
      <c r="M189" s="359"/>
      <c r="N189" s="359"/>
      <c r="O189" s="359"/>
      <c r="P189" s="359"/>
      <c r="Q189" s="359">
        <f t="shared" si="26"/>
        <v>18</v>
      </c>
      <c r="R189" s="359"/>
      <c r="S189" s="359"/>
      <c r="T189" s="304"/>
      <c r="U189" s="304" t="s">
        <v>1647</v>
      </c>
      <c r="V189" s="169"/>
      <c r="W189" s="165"/>
    </row>
    <row r="190" s="315" customFormat="1" ht="24" customHeight="1" spans="1:23">
      <c r="A190" s="335">
        <v>189</v>
      </c>
      <c r="B190" s="343" t="s">
        <v>1117</v>
      </c>
      <c r="C190" s="343" t="s">
        <v>1117</v>
      </c>
      <c r="D190" s="1" t="s">
        <v>1614</v>
      </c>
      <c r="E190" s="1" t="s">
        <v>1615</v>
      </c>
      <c r="F190" s="1" t="s">
        <v>1217</v>
      </c>
      <c r="G190" s="304" t="s">
        <v>1230</v>
      </c>
      <c r="H190" s="304" t="s">
        <v>1648</v>
      </c>
      <c r="I190" s="359">
        <v>18</v>
      </c>
      <c r="J190" s="393">
        <v>18</v>
      </c>
      <c r="K190" s="396"/>
      <c r="L190" s="359"/>
      <c r="M190" s="359"/>
      <c r="N190" s="359"/>
      <c r="O190" s="359"/>
      <c r="P190" s="359">
        <v>-9</v>
      </c>
      <c r="Q190" s="359">
        <f t="shared" si="26"/>
        <v>9</v>
      </c>
      <c r="R190" s="359"/>
      <c r="S190" s="359"/>
      <c r="T190" s="304" t="s">
        <v>1649</v>
      </c>
      <c r="U190" s="304" t="s">
        <v>1650</v>
      </c>
      <c r="V190" s="169"/>
      <c r="W190" s="165"/>
    </row>
    <row r="191" s="315" customFormat="1" ht="24" customHeight="1" spans="1:23">
      <c r="A191" s="335">
        <v>190</v>
      </c>
      <c r="B191" s="343" t="s">
        <v>1117</v>
      </c>
      <c r="C191" s="343" t="s">
        <v>1117</v>
      </c>
      <c r="D191" s="1" t="s">
        <v>1611</v>
      </c>
      <c r="E191" s="1" t="s">
        <v>1615</v>
      </c>
      <c r="F191" s="1" t="s">
        <v>1217</v>
      </c>
      <c r="G191" s="304" t="s">
        <v>1230</v>
      </c>
      <c r="H191" s="304" t="s">
        <v>1651</v>
      </c>
      <c r="I191" s="359">
        <v>9</v>
      </c>
      <c r="J191" s="360">
        <v>9</v>
      </c>
      <c r="K191" s="359"/>
      <c r="L191" s="359"/>
      <c r="M191" s="359"/>
      <c r="N191" s="359"/>
      <c r="O191" s="359"/>
      <c r="P191" s="359"/>
      <c r="Q191" s="359">
        <f t="shared" si="26"/>
        <v>9</v>
      </c>
      <c r="R191" s="359"/>
      <c r="S191" s="359"/>
      <c r="T191" s="304"/>
      <c r="U191" s="304"/>
      <c r="V191" s="169"/>
      <c r="W191" s="165"/>
    </row>
    <row r="192" s="315" customFormat="1" ht="24" customHeight="1" spans="1:23">
      <c r="A192" s="335">
        <v>191</v>
      </c>
      <c r="B192" s="343"/>
      <c r="C192" s="343" t="s">
        <v>1288</v>
      </c>
      <c r="D192" s="1" t="s">
        <v>1652</v>
      </c>
      <c r="E192" s="1" t="s">
        <v>1653</v>
      </c>
      <c r="F192" s="1" t="s">
        <v>1217</v>
      </c>
      <c r="G192" s="304" t="s">
        <v>1230</v>
      </c>
      <c r="H192" s="304" t="s">
        <v>1654</v>
      </c>
      <c r="I192" s="359"/>
      <c r="J192" s="360"/>
      <c r="K192" s="359"/>
      <c r="L192" s="359"/>
      <c r="M192" s="359"/>
      <c r="N192" s="359"/>
      <c r="O192" s="359"/>
      <c r="P192" s="359">
        <v>500</v>
      </c>
      <c r="Q192" s="359">
        <f t="shared" si="26"/>
        <v>500</v>
      </c>
      <c r="R192" s="359">
        <v>0</v>
      </c>
      <c r="S192" s="359">
        <v>500</v>
      </c>
      <c r="T192" s="304" t="s">
        <v>1655</v>
      </c>
      <c r="U192" s="304"/>
      <c r="V192" s="169"/>
      <c r="W192" s="165"/>
    </row>
    <row r="193" s="315" customFormat="1" ht="24" customHeight="1" spans="1:23">
      <c r="A193" s="335">
        <v>192</v>
      </c>
      <c r="B193" s="336" t="s">
        <v>880</v>
      </c>
      <c r="C193" s="336" t="s">
        <v>880</v>
      </c>
      <c r="D193" s="304" t="s">
        <v>1656</v>
      </c>
      <c r="E193" s="304" t="s">
        <v>1657</v>
      </c>
      <c r="F193" s="1" t="s">
        <v>1217</v>
      </c>
      <c r="G193" s="304" t="s">
        <v>1230</v>
      </c>
      <c r="H193" s="304" t="s">
        <v>1658</v>
      </c>
      <c r="I193" s="359">
        <v>18</v>
      </c>
      <c r="J193" s="360">
        <v>18</v>
      </c>
      <c r="K193" s="359"/>
      <c r="L193" s="359"/>
      <c r="M193" s="359"/>
      <c r="N193" s="359"/>
      <c r="O193" s="359"/>
      <c r="P193" s="359"/>
      <c r="Q193" s="359">
        <f t="shared" si="26"/>
        <v>18</v>
      </c>
      <c r="R193" s="359">
        <v>16.55</v>
      </c>
      <c r="S193" s="359"/>
      <c r="T193" s="304"/>
      <c r="U193" s="368" t="s">
        <v>1659</v>
      </c>
      <c r="V193" s="169"/>
      <c r="W193" s="165"/>
    </row>
    <row r="194" s="315" customFormat="1" ht="24" customHeight="1" spans="1:23">
      <c r="A194" s="335">
        <v>193</v>
      </c>
      <c r="B194" s="336"/>
      <c r="C194" s="336" t="s">
        <v>1288</v>
      </c>
      <c r="D194" s="304" t="s">
        <v>1485</v>
      </c>
      <c r="E194" s="304" t="s">
        <v>1525</v>
      </c>
      <c r="F194" s="1" t="s">
        <v>1217</v>
      </c>
      <c r="G194" s="304" t="s">
        <v>1230</v>
      </c>
      <c r="H194" s="304" t="s">
        <v>1660</v>
      </c>
      <c r="I194" s="359"/>
      <c r="J194" s="360"/>
      <c r="K194" s="359"/>
      <c r="L194" s="359"/>
      <c r="M194" s="359"/>
      <c r="N194" s="359"/>
      <c r="O194" s="359"/>
      <c r="P194" s="359">
        <v>86.52</v>
      </c>
      <c r="Q194" s="359">
        <f t="shared" si="26"/>
        <v>86.52</v>
      </c>
      <c r="R194" s="359">
        <v>86.52</v>
      </c>
      <c r="S194" s="359"/>
      <c r="T194" s="304" t="s">
        <v>1661</v>
      </c>
      <c r="U194" s="368"/>
      <c r="V194" s="169"/>
      <c r="W194" s="165"/>
    </row>
    <row r="195" s="315" customFormat="1" ht="24" customHeight="1" spans="1:23">
      <c r="A195" s="335">
        <v>194</v>
      </c>
      <c r="B195" s="336" t="s">
        <v>1135</v>
      </c>
      <c r="C195" s="336" t="s">
        <v>1135</v>
      </c>
      <c r="D195" s="304" t="s">
        <v>1652</v>
      </c>
      <c r="E195" s="304" t="s">
        <v>1525</v>
      </c>
      <c r="F195" s="1" t="s">
        <v>1217</v>
      </c>
      <c r="G195" s="304" t="s">
        <v>1230</v>
      </c>
      <c r="H195" s="304" t="s">
        <v>1662</v>
      </c>
      <c r="I195" s="359">
        <v>3.75</v>
      </c>
      <c r="J195" s="360">
        <v>3.75</v>
      </c>
      <c r="K195" s="359"/>
      <c r="L195" s="359"/>
      <c r="M195" s="359"/>
      <c r="N195" s="359"/>
      <c r="O195" s="359"/>
      <c r="P195" s="359"/>
      <c r="Q195" s="359">
        <f t="shared" si="26"/>
        <v>3.75</v>
      </c>
      <c r="R195" s="359"/>
      <c r="S195" s="359">
        <v>3.75</v>
      </c>
      <c r="T195" s="304"/>
      <c r="U195" s="304" t="s">
        <v>1663</v>
      </c>
      <c r="V195" s="169" t="s">
        <v>1221</v>
      </c>
      <c r="W195" s="165"/>
    </row>
    <row r="196" s="315" customFormat="1" ht="24" customHeight="1" spans="1:23">
      <c r="A196" s="335">
        <v>195</v>
      </c>
      <c r="B196" s="336" t="s">
        <v>1135</v>
      </c>
      <c r="C196" s="336" t="s">
        <v>1135</v>
      </c>
      <c r="D196" s="304" t="s">
        <v>1652</v>
      </c>
      <c r="E196" s="304" t="s">
        <v>1525</v>
      </c>
      <c r="F196" s="1" t="s">
        <v>1217</v>
      </c>
      <c r="G196" s="304" t="s">
        <v>1230</v>
      </c>
      <c r="H196" s="304" t="s">
        <v>1664</v>
      </c>
      <c r="I196" s="359">
        <v>5</v>
      </c>
      <c r="J196" s="360">
        <v>5</v>
      </c>
      <c r="K196" s="359"/>
      <c r="L196" s="359"/>
      <c r="M196" s="359"/>
      <c r="N196" s="359"/>
      <c r="O196" s="359"/>
      <c r="P196" s="359"/>
      <c r="Q196" s="359">
        <f t="shared" si="26"/>
        <v>5</v>
      </c>
      <c r="R196" s="359"/>
      <c r="S196" s="359">
        <v>5</v>
      </c>
      <c r="T196" s="304"/>
      <c r="U196" s="304" t="s">
        <v>1665</v>
      </c>
      <c r="V196" s="169" t="s">
        <v>1221</v>
      </c>
      <c r="W196" s="165"/>
    </row>
    <row r="197" s="315" customFormat="1" ht="24" customHeight="1" spans="1:23">
      <c r="A197" s="335">
        <v>196</v>
      </c>
      <c r="B197" s="336" t="s">
        <v>1135</v>
      </c>
      <c r="C197" s="336" t="s">
        <v>1135</v>
      </c>
      <c r="D197" s="304" t="s">
        <v>1652</v>
      </c>
      <c r="E197" s="304" t="s">
        <v>1525</v>
      </c>
      <c r="F197" s="1" t="s">
        <v>1217</v>
      </c>
      <c r="G197" s="304" t="s">
        <v>1230</v>
      </c>
      <c r="H197" s="304" t="s">
        <v>1666</v>
      </c>
      <c r="I197" s="359">
        <v>7.25</v>
      </c>
      <c r="J197" s="360">
        <v>7.25</v>
      </c>
      <c r="K197" s="359"/>
      <c r="L197" s="359"/>
      <c r="M197" s="359"/>
      <c r="N197" s="359"/>
      <c r="O197" s="359"/>
      <c r="P197" s="359"/>
      <c r="Q197" s="359">
        <f t="shared" si="26"/>
        <v>7.25</v>
      </c>
      <c r="R197" s="359"/>
      <c r="S197" s="359">
        <v>7.25</v>
      </c>
      <c r="T197" s="304"/>
      <c r="U197" s="304" t="s">
        <v>1667</v>
      </c>
      <c r="V197" s="169" t="s">
        <v>1221</v>
      </c>
      <c r="W197" s="165"/>
    </row>
    <row r="198" s="315" customFormat="1" ht="24" customHeight="1" spans="1:23">
      <c r="A198" s="335">
        <v>197</v>
      </c>
      <c r="B198" s="336" t="s">
        <v>1135</v>
      </c>
      <c r="C198" s="336" t="s">
        <v>1135</v>
      </c>
      <c r="D198" s="304" t="s">
        <v>1652</v>
      </c>
      <c r="E198" s="304" t="s">
        <v>1525</v>
      </c>
      <c r="F198" s="1" t="s">
        <v>1217</v>
      </c>
      <c r="G198" s="304" t="s">
        <v>1230</v>
      </c>
      <c r="H198" s="304" t="s">
        <v>1668</v>
      </c>
      <c r="I198" s="359">
        <v>32.74</v>
      </c>
      <c r="J198" s="360">
        <v>32.74</v>
      </c>
      <c r="K198" s="359"/>
      <c r="L198" s="359"/>
      <c r="M198" s="359"/>
      <c r="N198" s="359"/>
      <c r="O198" s="359"/>
      <c r="P198" s="359">
        <v>16.47</v>
      </c>
      <c r="Q198" s="359">
        <f t="shared" si="26"/>
        <v>49.21</v>
      </c>
      <c r="R198" s="359">
        <v>30.57</v>
      </c>
      <c r="S198" s="359">
        <v>18.64</v>
      </c>
      <c r="T198" s="304" t="s">
        <v>1669</v>
      </c>
      <c r="U198" s="304" t="s">
        <v>1670</v>
      </c>
      <c r="V198" s="169" t="s">
        <v>1221</v>
      </c>
      <c r="W198" s="165"/>
    </row>
    <row r="199" s="315" customFormat="1" ht="24" customHeight="1" spans="1:23">
      <c r="A199" s="335">
        <v>198</v>
      </c>
      <c r="B199" s="336" t="s">
        <v>1135</v>
      </c>
      <c r="C199" s="336" t="s">
        <v>1135</v>
      </c>
      <c r="D199" s="304" t="s">
        <v>1652</v>
      </c>
      <c r="E199" s="304" t="s">
        <v>1525</v>
      </c>
      <c r="F199" s="1" t="s">
        <v>1217</v>
      </c>
      <c r="G199" s="304" t="s">
        <v>1230</v>
      </c>
      <c r="H199" s="304" t="s">
        <v>1671</v>
      </c>
      <c r="I199" s="359">
        <v>9</v>
      </c>
      <c r="J199" s="360">
        <v>9</v>
      </c>
      <c r="K199" s="359"/>
      <c r="L199" s="359"/>
      <c r="M199" s="359"/>
      <c r="N199" s="359"/>
      <c r="O199" s="359"/>
      <c r="P199" s="359"/>
      <c r="Q199" s="359">
        <f t="shared" si="26"/>
        <v>9</v>
      </c>
      <c r="R199" s="359"/>
      <c r="S199" s="359">
        <v>9</v>
      </c>
      <c r="T199" s="304"/>
      <c r="U199" s="304" t="s">
        <v>1672</v>
      </c>
      <c r="V199" s="169"/>
      <c r="W199" s="165"/>
    </row>
    <row r="200" s="315" customFormat="1" ht="24" customHeight="1" spans="1:23">
      <c r="A200" s="335">
        <v>199</v>
      </c>
      <c r="B200" s="336" t="s">
        <v>1135</v>
      </c>
      <c r="C200" s="336" t="s">
        <v>1135</v>
      </c>
      <c r="D200" s="304" t="s">
        <v>1652</v>
      </c>
      <c r="E200" s="304" t="s">
        <v>1525</v>
      </c>
      <c r="F200" s="1" t="s">
        <v>1217</v>
      </c>
      <c r="G200" s="304" t="s">
        <v>1230</v>
      </c>
      <c r="H200" s="304" t="s">
        <v>1673</v>
      </c>
      <c r="I200" s="359">
        <v>3</v>
      </c>
      <c r="J200" s="360">
        <v>3</v>
      </c>
      <c r="K200" s="359"/>
      <c r="L200" s="359"/>
      <c r="M200" s="359"/>
      <c r="N200" s="359"/>
      <c r="O200" s="359"/>
      <c r="P200" s="359"/>
      <c r="Q200" s="359">
        <f t="shared" si="26"/>
        <v>3</v>
      </c>
      <c r="R200" s="359">
        <v>3</v>
      </c>
      <c r="S200" s="359"/>
      <c r="T200" s="304"/>
      <c r="U200" s="304" t="s">
        <v>1674</v>
      </c>
      <c r="V200" s="169" t="s">
        <v>1221</v>
      </c>
      <c r="W200" s="165"/>
    </row>
    <row r="201" s="315" customFormat="1" ht="24" customHeight="1" spans="1:23">
      <c r="A201" s="335">
        <v>200</v>
      </c>
      <c r="B201" s="336" t="s">
        <v>1135</v>
      </c>
      <c r="C201" s="336" t="s">
        <v>1135</v>
      </c>
      <c r="D201" s="304" t="s">
        <v>1652</v>
      </c>
      <c r="E201" s="304" t="s">
        <v>1525</v>
      </c>
      <c r="F201" s="1" t="s">
        <v>1217</v>
      </c>
      <c r="G201" s="304" t="s">
        <v>1230</v>
      </c>
      <c r="H201" s="304" t="s">
        <v>1675</v>
      </c>
      <c r="I201" s="359">
        <v>9</v>
      </c>
      <c r="J201" s="360">
        <v>9</v>
      </c>
      <c r="K201" s="359"/>
      <c r="L201" s="359"/>
      <c r="M201" s="359"/>
      <c r="N201" s="359"/>
      <c r="O201" s="359"/>
      <c r="P201" s="359"/>
      <c r="Q201" s="359">
        <f t="shared" si="26"/>
        <v>9</v>
      </c>
      <c r="R201" s="359">
        <v>9</v>
      </c>
      <c r="S201" s="359"/>
      <c r="T201" s="304"/>
      <c r="U201" s="304" t="s">
        <v>1676</v>
      </c>
      <c r="V201" s="169"/>
      <c r="W201" s="165"/>
    </row>
    <row r="202" s="315" customFormat="1" ht="24" customHeight="1" spans="1:23">
      <c r="A202" s="335">
        <v>201</v>
      </c>
      <c r="B202" s="336"/>
      <c r="C202" s="336" t="s">
        <v>1135</v>
      </c>
      <c r="D202" s="304" t="s">
        <v>1652</v>
      </c>
      <c r="E202" s="304" t="s">
        <v>1525</v>
      </c>
      <c r="F202" s="1" t="s">
        <v>1217</v>
      </c>
      <c r="G202" s="304" t="s">
        <v>1218</v>
      </c>
      <c r="H202" s="304" t="s">
        <v>1677</v>
      </c>
      <c r="I202" s="359"/>
      <c r="J202" s="360"/>
      <c r="K202" s="359"/>
      <c r="L202" s="359"/>
      <c r="M202" s="359"/>
      <c r="N202" s="359"/>
      <c r="O202" s="359"/>
      <c r="P202" s="359">
        <v>29</v>
      </c>
      <c r="Q202" s="359">
        <f t="shared" si="26"/>
        <v>29</v>
      </c>
      <c r="R202" s="359"/>
      <c r="S202" s="359">
        <v>29</v>
      </c>
      <c r="T202" s="304" t="s">
        <v>1610</v>
      </c>
      <c r="U202" s="304"/>
      <c r="V202" s="169"/>
      <c r="W202" s="165"/>
    </row>
    <row r="203" s="315" customFormat="1" ht="24" customHeight="1" spans="1:23">
      <c r="A203" s="335">
        <v>202</v>
      </c>
      <c r="B203" s="336"/>
      <c r="C203" s="336" t="s">
        <v>1288</v>
      </c>
      <c r="D203" s="304" t="s">
        <v>1678</v>
      </c>
      <c r="E203" s="304" t="s">
        <v>1679</v>
      </c>
      <c r="F203" s="1" t="s">
        <v>1359</v>
      </c>
      <c r="G203" s="304" t="s">
        <v>1218</v>
      </c>
      <c r="H203" s="304" t="s">
        <v>1680</v>
      </c>
      <c r="I203" s="359"/>
      <c r="J203" s="360"/>
      <c r="K203" s="359"/>
      <c r="L203" s="359"/>
      <c r="M203" s="359"/>
      <c r="N203" s="359"/>
      <c r="O203" s="359"/>
      <c r="P203" s="359">
        <v>150</v>
      </c>
      <c r="Q203" s="359">
        <f t="shared" si="26"/>
        <v>150</v>
      </c>
      <c r="R203" s="359">
        <v>150</v>
      </c>
      <c r="S203" s="359"/>
      <c r="T203" s="304" t="s">
        <v>1681</v>
      </c>
      <c r="U203" s="304"/>
      <c r="V203" s="169"/>
      <c r="W203" s="165"/>
    </row>
    <row r="204" s="315" customFormat="1" ht="24" customHeight="1" spans="1:23">
      <c r="A204" s="335">
        <v>203</v>
      </c>
      <c r="B204" s="336"/>
      <c r="C204" s="336" t="s">
        <v>1288</v>
      </c>
      <c r="D204" s="304" t="s">
        <v>1496</v>
      </c>
      <c r="E204" s="304" t="s">
        <v>1679</v>
      </c>
      <c r="F204" s="1" t="s">
        <v>1359</v>
      </c>
      <c r="G204" s="304" t="s">
        <v>1218</v>
      </c>
      <c r="H204" s="304" t="s">
        <v>1680</v>
      </c>
      <c r="I204" s="359"/>
      <c r="J204" s="360"/>
      <c r="K204" s="359"/>
      <c r="L204" s="359"/>
      <c r="M204" s="359"/>
      <c r="N204" s="359"/>
      <c r="O204" s="359"/>
      <c r="P204" s="359">
        <v>150</v>
      </c>
      <c r="Q204" s="359">
        <f t="shared" si="26"/>
        <v>150</v>
      </c>
      <c r="R204" s="359">
        <v>150</v>
      </c>
      <c r="S204" s="359"/>
      <c r="T204" s="304" t="s">
        <v>1681</v>
      </c>
      <c r="U204" s="304"/>
      <c r="V204" s="169"/>
      <c r="W204" s="165"/>
    </row>
    <row r="205" s="315" customFormat="1" ht="24" customHeight="1" spans="1:23">
      <c r="A205" s="335">
        <v>204</v>
      </c>
      <c r="B205" s="336"/>
      <c r="C205" s="336" t="s">
        <v>1288</v>
      </c>
      <c r="D205" s="304" t="s">
        <v>1504</v>
      </c>
      <c r="E205" s="304" t="s">
        <v>1679</v>
      </c>
      <c r="F205" s="1" t="s">
        <v>1359</v>
      </c>
      <c r="G205" s="304" t="s">
        <v>1218</v>
      </c>
      <c r="H205" s="304" t="s">
        <v>1680</v>
      </c>
      <c r="I205" s="359"/>
      <c r="J205" s="360"/>
      <c r="K205" s="359"/>
      <c r="L205" s="359"/>
      <c r="M205" s="359"/>
      <c r="N205" s="359"/>
      <c r="O205" s="359"/>
      <c r="P205" s="359">
        <v>150</v>
      </c>
      <c r="Q205" s="359">
        <f t="shared" si="26"/>
        <v>150</v>
      </c>
      <c r="R205" s="359">
        <v>150</v>
      </c>
      <c r="S205" s="359"/>
      <c r="T205" s="304" t="s">
        <v>1681</v>
      </c>
      <c r="U205" s="304"/>
      <c r="V205" s="169"/>
      <c r="W205" s="165"/>
    </row>
    <row r="206" s="315" customFormat="1" ht="24" customHeight="1" spans="1:23">
      <c r="A206" s="335">
        <v>205</v>
      </c>
      <c r="B206" s="336"/>
      <c r="C206" s="336" t="s">
        <v>1288</v>
      </c>
      <c r="D206" s="304" t="s">
        <v>1506</v>
      </c>
      <c r="E206" s="304" t="s">
        <v>1679</v>
      </c>
      <c r="F206" s="1" t="s">
        <v>1359</v>
      </c>
      <c r="G206" s="304" t="s">
        <v>1218</v>
      </c>
      <c r="H206" s="304" t="s">
        <v>1680</v>
      </c>
      <c r="I206" s="359"/>
      <c r="J206" s="360"/>
      <c r="K206" s="359"/>
      <c r="L206" s="359"/>
      <c r="M206" s="359"/>
      <c r="N206" s="359"/>
      <c r="O206" s="359"/>
      <c r="P206" s="359">
        <v>80</v>
      </c>
      <c r="Q206" s="359">
        <f t="shared" si="26"/>
        <v>80</v>
      </c>
      <c r="R206" s="359">
        <v>80</v>
      </c>
      <c r="S206" s="359"/>
      <c r="T206" s="304" t="s">
        <v>1681</v>
      </c>
      <c r="U206" s="304"/>
      <c r="V206" s="169"/>
      <c r="W206" s="165"/>
    </row>
    <row r="207" s="315" customFormat="1" ht="24" customHeight="1" spans="1:23">
      <c r="A207" s="335">
        <v>206</v>
      </c>
      <c r="B207" s="336"/>
      <c r="C207" s="336" t="s">
        <v>1288</v>
      </c>
      <c r="D207" s="304" t="s">
        <v>1682</v>
      </c>
      <c r="E207" s="304" t="s">
        <v>1679</v>
      </c>
      <c r="F207" s="1" t="s">
        <v>1359</v>
      </c>
      <c r="G207" s="304" t="s">
        <v>1218</v>
      </c>
      <c r="H207" s="304" t="s">
        <v>1680</v>
      </c>
      <c r="I207" s="359"/>
      <c r="J207" s="360"/>
      <c r="K207" s="359"/>
      <c r="L207" s="359"/>
      <c r="M207" s="359"/>
      <c r="N207" s="359"/>
      <c r="O207" s="359"/>
      <c r="P207" s="359">
        <v>70</v>
      </c>
      <c r="Q207" s="359">
        <f t="shared" si="26"/>
        <v>70</v>
      </c>
      <c r="R207" s="359">
        <v>70</v>
      </c>
      <c r="S207" s="359"/>
      <c r="T207" s="304" t="s">
        <v>1681</v>
      </c>
      <c r="U207" s="304"/>
      <c r="V207" s="169"/>
      <c r="W207" s="165"/>
    </row>
    <row r="208" s="315" customFormat="1" ht="24" customHeight="1" spans="1:24">
      <c r="A208" s="335">
        <v>236</v>
      </c>
      <c r="B208" s="336"/>
      <c r="C208" s="336" t="s">
        <v>1288</v>
      </c>
      <c r="D208" s="304" t="s">
        <v>1683</v>
      </c>
      <c r="E208" s="304" t="s">
        <v>1679</v>
      </c>
      <c r="F208" s="1" t="s">
        <v>1217</v>
      </c>
      <c r="G208" s="304" t="s">
        <v>1230</v>
      </c>
      <c r="H208" s="304" t="s">
        <v>1684</v>
      </c>
      <c r="I208" s="359"/>
      <c r="J208" s="360"/>
      <c r="K208" s="359"/>
      <c r="L208" s="359"/>
      <c r="M208" s="359"/>
      <c r="N208" s="359"/>
      <c r="O208" s="359"/>
      <c r="P208" s="359">
        <v>759</v>
      </c>
      <c r="Q208" s="359">
        <f t="shared" si="26"/>
        <v>759</v>
      </c>
      <c r="R208" s="359">
        <v>759</v>
      </c>
      <c r="S208" s="359"/>
      <c r="T208" s="388" t="s">
        <v>1685</v>
      </c>
      <c r="U208" s="368"/>
      <c r="V208" s="169"/>
      <c r="W208" s="165"/>
      <c r="X208" s="315" t="s">
        <v>1686</v>
      </c>
    </row>
    <row r="209" s="315" customFormat="1" ht="84" spans="1:23">
      <c r="A209" s="335">
        <v>177</v>
      </c>
      <c r="B209" s="336" t="s">
        <v>889</v>
      </c>
      <c r="C209" s="336" t="s">
        <v>889</v>
      </c>
      <c r="D209" s="1" t="s">
        <v>1215</v>
      </c>
      <c r="E209" s="1" t="s">
        <v>1687</v>
      </c>
      <c r="F209" s="1" t="s">
        <v>1217</v>
      </c>
      <c r="G209" s="304" t="s">
        <v>1218</v>
      </c>
      <c r="H209" s="304" t="s">
        <v>1688</v>
      </c>
      <c r="I209" s="359">
        <v>90</v>
      </c>
      <c r="J209" s="360">
        <v>90</v>
      </c>
      <c r="K209" s="359"/>
      <c r="L209" s="359"/>
      <c r="M209" s="359"/>
      <c r="N209" s="359"/>
      <c r="O209" s="359"/>
      <c r="P209" s="359">
        <v>60</v>
      </c>
      <c r="Q209" s="359">
        <f t="shared" si="26"/>
        <v>150</v>
      </c>
      <c r="R209" s="367">
        <v>0</v>
      </c>
      <c r="S209" s="367">
        <v>150</v>
      </c>
      <c r="T209" s="304" t="s">
        <v>1689</v>
      </c>
      <c r="U209" s="304" t="s">
        <v>1690</v>
      </c>
      <c r="V209" s="169"/>
      <c r="W209" s="165"/>
    </row>
    <row r="210" s="315" customFormat="1" ht="24" customHeight="1" spans="1:23">
      <c r="A210" s="335">
        <v>178</v>
      </c>
      <c r="B210" s="336" t="s">
        <v>1135</v>
      </c>
      <c r="C210" s="336" t="s">
        <v>1135</v>
      </c>
      <c r="D210" s="304" t="s">
        <v>1517</v>
      </c>
      <c r="E210" s="304" t="s">
        <v>1687</v>
      </c>
      <c r="F210" s="1" t="s">
        <v>1217</v>
      </c>
      <c r="G210" s="304" t="s">
        <v>1230</v>
      </c>
      <c r="H210" s="304" t="s">
        <v>1691</v>
      </c>
      <c r="I210" s="359">
        <v>140</v>
      </c>
      <c r="J210" s="360">
        <v>140</v>
      </c>
      <c r="K210" s="359"/>
      <c r="L210" s="359"/>
      <c r="M210" s="359"/>
      <c r="N210" s="359"/>
      <c r="O210" s="359"/>
      <c r="P210" s="359">
        <v>84.99</v>
      </c>
      <c r="Q210" s="359">
        <f t="shared" si="26"/>
        <v>224.99</v>
      </c>
      <c r="R210" s="359">
        <v>84.9924</v>
      </c>
      <c r="S210" s="359">
        <v>140</v>
      </c>
      <c r="T210" s="304" t="s">
        <v>1692</v>
      </c>
      <c r="U210" s="304" t="s">
        <v>1693</v>
      </c>
      <c r="V210" s="169" t="s">
        <v>1221</v>
      </c>
      <c r="W210" s="165"/>
    </row>
    <row r="211" s="315" customFormat="1" ht="24" customHeight="1" spans="1:23">
      <c r="A211" s="335">
        <v>142</v>
      </c>
      <c r="B211" s="336" t="s">
        <v>880</v>
      </c>
      <c r="C211" s="336" t="s">
        <v>880</v>
      </c>
      <c r="D211" s="304" t="s">
        <v>1556</v>
      </c>
      <c r="E211" s="304" t="s">
        <v>1687</v>
      </c>
      <c r="F211" s="1" t="s">
        <v>1217</v>
      </c>
      <c r="G211" s="304" t="s">
        <v>1230</v>
      </c>
      <c r="H211" s="304" t="s">
        <v>1694</v>
      </c>
      <c r="I211" s="359">
        <v>508.5</v>
      </c>
      <c r="J211" s="360"/>
      <c r="K211" s="359">
        <v>508.5</v>
      </c>
      <c r="L211" s="359"/>
      <c r="M211" s="359"/>
      <c r="N211" s="359"/>
      <c r="O211" s="359"/>
      <c r="P211" s="359">
        <v>-94.03</v>
      </c>
      <c r="Q211" s="359">
        <f t="shared" si="26"/>
        <v>414.47</v>
      </c>
      <c r="R211" s="359">
        <v>278.52475</v>
      </c>
      <c r="S211" s="359"/>
      <c r="T211" s="304"/>
      <c r="U211" s="304" t="s">
        <v>1695</v>
      </c>
      <c r="V211" s="169" t="s">
        <v>1221</v>
      </c>
      <c r="W211" s="165"/>
    </row>
    <row r="212" s="315" customFormat="1" ht="29" customHeight="1" spans="1:23">
      <c r="A212" s="335">
        <v>238</v>
      </c>
      <c r="B212" s="336" t="s">
        <v>880</v>
      </c>
      <c r="C212" s="336" t="s">
        <v>880</v>
      </c>
      <c r="D212" s="304" t="s">
        <v>1683</v>
      </c>
      <c r="E212" s="304" t="s">
        <v>1687</v>
      </c>
      <c r="F212" s="1" t="s">
        <v>1217</v>
      </c>
      <c r="G212" s="304" t="s">
        <v>1230</v>
      </c>
      <c r="H212" s="304" t="s">
        <v>1696</v>
      </c>
      <c r="I212" s="359">
        <v>270</v>
      </c>
      <c r="J212" s="360">
        <v>270</v>
      </c>
      <c r="K212" s="359"/>
      <c r="L212" s="362"/>
      <c r="M212" s="362"/>
      <c r="N212" s="362"/>
      <c r="O212" s="362"/>
      <c r="P212" s="359">
        <f>498.25-768.25</f>
        <v>-270</v>
      </c>
      <c r="Q212" s="359">
        <f t="shared" si="26"/>
        <v>0</v>
      </c>
      <c r="R212" s="359"/>
      <c r="S212" s="359">
        <v>768.25</v>
      </c>
      <c r="T212" s="388" t="s">
        <v>1697</v>
      </c>
      <c r="U212" s="304" t="s">
        <v>1698</v>
      </c>
      <c r="V212" s="169"/>
      <c r="W212" s="165">
        <v>768.25</v>
      </c>
    </row>
    <row r="213" s="315" customFormat="1" ht="24" customHeight="1" spans="1:23">
      <c r="A213" s="335">
        <v>207</v>
      </c>
      <c r="B213" s="336"/>
      <c r="C213" s="345" t="s">
        <v>1288</v>
      </c>
      <c r="D213" s="349" t="s">
        <v>1517</v>
      </c>
      <c r="E213" s="349" t="s">
        <v>1687</v>
      </c>
      <c r="F213" s="348" t="s">
        <v>1359</v>
      </c>
      <c r="G213" s="349" t="s">
        <v>1218</v>
      </c>
      <c r="H213" s="349" t="s">
        <v>1699</v>
      </c>
      <c r="I213" s="361"/>
      <c r="J213" s="360"/>
      <c r="K213" s="359"/>
      <c r="L213" s="359"/>
      <c r="M213" s="359"/>
      <c r="N213" s="359"/>
      <c r="O213" s="359"/>
      <c r="P213" s="361">
        <f>1793.38-1750</f>
        <v>43.3800000000001</v>
      </c>
      <c r="Q213" s="361">
        <f t="shared" si="26"/>
        <v>43.3800000000001</v>
      </c>
      <c r="R213" s="361">
        <v>0</v>
      </c>
      <c r="S213" s="361">
        <v>43.39</v>
      </c>
      <c r="T213" s="349" t="s">
        <v>1700</v>
      </c>
      <c r="U213" s="304"/>
      <c r="V213" s="169"/>
      <c r="W213" s="165"/>
    </row>
    <row r="214" s="315" customFormat="1" ht="24" customHeight="1" spans="1:23">
      <c r="A214" s="335">
        <v>208</v>
      </c>
      <c r="B214" s="336"/>
      <c r="C214" s="345" t="s">
        <v>1288</v>
      </c>
      <c r="D214" s="349" t="s">
        <v>1517</v>
      </c>
      <c r="E214" s="349" t="s">
        <v>1687</v>
      </c>
      <c r="F214" s="348" t="s">
        <v>1359</v>
      </c>
      <c r="G214" s="349" t="s">
        <v>1218</v>
      </c>
      <c r="H214" s="349" t="s">
        <v>1701</v>
      </c>
      <c r="I214" s="361"/>
      <c r="J214" s="360"/>
      <c r="K214" s="359"/>
      <c r="L214" s="359"/>
      <c r="M214" s="359"/>
      <c r="N214" s="359"/>
      <c r="O214" s="359"/>
      <c r="P214" s="361">
        <f>137.84-78</f>
        <v>59.84</v>
      </c>
      <c r="Q214" s="361">
        <f t="shared" si="26"/>
        <v>59.84</v>
      </c>
      <c r="R214" s="361">
        <v>0</v>
      </c>
      <c r="S214" s="361">
        <v>59.84</v>
      </c>
      <c r="T214" s="349" t="s">
        <v>1702</v>
      </c>
      <c r="U214" s="304"/>
      <c r="V214" s="169"/>
      <c r="W214" s="165"/>
    </row>
    <row r="215" s="315" customFormat="1" ht="24" customHeight="1" spans="1:23">
      <c r="A215" s="335">
        <v>209</v>
      </c>
      <c r="B215" s="336"/>
      <c r="C215" s="345" t="s">
        <v>1288</v>
      </c>
      <c r="D215" s="349" t="s">
        <v>1517</v>
      </c>
      <c r="E215" s="349" t="s">
        <v>1687</v>
      </c>
      <c r="F215" s="348" t="s">
        <v>1359</v>
      </c>
      <c r="G215" s="349" t="s">
        <v>1218</v>
      </c>
      <c r="H215" s="349" t="s">
        <v>1703</v>
      </c>
      <c r="I215" s="361"/>
      <c r="J215" s="360"/>
      <c r="K215" s="359"/>
      <c r="L215" s="359"/>
      <c r="M215" s="359"/>
      <c r="N215" s="359"/>
      <c r="O215" s="359"/>
      <c r="P215" s="361">
        <f>1563.8-1493</f>
        <v>70.8</v>
      </c>
      <c r="Q215" s="361">
        <f t="shared" si="26"/>
        <v>70.8</v>
      </c>
      <c r="R215" s="361">
        <v>0</v>
      </c>
      <c r="S215" s="361"/>
      <c r="T215" s="349" t="s">
        <v>1704</v>
      </c>
      <c r="U215" s="304"/>
      <c r="V215" s="169"/>
      <c r="W215" s="165"/>
    </row>
    <row r="216" s="315" customFormat="1" ht="81" customHeight="1" spans="1:23">
      <c r="A216" s="335">
        <v>210</v>
      </c>
      <c r="B216" s="336" t="s">
        <v>1135</v>
      </c>
      <c r="C216" s="336" t="s">
        <v>1135</v>
      </c>
      <c r="D216" s="304" t="s">
        <v>1517</v>
      </c>
      <c r="E216" s="304" t="s">
        <v>1687</v>
      </c>
      <c r="F216" s="1" t="s">
        <v>1217</v>
      </c>
      <c r="G216" s="304" t="s">
        <v>1230</v>
      </c>
      <c r="H216" s="304" t="s">
        <v>1705</v>
      </c>
      <c r="I216" s="359">
        <v>385</v>
      </c>
      <c r="J216" s="360">
        <v>385</v>
      </c>
      <c r="K216" s="359"/>
      <c r="L216" s="359"/>
      <c r="M216" s="359"/>
      <c r="N216" s="359"/>
      <c r="O216" s="359"/>
      <c r="P216" s="359"/>
      <c r="Q216" s="359">
        <f t="shared" si="26"/>
        <v>385</v>
      </c>
      <c r="R216" s="359"/>
      <c r="S216" s="359">
        <v>385</v>
      </c>
      <c r="T216" s="304" t="s">
        <v>1706</v>
      </c>
      <c r="U216" s="304" t="s">
        <v>1707</v>
      </c>
      <c r="V216" s="169" t="s">
        <v>1221</v>
      </c>
      <c r="W216" s="165"/>
    </row>
    <row r="217" s="315" customFormat="1" ht="98" customHeight="1" spans="1:23">
      <c r="A217" s="335">
        <v>211</v>
      </c>
      <c r="B217" s="336" t="s">
        <v>1135</v>
      </c>
      <c r="C217" s="336" t="s">
        <v>1135</v>
      </c>
      <c r="D217" s="304" t="s">
        <v>1517</v>
      </c>
      <c r="E217" s="304" t="s">
        <v>1687</v>
      </c>
      <c r="F217" s="1" t="s">
        <v>1217</v>
      </c>
      <c r="G217" s="304" t="s">
        <v>1230</v>
      </c>
      <c r="H217" s="304" t="s">
        <v>1708</v>
      </c>
      <c r="I217" s="359">
        <v>2067.3</v>
      </c>
      <c r="J217" s="360">
        <v>2067.3</v>
      </c>
      <c r="K217" s="359"/>
      <c r="L217" s="359"/>
      <c r="M217" s="359"/>
      <c r="N217" s="359"/>
      <c r="O217" s="359"/>
      <c r="P217" s="359"/>
      <c r="Q217" s="359">
        <f t="shared" si="26"/>
        <v>2067.3</v>
      </c>
      <c r="R217" s="359">
        <v>225.91</v>
      </c>
      <c r="S217" s="359">
        <v>1841.39</v>
      </c>
      <c r="T217" s="304" t="s">
        <v>1709</v>
      </c>
      <c r="U217" s="304" t="s">
        <v>1710</v>
      </c>
      <c r="V217" s="169" t="s">
        <v>1221</v>
      </c>
      <c r="W217" s="165"/>
    </row>
    <row r="218" s="315" customFormat="1" ht="36" spans="1:23">
      <c r="A218" s="335">
        <v>212</v>
      </c>
      <c r="B218" s="336"/>
      <c r="C218" s="336" t="s">
        <v>1135</v>
      </c>
      <c r="D218" s="304" t="s">
        <v>1517</v>
      </c>
      <c r="E218" s="304" t="s">
        <v>1687</v>
      </c>
      <c r="F218" s="1" t="s">
        <v>1217</v>
      </c>
      <c r="G218" s="304" t="s">
        <v>1230</v>
      </c>
      <c r="H218" s="304" t="s">
        <v>1711</v>
      </c>
      <c r="I218" s="359"/>
      <c r="J218" s="360"/>
      <c r="K218" s="359"/>
      <c r="L218" s="359"/>
      <c r="M218" s="359"/>
      <c r="N218" s="359"/>
      <c r="O218" s="359"/>
      <c r="P218" s="359">
        <v>1072.81</v>
      </c>
      <c r="Q218" s="359">
        <f t="shared" si="26"/>
        <v>1072.81</v>
      </c>
      <c r="R218" s="359">
        <v>235.77</v>
      </c>
      <c r="S218" s="359">
        <v>837.04</v>
      </c>
      <c r="T218" s="304" t="s">
        <v>1712</v>
      </c>
      <c r="U218" s="304"/>
      <c r="V218" s="169"/>
      <c r="W218" s="165"/>
    </row>
    <row r="219" s="315" customFormat="1" ht="24" customHeight="1" spans="1:23">
      <c r="A219" s="335">
        <v>213</v>
      </c>
      <c r="B219" s="336"/>
      <c r="C219" s="336" t="s">
        <v>1713</v>
      </c>
      <c r="D219" s="304" t="s">
        <v>1496</v>
      </c>
      <c r="E219" s="304" t="s">
        <v>1687</v>
      </c>
      <c r="F219" s="1" t="s">
        <v>1217</v>
      </c>
      <c r="G219" s="304" t="s">
        <v>1218</v>
      </c>
      <c r="H219" s="304" t="s">
        <v>1714</v>
      </c>
      <c r="I219" s="359"/>
      <c r="J219" s="360"/>
      <c r="K219" s="359"/>
      <c r="L219" s="359"/>
      <c r="M219" s="359"/>
      <c r="N219" s="359"/>
      <c r="O219" s="359"/>
      <c r="P219" s="359"/>
      <c r="Q219" s="359">
        <f t="shared" si="26"/>
        <v>0</v>
      </c>
      <c r="R219" s="359">
        <v>0</v>
      </c>
      <c r="S219" s="359"/>
      <c r="T219" s="304" t="s">
        <v>1715</v>
      </c>
      <c r="U219" s="304"/>
      <c r="V219" s="169"/>
      <c r="W219" s="359">
        <v>900</v>
      </c>
    </row>
    <row r="220" s="315" customFormat="1" ht="24" customHeight="1" spans="1:23">
      <c r="A220" s="335">
        <v>214</v>
      </c>
      <c r="B220" s="336"/>
      <c r="C220" s="336" t="s">
        <v>1713</v>
      </c>
      <c r="D220" s="304" t="s">
        <v>1716</v>
      </c>
      <c r="E220" s="304" t="s">
        <v>1687</v>
      </c>
      <c r="F220" s="1" t="s">
        <v>1217</v>
      </c>
      <c r="G220" s="304" t="s">
        <v>1218</v>
      </c>
      <c r="H220" s="304" t="s">
        <v>1717</v>
      </c>
      <c r="I220" s="359"/>
      <c r="J220" s="360"/>
      <c r="K220" s="359"/>
      <c r="L220" s="359"/>
      <c r="M220" s="359"/>
      <c r="N220" s="359"/>
      <c r="O220" s="359"/>
      <c r="P220" s="359"/>
      <c r="Q220" s="359">
        <f t="shared" si="26"/>
        <v>0</v>
      </c>
      <c r="R220" s="359">
        <v>43.9052</v>
      </c>
      <c r="S220" s="359"/>
      <c r="T220" s="304" t="s">
        <v>1715</v>
      </c>
      <c r="U220" s="304"/>
      <c r="V220" s="169"/>
      <c r="W220" s="359">
        <v>500</v>
      </c>
    </row>
    <row r="221" s="315" customFormat="1" ht="24" customHeight="1" spans="1:23">
      <c r="A221" s="335">
        <v>215</v>
      </c>
      <c r="B221" s="336"/>
      <c r="C221" s="336" t="s">
        <v>1713</v>
      </c>
      <c r="D221" s="304" t="s">
        <v>1718</v>
      </c>
      <c r="E221" s="304" t="s">
        <v>1687</v>
      </c>
      <c r="F221" s="1" t="s">
        <v>1217</v>
      </c>
      <c r="G221" s="304" t="s">
        <v>1218</v>
      </c>
      <c r="H221" s="304" t="s">
        <v>1719</v>
      </c>
      <c r="I221" s="359"/>
      <c r="J221" s="360"/>
      <c r="K221" s="359"/>
      <c r="L221" s="359"/>
      <c r="M221" s="359"/>
      <c r="N221" s="359"/>
      <c r="O221" s="359"/>
      <c r="P221" s="359"/>
      <c r="Q221" s="359">
        <f t="shared" si="26"/>
        <v>0</v>
      </c>
      <c r="R221" s="359">
        <v>10</v>
      </c>
      <c r="S221" s="359"/>
      <c r="T221" s="304" t="s">
        <v>1720</v>
      </c>
      <c r="U221" s="304"/>
      <c r="V221" s="169"/>
      <c r="W221" s="359">
        <v>50</v>
      </c>
    </row>
    <row r="222" s="315" customFormat="1" ht="24" customHeight="1" spans="1:23">
      <c r="A222" s="335">
        <v>216</v>
      </c>
      <c r="B222" s="336"/>
      <c r="C222" s="336" t="s">
        <v>1713</v>
      </c>
      <c r="D222" s="304" t="s">
        <v>1289</v>
      </c>
      <c r="E222" s="304" t="s">
        <v>1687</v>
      </c>
      <c r="F222" s="1" t="s">
        <v>1217</v>
      </c>
      <c r="G222" s="304" t="s">
        <v>1218</v>
      </c>
      <c r="H222" s="304" t="s">
        <v>1721</v>
      </c>
      <c r="I222" s="359"/>
      <c r="J222" s="360"/>
      <c r="K222" s="359"/>
      <c r="L222" s="359"/>
      <c r="M222" s="359"/>
      <c r="N222" s="359"/>
      <c r="O222" s="359"/>
      <c r="P222" s="359"/>
      <c r="Q222" s="359">
        <f t="shared" si="26"/>
        <v>0</v>
      </c>
      <c r="R222" s="359">
        <v>200</v>
      </c>
      <c r="S222" s="359"/>
      <c r="T222" s="304" t="s">
        <v>1722</v>
      </c>
      <c r="U222" s="304"/>
      <c r="V222" s="169"/>
      <c r="W222" s="359">
        <v>200</v>
      </c>
    </row>
    <row r="223" s="315" customFormat="1" ht="36" spans="1:23">
      <c r="A223" s="335">
        <v>217</v>
      </c>
      <c r="B223" s="336"/>
      <c r="C223" s="336" t="s">
        <v>1713</v>
      </c>
      <c r="D223" s="304" t="s">
        <v>1228</v>
      </c>
      <c r="E223" s="304" t="s">
        <v>1687</v>
      </c>
      <c r="F223" s="1" t="s">
        <v>1217</v>
      </c>
      <c r="G223" s="304" t="s">
        <v>1218</v>
      </c>
      <c r="H223" s="304" t="s">
        <v>1723</v>
      </c>
      <c r="I223" s="359"/>
      <c r="J223" s="360"/>
      <c r="K223" s="359"/>
      <c r="L223" s="359"/>
      <c r="M223" s="359"/>
      <c r="N223" s="359"/>
      <c r="O223" s="359"/>
      <c r="P223" s="359">
        <v>30</v>
      </c>
      <c r="Q223" s="359">
        <f t="shared" si="26"/>
        <v>30</v>
      </c>
      <c r="R223" s="359">
        <v>0</v>
      </c>
      <c r="S223" s="359"/>
      <c r="T223" s="304" t="s">
        <v>1722</v>
      </c>
      <c r="U223" s="304"/>
      <c r="V223" s="169"/>
      <c r="W223" s="169"/>
    </row>
    <row r="224" s="315" customFormat="1" ht="24" customHeight="1" spans="1:23">
      <c r="A224" s="335">
        <v>218</v>
      </c>
      <c r="B224" s="336"/>
      <c r="C224" s="336" t="s">
        <v>1713</v>
      </c>
      <c r="D224" s="304" t="s">
        <v>1502</v>
      </c>
      <c r="E224" s="304" t="s">
        <v>1687</v>
      </c>
      <c r="F224" s="1" t="s">
        <v>1217</v>
      </c>
      <c r="G224" s="304" t="s">
        <v>1218</v>
      </c>
      <c r="H224" s="304" t="s">
        <v>1724</v>
      </c>
      <c r="I224" s="359"/>
      <c r="J224" s="360"/>
      <c r="K224" s="359"/>
      <c r="L224" s="359"/>
      <c r="M224" s="359"/>
      <c r="N224" s="359"/>
      <c r="O224" s="359"/>
      <c r="P224" s="359">
        <v>30</v>
      </c>
      <c r="Q224" s="359">
        <f t="shared" si="26"/>
        <v>30</v>
      </c>
      <c r="R224" s="359"/>
      <c r="S224" s="359"/>
      <c r="T224" s="304" t="s">
        <v>1722</v>
      </c>
      <c r="U224" s="304"/>
      <c r="V224" s="169"/>
      <c r="W224" s="169"/>
    </row>
    <row r="225" s="315" customFormat="1" ht="24" customHeight="1" spans="1:23">
      <c r="A225" s="335">
        <v>219</v>
      </c>
      <c r="B225" s="336"/>
      <c r="C225" s="336" t="s">
        <v>1713</v>
      </c>
      <c r="D225" s="304" t="s">
        <v>1718</v>
      </c>
      <c r="E225" s="304" t="s">
        <v>1687</v>
      </c>
      <c r="F225" s="1" t="s">
        <v>1217</v>
      </c>
      <c r="G225" s="304" t="s">
        <v>1218</v>
      </c>
      <c r="H225" s="304" t="s">
        <v>1725</v>
      </c>
      <c r="I225" s="359"/>
      <c r="J225" s="360"/>
      <c r="K225" s="359"/>
      <c r="L225" s="359"/>
      <c r="M225" s="359"/>
      <c r="N225" s="359"/>
      <c r="O225" s="359"/>
      <c r="P225" s="359">
        <v>30</v>
      </c>
      <c r="Q225" s="359">
        <f t="shared" si="26"/>
        <v>30</v>
      </c>
      <c r="R225" s="359">
        <v>0</v>
      </c>
      <c r="S225" s="359"/>
      <c r="T225" s="304" t="s">
        <v>1722</v>
      </c>
      <c r="U225" s="304"/>
      <c r="V225" s="169"/>
      <c r="W225" s="169"/>
    </row>
    <row r="226" s="315" customFormat="1" ht="24" customHeight="1" spans="1:23">
      <c r="A226" s="335">
        <v>220</v>
      </c>
      <c r="B226" s="336"/>
      <c r="C226" s="336" t="s">
        <v>1713</v>
      </c>
      <c r="D226" s="304" t="s">
        <v>1726</v>
      </c>
      <c r="E226" s="304" t="s">
        <v>1687</v>
      </c>
      <c r="F226" s="1" t="s">
        <v>1217</v>
      </c>
      <c r="G226" s="304" t="s">
        <v>1218</v>
      </c>
      <c r="H226" s="304" t="s">
        <v>1727</v>
      </c>
      <c r="I226" s="359"/>
      <c r="J226" s="360"/>
      <c r="K226" s="359"/>
      <c r="L226" s="359"/>
      <c r="M226" s="359"/>
      <c r="N226" s="359"/>
      <c r="O226" s="359"/>
      <c r="P226" s="359">
        <v>90</v>
      </c>
      <c r="Q226" s="359">
        <f t="shared" si="26"/>
        <v>90</v>
      </c>
      <c r="R226" s="359">
        <v>0</v>
      </c>
      <c r="S226" s="359"/>
      <c r="T226" s="304" t="s">
        <v>1728</v>
      </c>
      <c r="U226" s="304"/>
      <c r="V226" s="169"/>
      <c r="W226" s="169"/>
    </row>
    <row r="227" s="315" customFormat="1" ht="24" customHeight="1" spans="1:23">
      <c r="A227" s="335">
        <v>221</v>
      </c>
      <c r="B227" s="336"/>
      <c r="C227" s="336" t="s">
        <v>1713</v>
      </c>
      <c r="D227" s="304" t="s">
        <v>1716</v>
      </c>
      <c r="E227" s="304" t="s">
        <v>1687</v>
      </c>
      <c r="F227" s="1" t="s">
        <v>1217</v>
      </c>
      <c r="G227" s="304" t="s">
        <v>1218</v>
      </c>
      <c r="H227" s="304" t="s">
        <v>1727</v>
      </c>
      <c r="I227" s="359"/>
      <c r="J227" s="360"/>
      <c r="K227" s="359"/>
      <c r="L227" s="359"/>
      <c r="M227" s="359"/>
      <c r="N227" s="359"/>
      <c r="O227" s="359"/>
      <c r="P227" s="359">
        <v>80</v>
      </c>
      <c r="Q227" s="359">
        <f t="shared" si="26"/>
        <v>80</v>
      </c>
      <c r="R227" s="359">
        <v>0</v>
      </c>
      <c r="S227" s="359"/>
      <c r="T227" s="304" t="s">
        <v>1728</v>
      </c>
      <c r="U227" s="304"/>
      <c r="V227" s="169"/>
      <c r="W227" s="169"/>
    </row>
    <row r="228" s="315" customFormat="1" ht="24" customHeight="1" spans="1:23">
      <c r="A228" s="335">
        <v>222</v>
      </c>
      <c r="B228" s="336"/>
      <c r="C228" s="336" t="s">
        <v>1713</v>
      </c>
      <c r="D228" s="304" t="s">
        <v>1502</v>
      </c>
      <c r="E228" s="304" t="s">
        <v>1687</v>
      </c>
      <c r="F228" s="1" t="s">
        <v>1217</v>
      </c>
      <c r="G228" s="304" t="s">
        <v>1218</v>
      </c>
      <c r="H228" s="304" t="s">
        <v>1727</v>
      </c>
      <c r="I228" s="359"/>
      <c r="J228" s="360"/>
      <c r="K228" s="359"/>
      <c r="L228" s="359"/>
      <c r="M228" s="359"/>
      <c r="N228" s="359"/>
      <c r="O228" s="359"/>
      <c r="P228" s="359"/>
      <c r="Q228" s="359">
        <f t="shared" si="26"/>
        <v>0</v>
      </c>
      <c r="R228" s="359">
        <v>0</v>
      </c>
      <c r="S228" s="359"/>
      <c r="T228" s="304" t="s">
        <v>1728</v>
      </c>
      <c r="U228" s="304"/>
      <c r="V228" s="169"/>
      <c r="W228" s="169">
        <v>100</v>
      </c>
    </row>
    <row r="229" s="315" customFormat="1" ht="24" customHeight="1" spans="1:23">
      <c r="A229" s="335">
        <v>223</v>
      </c>
      <c r="B229" s="336"/>
      <c r="C229" s="336" t="s">
        <v>1713</v>
      </c>
      <c r="D229" s="304" t="s">
        <v>1729</v>
      </c>
      <c r="E229" s="304" t="s">
        <v>1687</v>
      </c>
      <c r="F229" s="1" t="s">
        <v>1217</v>
      </c>
      <c r="G229" s="304" t="s">
        <v>1218</v>
      </c>
      <c r="H229" s="304" t="s">
        <v>1730</v>
      </c>
      <c r="I229" s="359"/>
      <c r="J229" s="360"/>
      <c r="K229" s="359"/>
      <c r="L229" s="359"/>
      <c r="M229" s="359"/>
      <c r="N229" s="359"/>
      <c r="O229" s="359"/>
      <c r="P229" s="359"/>
      <c r="Q229" s="359">
        <f>I229+P229</f>
        <v>0</v>
      </c>
      <c r="R229" s="359">
        <v>130</v>
      </c>
      <c r="S229" s="359"/>
      <c r="T229" s="304" t="s">
        <v>1728</v>
      </c>
      <c r="U229" s="304"/>
      <c r="V229" s="169"/>
      <c r="W229" s="169">
        <v>130</v>
      </c>
    </row>
    <row r="230" s="315" customFormat="1" ht="24" customHeight="1" spans="1:23">
      <c r="A230" s="335">
        <v>224</v>
      </c>
      <c r="B230" s="336" t="s">
        <v>1135</v>
      </c>
      <c r="C230" s="336" t="s">
        <v>1135</v>
      </c>
      <c r="D230" s="304" t="s">
        <v>1731</v>
      </c>
      <c r="E230" s="304" t="s">
        <v>1732</v>
      </c>
      <c r="F230" s="1" t="s">
        <v>1217</v>
      </c>
      <c r="G230" s="304" t="s">
        <v>1230</v>
      </c>
      <c r="H230" s="304" t="s">
        <v>1733</v>
      </c>
      <c r="I230" s="359">
        <v>302.5</v>
      </c>
      <c r="J230" s="360">
        <v>302.5</v>
      </c>
      <c r="K230" s="359"/>
      <c r="L230" s="359"/>
      <c r="M230" s="359"/>
      <c r="N230" s="359"/>
      <c r="O230" s="359"/>
      <c r="P230" s="359">
        <v>-302.5</v>
      </c>
      <c r="Q230" s="359">
        <f>I230+P230</f>
        <v>0</v>
      </c>
      <c r="R230" s="359"/>
      <c r="S230" s="359">
        <v>302.5</v>
      </c>
      <c r="T230" s="304"/>
      <c r="U230" s="304" t="s">
        <v>1734</v>
      </c>
      <c r="V230" s="169" t="s">
        <v>1221</v>
      </c>
      <c r="W230" s="165">
        <v>302.5</v>
      </c>
    </row>
    <row r="231" s="315" customFormat="1" ht="24" customHeight="1" spans="1:23">
      <c r="A231" s="335">
        <v>225</v>
      </c>
      <c r="B231" s="336"/>
      <c r="C231" s="336" t="s">
        <v>1135</v>
      </c>
      <c r="D231" s="304" t="s">
        <v>1735</v>
      </c>
      <c r="E231" s="304" t="s">
        <v>1732</v>
      </c>
      <c r="F231" s="1" t="s">
        <v>1217</v>
      </c>
      <c r="G231" s="304" t="s">
        <v>1230</v>
      </c>
      <c r="H231" s="304" t="s">
        <v>1736</v>
      </c>
      <c r="I231" s="359"/>
      <c r="J231" s="360"/>
      <c r="K231" s="359"/>
      <c r="L231" s="359"/>
      <c r="M231" s="359"/>
      <c r="N231" s="359"/>
      <c r="O231" s="359"/>
      <c r="P231" s="359"/>
      <c r="Q231" s="359">
        <f t="shared" ref="Q230:Q237" si="27">I231+P231</f>
        <v>0</v>
      </c>
      <c r="R231" s="359"/>
      <c r="S231" s="359">
        <v>144.75</v>
      </c>
      <c r="T231" s="304" t="s">
        <v>1737</v>
      </c>
      <c r="U231" s="304"/>
      <c r="V231" s="169"/>
      <c r="W231" s="165">
        <v>144.75</v>
      </c>
    </row>
    <row r="232" s="315" customFormat="1" ht="24" customHeight="1" spans="1:23">
      <c r="A232" s="335">
        <v>226</v>
      </c>
      <c r="B232" s="336"/>
      <c r="C232" s="336" t="s">
        <v>1135</v>
      </c>
      <c r="D232" s="304" t="s">
        <v>1506</v>
      </c>
      <c r="E232" s="304" t="s">
        <v>1732</v>
      </c>
      <c r="F232" s="1" t="s">
        <v>1217</v>
      </c>
      <c r="G232" s="304" t="s">
        <v>1230</v>
      </c>
      <c r="H232" s="304" t="s">
        <v>1738</v>
      </c>
      <c r="I232" s="359"/>
      <c r="J232" s="360"/>
      <c r="K232" s="359"/>
      <c r="L232" s="359"/>
      <c r="M232" s="359"/>
      <c r="N232" s="359"/>
      <c r="O232" s="359"/>
      <c r="P232" s="359"/>
      <c r="Q232" s="359">
        <f t="shared" si="27"/>
        <v>0</v>
      </c>
      <c r="R232" s="359"/>
      <c r="S232" s="359">
        <v>110</v>
      </c>
      <c r="T232" s="304" t="s">
        <v>1737</v>
      </c>
      <c r="U232" s="304"/>
      <c r="V232" s="169"/>
      <c r="W232" s="165">
        <v>110</v>
      </c>
    </row>
    <row r="233" s="315" customFormat="1" ht="24" customHeight="1" spans="1:23">
      <c r="A233" s="335">
        <v>227</v>
      </c>
      <c r="B233" s="336"/>
      <c r="C233" s="336" t="s">
        <v>1135</v>
      </c>
      <c r="D233" s="304" t="s">
        <v>1739</v>
      </c>
      <c r="E233" s="304" t="s">
        <v>1732</v>
      </c>
      <c r="F233" s="1" t="s">
        <v>1217</v>
      </c>
      <c r="G233" s="304" t="s">
        <v>1230</v>
      </c>
      <c r="H233" s="304" t="s">
        <v>1740</v>
      </c>
      <c r="I233" s="359"/>
      <c r="J233" s="360"/>
      <c r="K233" s="359"/>
      <c r="L233" s="359"/>
      <c r="M233" s="359"/>
      <c r="N233" s="359"/>
      <c r="O233" s="359"/>
      <c r="P233" s="359">
        <v>34</v>
      </c>
      <c r="Q233" s="359">
        <f t="shared" si="27"/>
        <v>34</v>
      </c>
      <c r="R233" s="359"/>
      <c r="S233" s="359">
        <v>34</v>
      </c>
      <c r="T233" s="304" t="s">
        <v>1737</v>
      </c>
      <c r="U233" s="304"/>
      <c r="V233" s="169"/>
      <c r="W233" s="165"/>
    </row>
    <row r="234" s="315" customFormat="1" ht="24" customHeight="1" spans="1:23">
      <c r="A234" s="335">
        <v>228</v>
      </c>
      <c r="B234" s="336"/>
      <c r="C234" s="336" t="s">
        <v>1135</v>
      </c>
      <c r="D234" s="304" t="s">
        <v>1741</v>
      </c>
      <c r="E234" s="304" t="s">
        <v>1732</v>
      </c>
      <c r="F234" s="1" t="s">
        <v>1217</v>
      </c>
      <c r="G234" s="304" t="s">
        <v>1230</v>
      </c>
      <c r="H234" s="304" t="s">
        <v>1742</v>
      </c>
      <c r="I234" s="359"/>
      <c r="J234" s="360"/>
      <c r="K234" s="359"/>
      <c r="L234" s="359"/>
      <c r="M234" s="359"/>
      <c r="N234" s="359"/>
      <c r="O234" s="359"/>
      <c r="P234" s="359">
        <v>20</v>
      </c>
      <c r="Q234" s="359">
        <f t="shared" si="27"/>
        <v>20</v>
      </c>
      <c r="R234" s="359"/>
      <c r="S234" s="359">
        <v>20</v>
      </c>
      <c r="T234" s="304" t="s">
        <v>1737</v>
      </c>
      <c r="U234" s="304"/>
      <c r="V234" s="169"/>
      <c r="W234" s="165"/>
    </row>
    <row r="235" s="315" customFormat="1" ht="24" spans="1:23">
      <c r="A235" s="335">
        <v>229</v>
      </c>
      <c r="B235" s="336"/>
      <c r="C235" s="336" t="s">
        <v>1135</v>
      </c>
      <c r="D235" s="304" t="s">
        <v>1743</v>
      </c>
      <c r="E235" s="304" t="s">
        <v>1732</v>
      </c>
      <c r="F235" s="1" t="s">
        <v>1217</v>
      </c>
      <c r="G235" s="304" t="s">
        <v>1230</v>
      </c>
      <c r="H235" s="304" t="s">
        <v>1733</v>
      </c>
      <c r="I235" s="359"/>
      <c r="J235" s="360"/>
      <c r="K235" s="359"/>
      <c r="L235" s="359"/>
      <c r="M235" s="359"/>
      <c r="N235" s="359"/>
      <c r="O235" s="359"/>
      <c r="P235" s="359"/>
      <c r="Q235" s="359">
        <f t="shared" si="27"/>
        <v>0</v>
      </c>
      <c r="R235" s="359">
        <v>141.5</v>
      </c>
      <c r="S235" s="359">
        <v>406</v>
      </c>
      <c r="T235" s="304" t="s">
        <v>1744</v>
      </c>
      <c r="U235" s="304"/>
      <c r="V235" s="169"/>
      <c r="W235" s="165">
        <v>547.5</v>
      </c>
    </row>
    <row r="236" s="315" customFormat="1" ht="24" customHeight="1" spans="1:23">
      <c r="A236" s="335">
        <v>230</v>
      </c>
      <c r="B236" s="343" t="s">
        <v>730</v>
      </c>
      <c r="C236" s="336" t="s">
        <v>1161</v>
      </c>
      <c r="D236" s="1" t="s">
        <v>1381</v>
      </c>
      <c r="E236" s="1" t="s">
        <v>1745</v>
      </c>
      <c r="F236" s="1" t="s">
        <v>1217</v>
      </c>
      <c r="G236" s="304" t="s">
        <v>1296</v>
      </c>
      <c r="H236" s="304" t="s">
        <v>1746</v>
      </c>
      <c r="I236" s="359">
        <v>9</v>
      </c>
      <c r="J236" s="360">
        <v>9</v>
      </c>
      <c r="K236" s="359"/>
      <c r="L236" s="359"/>
      <c r="M236" s="359"/>
      <c r="N236" s="359"/>
      <c r="O236" s="359"/>
      <c r="P236" s="359"/>
      <c r="Q236" s="359">
        <f t="shared" si="27"/>
        <v>9</v>
      </c>
      <c r="R236" s="359">
        <v>0.99</v>
      </c>
      <c r="S236" s="359"/>
      <c r="T236" s="304"/>
      <c r="U236" s="304" t="s">
        <v>1747</v>
      </c>
      <c r="V236" s="169"/>
      <c r="W236" s="165"/>
    </row>
    <row r="237" s="315" customFormat="1" ht="24" customHeight="1" spans="1:23">
      <c r="A237" s="335">
        <v>231</v>
      </c>
      <c r="B237" s="336" t="s">
        <v>880</v>
      </c>
      <c r="C237" s="336" t="s">
        <v>880</v>
      </c>
      <c r="D237" s="304" t="s">
        <v>1748</v>
      </c>
      <c r="E237" s="304" t="s">
        <v>1749</v>
      </c>
      <c r="F237" s="1" t="s">
        <v>1217</v>
      </c>
      <c r="G237" s="304" t="s">
        <v>1230</v>
      </c>
      <c r="H237" s="304" t="s">
        <v>1750</v>
      </c>
      <c r="I237" s="359">
        <v>9</v>
      </c>
      <c r="J237" s="360">
        <v>9</v>
      </c>
      <c r="K237" s="359"/>
      <c r="L237" s="359"/>
      <c r="M237" s="359"/>
      <c r="N237" s="359"/>
      <c r="O237" s="359"/>
      <c r="P237" s="359"/>
      <c r="Q237" s="359">
        <f t="shared" si="27"/>
        <v>9</v>
      </c>
      <c r="R237" s="359"/>
      <c r="S237" s="359"/>
      <c r="T237" s="304"/>
      <c r="U237" s="368"/>
      <c r="V237" s="169"/>
      <c r="W237" s="165"/>
    </row>
    <row r="238" s="316" customFormat="1" ht="24" customHeight="1" spans="1:23">
      <c r="A238" s="335">
        <v>232</v>
      </c>
      <c r="B238" s="337"/>
      <c r="C238" s="337"/>
      <c r="D238" s="332"/>
      <c r="E238" s="333" t="s">
        <v>1751</v>
      </c>
      <c r="F238" s="333"/>
      <c r="G238" s="333"/>
      <c r="H238" s="334"/>
      <c r="I238" s="358">
        <f>SUM(I239:I249)</f>
        <v>661</v>
      </c>
      <c r="J238" s="358">
        <f t="shared" ref="J238:S238" si="28">SUM(J239:J249)</f>
        <v>14</v>
      </c>
      <c r="K238" s="358">
        <f t="shared" si="28"/>
        <v>647</v>
      </c>
      <c r="L238" s="358">
        <f t="shared" si="28"/>
        <v>0</v>
      </c>
      <c r="M238" s="358">
        <f t="shared" si="28"/>
        <v>0</v>
      </c>
      <c r="N238" s="358">
        <f t="shared" si="28"/>
        <v>0</v>
      </c>
      <c r="O238" s="358">
        <f t="shared" si="28"/>
        <v>0</v>
      </c>
      <c r="P238" s="358">
        <f t="shared" si="28"/>
        <v>5966.431172</v>
      </c>
      <c r="Q238" s="358">
        <f t="shared" si="28"/>
        <v>6627.431172</v>
      </c>
      <c r="R238" s="358">
        <f t="shared" si="28"/>
        <v>828.28</v>
      </c>
      <c r="S238" s="358">
        <f t="shared" si="28"/>
        <v>326.034</v>
      </c>
      <c r="T238" s="369"/>
      <c r="U238" s="364"/>
      <c r="V238" s="365"/>
      <c r="W238" s="366"/>
    </row>
    <row r="239" s="315" customFormat="1" ht="76" customHeight="1" spans="1:23">
      <c r="A239" s="335">
        <v>233</v>
      </c>
      <c r="B239" s="336"/>
      <c r="C239" s="336" t="s">
        <v>880</v>
      </c>
      <c r="D239" s="304" t="s">
        <v>1752</v>
      </c>
      <c r="E239" s="304" t="s">
        <v>1753</v>
      </c>
      <c r="F239" s="1" t="s">
        <v>1217</v>
      </c>
      <c r="G239" s="304" t="s">
        <v>1230</v>
      </c>
      <c r="H239" s="304" t="s">
        <v>1754</v>
      </c>
      <c r="I239" s="359"/>
      <c r="J239" s="360"/>
      <c r="K239" s="359"/>
      <c r="L239" s="362"/>
      <c r="M239" s="362"/>
      <c r="N239" s="362"/>
      <c r="O239" s="362"/>
      <c r="P239" s="359"/>
      <c r="Q239" s="359">
        <f t="shared" ref="Q239:Q249" si="29">I239+P239</f>
        <v>0</v>
      </c>
      <c r="R239" s="359"/>
      <c r="S239" s="359"/>
      <c r="T239" s="388" t="s">
        <v>1755</v>
      </c>
      <c r="U239" s="368"/>
      <c r="V239" s="169"/>
      <c r="W239" s="165">
        <v>432</v>
      </c>
    </row>
    <row r="240" s="315" customFormat="1" ht="24" customHeight="1" spans="1:23">
      <c r="A240" s="335">
        <v>234</v>
      </c>
      <c r="B240" s="336"/>
      <c r="C240" s="336" t="s">
        <v>1227</v>
      </c>
      <c r="D240" s="304" t="s">
        <v>1583</v>
      </c>
      <c r="E240" s="304" t="s">
        <v>1753</v>
      </c>
      <c r="F240" s="1" t="s">
        <v>1217</v>
      </c>
      <c r="G240" s="304" t="s">
        <v>1230</v>
      </c>
      <c r="H240" s="304" t="s">
        <v>1756</v>
      </c>
      <c r="I240" s="359"/>
      <c r="J240" s="360"/>
      <c r="K240" s="359"/>
      <c r="L240" s="359"/>
      <c r="M240" s="359"/>
      <c r="N240" s="359"/>
      <c r="O240" s="359"/>
      <c r="P240" s="359">
        <v>60.94</v>
      </c>
      <c r="Q240" s="359">
        <f t="shared" si="29"/>
        <v>60.94</v>
      </c>
      <c r="R240" s="359">
        <v>0</v>
      </c>
      <c r="S240" s="359"/>
      <c r="T240" s="388" t="s">
        <v>1276</v>
      </c>
      <c r="U240" s="368"/>
      <c r="V240" s="169"/>
      <c r="W240" s="165"/>
    </row>
    <row r="241" s="315" customFormat="1" ht="24" customHeight="1" spans="1:23">
      <c r="A241" s="335">
        <v>235</v>
      </c>
      <c r="B241" s="336"/>
      <c r="C241" s="336" t="s">
        <v>1227</v>
      </c>
      <c r="D241" s="304" t="s">
        <v>1757</v>
      </c>
      <c r="E241" s="304" t="s">
        <v>1753</v>
      </c>
      <c r="F241" s="1" t="s">
        <v>1217</v>
      </c>
      <c r="G241" s="304" t="s">
        <v>1230</v>
      </c>
      <c r="H241" s="304" t="s">
        <v>1758</v>
      </c>
      <c r="I241" s="359"/>
      <c r="J241" s="360"/>
      <c r="K241" s="359"/>
      <c r="L241" s="359"/>
      <c r="M241" s="359"/>
      <c r="N241" s="359"/>
      <c r="O241" s="359"/>
      <c r="P241" s="359"/>
      <c r="Q241" s="359">
        <f t="shared" si="29"/>
        <v>0</v>
      </c>
      <c r="R241" s="359">
        <v>55</v>
      </c>
      <c r="S241" s="359"/>
      <c r="T241" s="388" t="s">
        <v>1276</v>
      </c>
      <c r="U241" s="368"/>
      <c r="V241" s="169"/>
      <c r="W241" s="165">
        <v>621.4298</v>
      </c>
    </row>
    <row r="242" s="315" customFormat="1" ht="24" customHeight="1" spans="1:23">
      <c r="A242" s="335">
        <v>237</v>
      </c>
      <c r="B242" s="336"/>
      <c r="C242" s="336" t="s">
        <v>1288</v>
      </c>
      <c r="D242" s="304" t="s">
        <v>1683</v>
      </c>
      <c r="E242" s="304" t="s">
        <v>1753</v>
      </c>
      <c r="F242" s="1" t="s">
        <v>1217</v>
      </c>
      <c r="G242" s="304" t="s">
        <v>1230</v>
      </c>
      <c r="H242" s="304" t="s">
        <v>1759</v>
      </c>
      <c r="I242" s="359"/>
      <c r="J242" s="360"/>
      <c r="K242" s="359"/>
      <c r="L242" s="359"/>
      <c r="M242" s="359"/>
      <c r="N242" s="359"/>
      <c r="O242" s="359"/>
      <c r="P242" s="359">
        <v>205</v>
      </c>
      <c r="Q242" s="359">
        <f t="shared" si="29"/>
        <v>205</v>
      </c>
      <c r="R242" s="359"/>
      <c r="S242" s="359"/>
      <c r="T242" s="388" t="s">
        <v>1273</v>
      </c>
      <c r="U242" s="368"/>
      <c r="V242" s="169"/>
      <c r="W242" s="165"/>
    </row>
    <row r="243" s="315" customFormat="1" ht="29" customHeight="1" spans="1:23">
      <c r="A243" s="335">
        <v>239</v>
      </c>
      <c r="B243" s="336" t="s">
        <v>880</v>
      </c>
      <c r="C243" s="336" t="s">
        <v>880</v>
      </c>
      <c r="D243" s="304" t="s">
        <v>1683</v>
      </c>
      <c r="E243" s="304" t="s">
        <v>1760</v>
      </c>
      <c r="F243" s="1" t="s">
        <v>1217</v>
      </c>
      <c r="G243" s="304" t="s">
        <v>1230</v>
      </c>
      <c r="H243" s="304" t="s">
        <v>1761</v>
      </c>
      <c r="I243" s="359">
        <v>14</v>
      </c>
      <c r="J243" s="360">
        <v>14</v>
      </c>
      <c r="K243" s="359"/>
      <c r="L243" s="362"/>
      <c r="M243" s="362"/>
      <c r="N243" s="362"/>
      <c r="O243" s="362"/>
      <c r="P243" s="362"/>
      <c r="Q243" s="359">
        <f t="shared" si="29"/>
        <v>14</v>
      </c>
      <c r="R243" s="359"/>
      <c r="S243" s="359"/>
      <c r="T243" s="398"/>
      <c r="U243" s="368" t="s">
        <v>1762</v>
      </c>
      <c r="V243" s="169"/>
      <c r="W243" s="165"/>
    </row>
    <row r="244" s="315" customFormat="1" ht="29" customHeight="1" spans="1:23">
      <c r="A244" s="335">
        <v>240</v>
      </c>
      <c r="B244" s="336" t="s">
        <v>880</v>
      </c>
      <c r="C244" s="336" t="s">
        <v>880</v>
      </c>
      <c r="D244" s="304" t="s">
        <v>1683</v>
      </c>
      <c r="E244" s="304" t="s">
        <v>1760</v>
      </c>
      <c r="F244" s="1" t="s">
        <v>1217</v>
      </c>
      <c r="G244" s="304" t="s">
        <v>1296</v>
      </c>
      <c r="H244" s="304" t="s">
        <v>1763</v>
      </c>
      <c r="I244" s="359">
        <v>647</v>
      </c>
      <c r="J244" s="360"/>
      <c r="K244" s="359">
        <v>647</v>
      </c>
      <c r="L244" s="362"/>
      <c r="M244" s="362"/>
      <c r="N244" s="362"/>
      <c r="O244" s="362"/>
      <c r="P244" s="359">
        <v>-647</v>
      </c>
      <c r="Q244" s="359">
        <f t="shared" si="29"/>
        <v>0</v>
      </c>
      <c r="R244" s="359">
        <v>585.28</v>
      </c>
      <c r="S244" s="359"/>
      <c r="T244" s="398"/>
      <c r="U244" s="368" t="s">
        <v>1764</v>
      </c>
      <c r="V244" s="169"/>
      <c r="W244" s="165">
        <v>647</v>
      </c>
    </row>
    <row r="245" s="315" customFormat="1" ht="36" spans="1:23">
      <c r="A245" s="335">
        <v>241</v>
      </c>
      <c r="B245" s="336"/>
      <c r="C245" s="336" t="s">
        <v>880</v>
      </c>
      <c r="D245" s="304" t="s">
        <v>1765</v>
      </c>
      <c r="E245" s="304" t="s">
        <v>1766</v>
      </c>
      <c r="F245" s="1" t="s">
        <v>1217</v>
      </c>
      <c r="G245" s="304" t="s">
        <v>1230</v>
      </c>
      <c r="H245" s="304" t="s">
        <v>1767</v>
      </c>
      <c r="I245" s="359"/>
      <c r="J245" s="360"/>
      <c r="K245" s="359"/>
      <c r="L245" s="362"/>
      <c r="M245" s="362"/>
      <c r="N245" s="362"/>
      <c r="O245" s="362"/>
      <c r="P245" s="359"/>
      <c r="Q245" s="359">
        <f t="shared" si="29"/>
        <v>0</v>
      </c>
      <c r="R245" s="359"/>
      <c r="S245" s="359"/>
      <c r="T245" s="388" t="s">
        <v>1768</v>
      </c>
      <c r="U245" s="368"/>
      <c r="V245" s="169"/>
      <c r="W245" s="165">
        <v>429.14</v>
      </c>
    </row>
    <row r="246" s="315" customFormat="1" ht="24" spans="1:23">
      <c r="A246" s="335">
        <v>242</v>
      </c>
      <c r="B246" s="336"/>
      <c r="C246" s="336" t="s">
        <v>1713</v>
      </c>
      <c r="D246" s="304" t="s">
        <v>1485</v>
      </c>
      <c r="E246" s="304" t="s">
        <v>1769</v>
      </c>
      <c r="F246" s="1" t="s">
        <v>1217</v>
      </c>
      <c r="G246" s="304" t="s">
        <v>1218</v>
      </c>
      <c r="H246" s="304" t="s">
        <v>1770</v>
      </c>
      <c r="I246" s="359"/>
      <c r="J246" s="360"/>
      <c r="K246" s="359"/>
      <c r="L246" s="362"/>
      <c r="M246" s="362"/>
      <c r="N246" s="362"/>
      <c r="O246" s="362"/>
      <c r="P246" s="359">
        <v>326.03</v>
      </c>
      <c r="Q246" s="359">
        <f t="shared" si="29"/>
        <v>326.03</v>
      </c>
      <c r="R246" s="359"/>
      <c r="S246" s="359">
        <v>326.034</v>
      </c>
      <c r="T246" s="388" t="s">
        <v>1771</v>
      </c>
      <c r="U246" s="368"/>
      <c r="V246" s="169"/>
      <c r="W246" s="165"/>
    </row>
    <row r="247" s="315" customFormat="1" ht="36" spans="1:23">
      <c r="A247" s="335">
        <v>243</v>
      </c>
      <c r="B247" s="336"/>
      <c r="C247" s="336" t="s">
        <v>880</v>
      </c>
      <c r="D247" s="304" t="s">
        <v>1683</v>
      </c>
      <c r="E247" s="304" t="s">
        <v>1772</v>
      </c>
      <c r="F247" s="1" t="s">
        <v>1217</v>
      </c>
      <c r="G247" s="304" t="s">
        <v>1230</v>
      </c>
      <c r="H247" s="304" t="s">
        <v>1773</v>
      </c>
      <c r="I247" s="359"/>
      <c r="J247" s="360"/>
      <c r="K247" s="359"/>
      <c r="L247" s="362"/>
      <c r="M247" s="362"/>
      <c r="N247" s="362"/>
      <c r="O247" s="362"/>
      <c r="P247" s="359"/>
      <c r="Q247" s="359">
        <f t="shared" si="29"/>
        <v>0</v>
      </c>
      <c r="R247" s="359">
        <v>188</v>
      </c>
      <c r="S247" s="359"/>
      <c r="T247" s="388" t="s">
        <v>1774</v>
      </c>
      <c r="U247" s="368"/>
      <c r="V247" s="169"/>
      <c r="W247" s="165">
        <v>188</v>
      </c>
    </row>
    <row r="248" s="315" customFormat="1" ht="29" customHeight="1" spans="1:23">
      <c r="A248" s="335">
        <v>244</v>
      </c>
      <c r="B248" s="336"/>
      <c r="C248" s="397" t="s">
        <v>880</v>
      </c>
      <c r="D248" s="338" t="s">
        <v>1683</v>
      </c>
      <c r="E248" s="338" t="s">
        <v>1775</v>
      </c>
      <c r="F248" s="380" t="s">
        <v>1217</v>
      </c>
      <c r="G248" s="338" t="s">
        <v>1230</v>
      </c>
      <c r="H248" s="338" t="s">
        <v>1776</v>
      </c>
      <c r="I248" s="392"/>
      <c r="J248" s="360"/>
      <c r="K248" s="359"/>
      <c r="L248" s="362"/>
      <c r="M248" s="362"/>
      <c r="N248" s="362"/>
      <c r="O248" s="362"/>
      <c r="P248" s="392">
        <f>6984.621172-978.89</f>
        <v>6005.731172</v>
      </c>
      <c r="Q248" s="392">
        <f t="shared" si="29"/>
        <v>6005.731172</v>
      </c>
      <c r="R248" s="392"/>
      <c r="S248" s="392"/>
      <c r="T248" s="399" t="s">
        <v>1777</v>
      </c>
      <c r="U248" s="368"/>
      <c r="V248" s="169"/>
      <c r="W248" s="165"/>
    </row>
    <row r="249" s="315" customFormat="1" ht="24" spans="1:23">
      <c r="A249" s="335">
        <v>245</v>
      </c>
      <c r="B249" s="336"/>
      <c r="C249" s="336" t="s">
        <v>880</v>
      </c>
      <c r="D249" s="304" t="s">
        <v>1683</v>
      </c>
      <c r="E249" s="304" t="s">
        <v>1775</v>
      </c>
      <c r="F249" s="1" t="s">
        <v>1217</v>
      </c>
      <c r="G249" s="304" t="s">
        <v>1230</v>
      </c>
      <c r="H249" s="304" t="s">
        <v>1778</v>
      </c>
      <c r="I249" s="359"/>
      <c r="J249" s="360"/>
      <c r="K249" s="359"/>
      <c r="L249" s="362"/>
      <c r="M249" s="362"/>
      <c r="N249" s="362"/>
      <c r="O249" s="362"/>
      <c r="P249" s="359">
        <v>15.73</v>
      </c>
      <c r="Q249" s="359">
        <f t="shared" si="29"/>
        <v>15.73</v>
      </c>
      <c r="R249" s="359"/>
      <c r="S249" s="359"/>
      <c r="T249" s="388" t="s">
        <v>1779</v>
      </c>
      <c r="U249" s="368"/>
      <c r="V249" s="169"/>
      <c r="W249" s="165"/>
    </row>
    <row r="250" s="316" customFormat="1" ht="24" customHeight="1" spans="1:23">
      <c r="A250" s="335">
        <v>246</v>
      </c>
      <c r="B250" s="337"/>
      <c r="C250" s="337"/>
      <c r="D250" s="332"/>
      <c r="E250" s="333" t="s">
        <v>1780</v>
      </c>
      <c r="F250" s="333"/>
      <c r="G250" s="333"/>
      <c r="H250" s="334"/>
      <c r="I250" s="358">
        <f>SUM(I251:I266)</f>
        <v>849.01</v>
      </c>
      <c r="J250" s="358">
        <f t="shared" ref="J250:S250" si="30">SUM(J251:J266)</f>
        <v>0</v>
      </c>
      <c r="K250" s="358">
        <f t="shared" si="30"/>
        <v>849.01</v>
      </c>
      <c r="L250" s="358">
        <f t="shared" si="30"/>
        <v>0</v>
      </c>
      <c r="M250" s="358">
        <f t="shared" si="30"/>
        <v>0</v>
      </c>
      <c r="N250" s="358">
        <f t="shared" si="30"/>
        <v>0</v>
      </c>
      <c r="O250" s="358">
        <f t="shared" si="30"/>
        <v>0</v>
      </c>
      <c r="P250" s="358">
        <f t="shared" si="30"/>
        <v>-535.08</v>
      </c>
      <c r="Q250" s="358">
        <f t="shared" si="30"/>
        <v>313.93</v>
      </c>
      <c r="R250" s="358">
        <f t="shared" si="30"/>
        <v>3390.33</v>
      </c>
      <c r="S250" s="358">
        <f t="shared" si="30"/>
        <v>0</v>
      </c>
      <c r="T250" s="369"/>
      <c r="U250" s="364"/>
      <c r="V250" s="365"/>
      <c r="W250" s="366"/>
    </row>
    <row r="251" s="315" customFormat="1" ht="24" customHeight="1" spans="1:23">
      <c r="A251" s="335">
        <v>247</v>
      </c>
      <c r="B251" s="336" t="s">
        <v>1781</v>
      </c>
      <c r="C251" s="336" t="s">
        <v>1161</v>
      </c>
      <c r="D251" s="304" t="s">
        <v>1782</v>
      </c>
      <c r="E251" s="304" t="s">
        <v>1783</v>
      </c>
      <c r="F251" s="1" t="s">
        <v>1217</v>
      </c>
      <c r="G251" s="304" t="s">
        <v>1230</v>
      </c>
      <c r="H251" s="304" t="s">
        <v>1784</v>
      </c>
      <c r="I251" s="359">
        <v>22</v>
      </c>
      <c r="J251" s="360"/>
      <c r="K251" s="359">
        <v>22</v>
      </c>
      <c r="L251" s="359"/>
      <c r="M251" s="359"/>
      <c r="N251" s="359"/>
      <c r="O251" s="359"/>
      <c r="P251" s="359"/>
      <c r="Q251" s="359">
        <f t="shared" ref="Q251:Q267" si="31">I251+P251</f>
        <v>22</v>
      </c>
      <c r="R251" s="359">
        <v>16.2</v>
      </c>
      <c r="S251" s="359"/>
      <c r="T251" s="304"/>
      <c r="U251" s="304" t="s">
        <v>1785</v>
      </c>
      <c r="V251" s="169"/>
      <c r="W251" s="165"/>
    </row>
    <row r="252" s="315" customFormat="1" ht="24" customHeight="1" spans="1:23">
      <c r="A252" s="335">
        <v>248</v>
      </c>
      <c r="B252" s="336" t="s">
        <v>1781</v>
      </c>
      <c r="C252" s="336" t="s">
        <v>1161</v>
      </c>
      <c r="D252" s="304" t="s">
        <v>1782</v>
      </c>
      <c r="E252" s="304" t="s">
        <v>1783</v>
      </c>
      <c r="F252" s="1" t="s">
        <v>1217</v>
      </c>
      <c r="G252" s="304" t="s">
        <v>1230</v>
      </c>
      <c r="H252" s="304" t="s">
        <v>1786</v>
      </c>
      <c r="I252" s="359">
        <v>120</v>
      </c>
      <c r="J252" s="360"/>
      <c r="K252" s="359">
        <v>120</v>
      </c>
      <c r="L252" s="359"/>
      <c r="M252" s="359"/>
      <c r="N252" s="359"/>
      <c r="O252" s="359"/>
      <c r="P252" s="359">
        <v>-120</v>
      </c>
      <c r="Q252" s="359">
        <f t="shared" si="31"/>
        <v>0</v>
      </c>
      <c r="R252" s="359">
        <v>90</v>
      </c>
      <c r="S252" s="359"/>
      <c r="T252" s="304"/>
      <c r="U252" s="304" t="s">
        <v>1787</v>
      </c>
      <c r="V252" s="169"/>
      <c r="W252" s="165">
        <v>120</v>
      </c>
    </row>
    <row r="253" s="315" customFormat="1" ht="24" customHeight="1" spans="1:23">
      <c r="A253" s="335">
        <v>249</v>
      </c>
      <c r="B253" s="336" t="s">
        <v>1781</v>
      </c>
      <c r="C253" s="336" t="s">
        <v>1161</v>
      </c>
      <c r="D253" s="304" t="s">
        <v>1782</v>
      </c>
      <c r="E253" s="304" t="s">
        <v>1783</v>
      </c>
      <c r="F253" s="1" t="s">
        <v>1217</v>
      </c>
      <c r="G253" s="304" t="s">
        <v>1230</v>
      </c>
      <c r="H253" s="304" t="s">
        <v>1788</v>
      </c>
      <c r="I253" s="359">
        <v>25</v>
      </c>
      <c r="J253" s="360"/>
      <c r="K253" s="359">
        <v>25</v>
      </c>
      <c r="L253" s="359"/>
      <c r="M253" s="359"/>
      <c r="N253" s="359"/>
      <c r="O253" s="359"/>
      <c r="P253" s="359">
        <v>-25</v>
      </c>
      <c r="Q253" s="359">
        <f t="shared" si="31"/>
        <v>0</v>
      </c>
      <c r="R253" s="359">
        <v>18</v>
      </c>
      <c r="S253" s="359"/>
      <c r="T253" s="304"/>
      <c r="U253" s="304" t="s">
        <v>1789</v>
      </c>
      <c r="V253" s="169"/>
      <c r="W253" s="169">
        <v>25</v>
      </c>
    </row>
    <row r="254" s="315" customFormat="1" ht="24" customHeight="1" spans="1:23">
      <c r="A254" s="335">
        <v>250</v>
      </c>
      <c r="B254" s="336" t="s">
        <v>1781</v>
      </c>
      <c r="C254" s="336" t="s">
        <v>1161</v>
      </c>
      <c r="D254" s="304" t="s">
        <v>1790</v>
      </c>
      <c r="E254" s="304" t="s">
        <v>1783</v>
      </c>
      <c r="F254" s="1" t="s">
        <v>1217</v>
      </c>
      <c r="G254" s="304" t="s">
        <v>1230</v>
      </c>
      <c r="H254" s="304" t="s">
        <v>1791</v>
      </c>
      <c r="I254" s="359">
        <v>24</v>
      </c>
      <c r="J254" s="360"/>
      <c r="K254" s="359">
        <v>24</v>
      </c>
      <c r="L254" s="359"/>
      <c r="M254" s="359"/>
      <c r="N254" s="359"/>
      <c r="O254" s="359"/>
      <c r="P254" s="359">
        <v>-24</v>
      </c>
      <c r="Q254" s="359">
        <f t="shared" si="31"/>
        <v>0</v>
      </c>
      <c r="R254" s="359">
        <v>18</v>
      </c>
      <c r="S254" s="359"/>
      <c r="T254" s="304"/>
      <c r="U254" s="304" t="s">
        <v>1792</v>
      </c>
      <c r="V254" s="169"/>
      <c r="W254" s="169">
        <v>24</v>
      </c>
    </row>
    <row r="255" s="315" customFormat="1" ht="24" customHeight="1" spans="1:23">
      <c r="A255" s="335">
        <v>251</v>
      </c>
      <c r="B255" s="336" t="s">
        <v>1781</v>
      </c>
      <c r="C255" s="336" t="s">
        <v>1161</v>
      </c>
      <c r="D255" s="304" t="s">
        <v>1782</v>
      </c>
      <c r="E255" s="304" t="s">
        <v>1783</v>
      </c>
      <c r="F255" s="1" t="s">
        <v>1217</v>
      </c>
      <c r="G255" s="304" t="s">
        <v>1230</v>
      </c>
      <c r="H255" s="304" t="s">
        <v>1793</v>
      </c>
      <c r="I255" s="359">
        <v>70</v>
      </c>
      <c r="J255" s="360"/>
      <c r="K255" s="359">
        <v>70</v>
      </c>
      <c r="L255" s="359"/>
      <c r="M255" s="359"/>
      <c r="N255" s="359"/>
      <c r="O255" s="359"/>
      <c r="P255" s="359"/>
      <c r="Q255" s="359">
        <f t="shared" si="31"/>
        <v>70</v>
      </c>
      <c r="R255" s="359">
        <v>52.2</v>
      </c>
      <c r="S255" s="359"/>
      <c r="T255" s="304"/>
      <c r="U255" s="304" t="s">
        <v>1794</v>
      </c>
      <c r="V255" s="169"/>
      <c r="W255" s="165"/>
    </row>
    <row r="256" s="315" customFormat="1" ht="24" customHeight="1" spans="1:23">
      <c r="A256" s="335">
        <v>252</v>
      </c>
      <c r="B256" s="336" t="s">
        <v>1781</v>
      </c>
      <c r="C256" s="336" t="s">
        <v>1161</v>
      </c>
      <c r="D256" s="304" t="s">
        <v>1782</v>
      </c>
      <c r="E256" s="304" t="s">
        <v>1783</v>
      </c>
      <c r="F256" s="1" t="s">
        <v>1217</v>
      </c>
      <c r="G256" s="304" t="s">
        <v>1230</v>
      </c>
      <c r="H256" s="304" t="s">
        <v>1795</v>
      </c>
      <c r="I256" s="359">
        <v>154</v>
      </c>
      <c r="J256" s="359"/>
      <c r="K256" s="359">
        <v>154</v>
      </c>
      <c r="L256" s="359"/>
      <c r="M256" s="359"/>
      <c r="N256" s="359"/>
      <c r="O256" s="359"/>
      <c r="P256" s="359">
        <v>-154</v>
      </c>
      <c r="Q256" s="359">
        <f t="shared" si="31"/>
        <v>0</v>
      </c>
      <c r="R256" s="359">
        <v>117</v>
      </c>
      <c r="S256" s="359"/>
      <c r="T256" s="304"/>
      <c r="U256" s="304" t="s">
        <v>1796</v>
      </c>
      <c r="V256" s="169"/>
      <c r="W256" s="359">
        <v>154</v>
      </c>
    </row>
    <row r="257" s="315" customFormat="1" ht="24" customHeight="1" spans="1:23">
      <c r="A257" s="335">
        <v>253</v>
      </c>
      <c r="B257" s="336" t="s">
        <v>1781</v>
      </c>
      <c r="C257" s="336" t="s">
        <v>1161</v>
      </c>
      <c r="D257" s="304" t="s">
        <v>1591</v>
      </c>
      <c r="E257" s="304" t="s">
        <v>1783</v>
      </c>
      <c r="F257" s="1" t="s">
        <v>1217</v>
      </c>
      <c r="G257" s="304" t="s">
        <v>1230</v>
      </c>
      <c r="H257" s="304" t="s">
        <v>1797</v>
      </c>
      <c r="I257" s="359">
        <v>35.81</v>
      </c>
      <c r="J257" s="359"/>
      <c r="K257" s="359">
        <v>35.81</v>
      </c>
      <c r="L257" s="359"/>
      <c r="M257" s="359"/>
      <c r="N257" s="359"/>
      <c r="O257" s="359"/>
      <c r="P257" s="359"/>
      <c r="Q257" s="359">
        <f t="shared" si="31"/>
        <v>35.81</v>
      </c>
      <c r="R257" s="359">
        <v>35.81</v>
      </c>
      <c r="S257" s="359"/>
      <c r="T257" s="304"/>
      <c r="U257" s="304" t="s">
        <v>1798</v>
      </c>
      <c r="V257" s="169" t="s">
        <v>1221</v>
      </c>
      <c r="W257" s="165"/>
    </row>
    <row r="258" s="315" customFormat="1" ht="48" spans="1:23">
      <c r="A258" s="335">
        <v>254</v>
      </c>
      <c r="B258" s="336" t="s">
        <v>1781</v>
      </c>
      <c r="C258" s="336" t="s">
        <v>1161</v>
      </c>
      <c r="D258" s="304" t="s">
        <v>1799</v>
      </c>
      <c r="E258" s="304" t="s">
        <v>1783</v>
      </c>
      <c r="F258" s="1" t="s">
        <v>1217</v>
      </c>
      <c r="G258" s="304" t="s">
        <v>1230</v>
      </c>
      <c r="H258" s="304" t="s">
        <v>1800</v>
      </c>
      <c r="I258" s="359">
        <v>83</v>
      </c>
      <c r="J258" s="359"/>
      <c r="K258" s="359">
        <v>83</v>
      </c>
      <c r="L258" s="359"/>
      <c r="M258" s="359"/>
      <c r="N258" s="359"/>
      <c r="O258" s="359"/>
      <c r="P258" s="359">
        <f>496.63-579.63</f>
        <v>-83</v>
      </c>
      <c r="Q258" s="359">
        <f t="shared" si="31"/>
        <v>0</v>
      </c>
      <c r="R258" s="359">
        <v>83</v>
      </c>
      <c r="S258" s="359"/>
      <c r="T258" s="304" t="s">
        <v>1801</v>
      </c>
      <c r="U258" s="304" t="s">
        <v>1802</v>
      </c>
      <c r="V258" s="169" t="s">
        <v>1221</v>
      </c>
      <c r="W258" s="165">
        <v>579.63</v>
      </c>
    </row>
    <row r="259" s="315" customFormat="1" ht="24" customHeight="1" spans="1:23">
      <c r="A259" s="335">
        <v>255</v>
      </c>
      <c r="B259" s="336" t="s">
        <v>1781</v>
      </c>
      <c r="C259" s="336" t="s">
        <v>1161</v>
      </c>
      <c r="D259" s="304" t="s">
        <v>1799</v>
      </c>
      <c r="E259" s="304" t="s">
        <v>1783</v>
      </c>
      <c r="F259" s="1" t="s">
        <v>1217</v>
      </c>
      <c r="G259" s="304" t="s">
        <v>1230</v>
      </c>
      <c r="H259" s="304" t="s">
        <v>1803</v>
      </c>
      <c r="I259" s="359">
        <v>129.08</v>
      </c>
      <c r="J259" s="359"/>
      <c r="K259" s="359">
        <v>129.08</v>
      </c>
      <c r="L259" s="359"/>
      <c r="M259" s="359"/>
      <c r="N259" s="359"/>
      <c r="O259" s="359"/>
      <c r="P259" s="359">
        <v>-129.08</v>
      </c>
      <c r="Q259" s="359">
        <f t="shared" si="31"/>
        <v>0</v>
      </c>
      <c r="R259" s="359">
        <v>82</v>
      </c>
      <c r="S259" s="359"/>
      <c r="T259" s="304"/>
      <c r="U259" s="304" t="s">
        <v>1804</v>
      </c>
      <c r="V259" s="169" t="s">
        <v>1221</v>
      </c>
      <c r="W259" s="359">
        <v>129.08</v>
      </c>
    </row>
    <row r="260" s="315" customFormat="1" ht="24" customHeight="1" spans="1:23">
      <c r="A260" s="335">
        <v>256</v>
      </c>
      <c r="B260" s="336" t="s">
        <v>1781</v>
      </c>
      <c r="C260" s="336" t="s">
        <v>1161</v>
      </c>
      <c r="D260" s="304" t="s">
        <v>1799</v>
      </c>
      <c r="E260" s="304" t="s">
        <v>1783</v>
      </c>
      <c r="F260" s="1" t="s">
        <v>1217</v>
      </c>
      <c r="G260" s="304" t="s">
        <v>1230</v>
      </c>
      <c r="H260" s="304" t="s">
        <v>1805</v>
      </c>
      <c r="I260" s="359">
        <v>39.84</v>
      </c>
      <c r="J260" s="359"/>
      <c r="K260" s="359">
        <v>39.84</v>
      </c>
      <c r="L260" s="359"/>
      <c r="M260" s="359"/>
      <c r="N260" s="359"/>
      <c r="O260" s="359"/>
      <c r="P260" s="359"/>
      <c r="Q260" s="359">
        <f t="shared" si="31"/>
        <v>39.84</v>
      </c>
      <c r="R260" s="359">
        <v>39.84</v>
      </c>
      <c r="S260" s="359"/>
      <c r="T260" s="304"/>
      <c r="U260" s="304" t="s">
        <v>1806</v>
      </c>
      <c r="V260" s="169" t="s">
        <v>1221</v>
      </c>
      <c r="W260" s="165"/>
    </row>
    <row r="261" s="315" customFormat="1" ht="24" customHeight="1" spans="1:23">
      <c r="A261" s="335">
        <v>257</v>
      </c>
      <c r="B261" s="336" t="s">
        <v>1781</v>
      </c>
      <c r="C261" s="336" t="s">
        <v>1161</v>
      </c>
      <c r="D261" s="304" t="s">
        <v>1799</v>
      </c>
      <c r="E261" s="304" t="s">
        <v>1783</v>
      </c>
      <c r="F261" s="1" t="s">
        <v>1217</v>
      </c>
      <c r="G261" s="304" t="s">
        <v>1230</v>
      </c>
      <c r="H261" s="304" t="s">
        <v>1807</v>
      </c>
      <c r="I261" s="359">
        <v>90</v>
      </c>
      <c r="J261" s="359"/>
      <c r="K261" s="359">
        <v>90</v>
      </c>
      <c r="L261" s="359"/>
      <c r="M261" s="359"/>
      <c r="N261" s="359"/>
      <c r="O261" s="359"/>
      <c r="P261" s="359"/>
      <c r="Q261" s="359">
        <f t="shared" si="31"/>
        <v>90</v>
      </c>
      <c r="R261" s="359">
        <v>68</v>
      </c>
      <c r="S261" s="359"/>
      <c r="T261" s="304"/>
      <c r="U261" s="304" t="s">
        <v>1808</v>
      </c>
      <c r="V261" s="169" t="s">
        <v>1221</v>
      </c>
      <c r="W261" s="165"/>
    </row>
    <row r="262" s="315" customFormat="1" ht="24" customHeight="1" spans="1:23">
      <c r="A262" s="335">
        <v>258</v>
      </c>
      <c r="B262" s="336" t="s">
        <v>1781</v>
      </c>
      <c r="C262" s="336" t="s">
        <v>1161</v>
      </c>
      <c r="D262" s="304" t="s">
        <v>1799</v>
      </c>
      <c r="E262" s="304" t="s">
        <v>1783</v>
      </c>
      <c r="F262" s="1" t="s">
        <v>1217</v>
      </c>
      <c r="G262" s="304" t="s">
        <v>1230</v>
      </c>
      <c r="H262" s="304" t="s">
        <v>1809</v>
      </c>
      <c r="I262" s="359">
        <v>36</v>
      </c>
      <c r="J262" s="359"/>
      <c r="K262" s="359">
        <v>36</v>
      </c>
      <c r="L262" s="359"/>
      <c r="M262" s="359"/>
      <c r="N262" s="359"/>
      <c r="O262" s="359"/>
      <c r="P262" s="359"/>
      <c r="Q262" s="359">
        <f t="shared" si="31"/>
        <v>36</v>
      </c>
      <c r="R262" s="359">
        <v>0</v>
      </c>
      <c r="S262" s="359"/>
      <c r="T262" s="304"/>
      <c r="U262" s="304" t="s">
        <v>1810</v>
      </c>
      <c r="V262" s="169" t="s">
        <v>1221</v>
      </c>
      <c r="W262" s="165"/>
    </row>
    <row r="263" s="315" customFormat="1" ht="24" customHeight="1" spans="1:23">
      <c r="A263" s="335">
        <v>259</v>
      </c>
      <c r="B263" s="336" t="s">
        <v>1781</v>
      </c>
      <c r="C263" s="336" t="s">
        <v>1161</v>
      </c>
      <c r="D263" s="304" t="s">
        <v>1782</v>
      </c>
      <c r="E263" s="304" t="s">
        <v>1783</v>
      </c>
      <c r="F263" s="1" t="s">
        <v>1217</v>
      </c>
      <c r="G263" s="304" t="s">
        <v>1230</v>
      </c>
      <c r="H263" s="304" t="s">
        <v>1811</v>
      </c>
      <c r="I263" s="359">
        <v>20.28</v>
      </c>
      <c r="J263" s="359"/>
      <c r="K263" s="359">
        <v>20.28</v>
      </c>
      <c r="L263" s="359"/>
      <c r="M263" s="359"/>
      <c r="N263" s="359"/>
      <c r="O263" s="359"/>
      <c r="P263" s="359"/>
      <c r="Q263" s="359">
        <f t="shared" si="31"/>
        <v>20.28</v>
      </c>
      <c r="R263" s="359">
        <v>20.28</v>
      </c>
      <c r="S263" s="359"/>
      <c r="T263" s="304"/>
      <c r="U263" s="304" t="s">
        <v>1812</v>
      </c>
      <c r="V263" s="169" t="s">
        <v>1221</v>
      </c>
      <c r="W263" s="165"/>
    </row>
    <row r="264" s="315" customFormat="1" ht="24" customHeight="1" spans="1:23">
      <c r="A264" s="335">
        <v>260</v>
      </c>
      <c r="B264" s="336" t="s">
        <v>1781</v>
      </c>
      <c r="C264" s="336" t="s">
        <v>1161</v>
      </c>
      <c r="D264" s="304" t="s">
        <v>1782</v>
      </c>
      <c r="E264" s="304" t="s">
        <v>1783</v>
      </c>
      <c r="F264" s="1" t="s">
        <v>1217</v>
      </c>
      <c r="G264" s="304" t="s">
        <v>1230</v>
      </c>
      <c r="H264" s="304" t="s">
        <v>1813</v>
      </c>
      <c r="I264" s="359">
        <v>0</v>
      </c>
      <c r="J264" s="359"/>
      <c r="K264" s="359"/>
      <c r="L264" s="359"/>
      <c r="M264" s="359"/>
      <c r="N264" s="359"/>
      <c r="O264" s="359"/>
      <c r="P264" s="359"/>
      <c r="Q264" s="359">
        <f t="shared" si="31"/>
        <v>0</v>
      </c>
      <c r="R264" s="359">
        <v>730</v>
      </c>
      <c r="S264" s="359"/>
      <c r="T264" s="304" t="s">
        <v>1814</v>
      </c>
      <c r="U264" s="304"/>
      <c r="V264" s="169"/>
      <c r="W264" s="165">
        <v>730</v>
      </c>
    </row>
    <row r="265" s="315" customFormat="1" ht="24" customHeight="1" spans="1:23">
      <c r="A265" s="335">
        <v>261</v>
      </c>
      <c r="B265" s="336" t="s">
        <v>1781</v>
      </c>
      <c r="C265" s="336" t="s">
        <v>1161</v>
      </c>
      <c r="D265" s="304" t="s">
        <v>1591</v>
      </c>
      <c r="E265" s="304" t="s">
        <v>1783</v>
      </c>
      <c r="F265" s="1" t="s">
        <v>1217</v>
      </c>
      <c r="G265" s="304" t="s">
        <v>1230</v>
      </c>
      <c r="H265" s="304" t="s">
        <v>1813</v>
      </c>
      <c r="I265" s="359">
        <v>0</v>
      </c>
      <c r="J265" s="359"/>
      <c r="K265" s="359"/>
      <c r="L265" s="359"/>
      <c r="M265" s="359"/>
      <c r="N265" s="359"/>
      <c r="O265" s="359"/>
      <c r="P265" s="359"/>
      <c r="Q265" s="359">
        <f t="shared" si="31"/>
        <v>0</v>
      </c>
      <c r="R265" s="359">
        <v>1300</v>
      </c>
      <c r="S265" s="359"/>
      <c r="T265" s="304" t="s">
        <v>1815</v>
      </c>
      <c r="U265" s="304"/>
      <c r="V265" s="169"/>
      <c r="W265" s="165">
        <v>1300</v>
      </c>
    </row>
    <row r="266" s="315" customFormat="1" ht="24" customHeight="1" spans="1:23">
      <c r="A266" s="335">
        <v>262</v>
      </c>
      <c r="B266" s="336" t="s">
        <v>1781</v>
      </c>
      <c r="C266" s="336" t="s">
        <v>1161</v>
      </c>
      <c r="D266" s="304" t="s">
        <v>1591</v>
      </c>
      <c r="E266" s="304" t="s">
        <v>1783</v>
      </c>
      <c r="F266" s="1" t="s">
        <v>1217</v>
      </c>
      <c r="G266" s="304" t="s">
        <v>1230</v>
      </c>
      <c r="H266" s="304" t="s">
        <v>1813</v>
      </c>
      <c r="I266" s="359">
        <v>0</v>
      </c>
      <c r="J266" s="359"/>
      <c r="K266" s="359"/>
      <c r="L266" s="359"/>
      <c r="M266" s="359"/>
      <c r="N266" s="359"/>
      <c r="O266" s="359"/>
      <c r="P266" s="359"/>
      <c r="Q266" s="359">
        <f t="shared" si="31"/>
        <v>0</v>
      </c>
      <c r="R266" s="359">
        <v>720</v>
      </c>
      <c r="S266" s="359"/>
      <c r="T266" s="304" t="s">
        <v>1814</v>
      </c>
      <c r="U266" s="304"/>
      <c r="V266" s="169"/>
      <c r="W266" s="165">
        <v>720</v>
      </c>
    </row>
    <row r="267" s="316" customFormat="1" ht="24" customHeight="1" spans="1:23">
      <c r="A267" s="335">
        <v>263</v>
      </c>
      <c r="B267" s="337"/>
      <c r="C267" s="337"/>
      <c r="D267" s="332"/>
      <c r="E267" s="333" t="s">
        <v>1816</v>
      </c>
      <c r="F267" s="333"/>
      <c r="G267" s="333"/>
      <c r="H267" s="334"/>
      <c r="I267" s="358">
        <f>SUM(I268)</f>
        <v>0</v>
      </c>
      <c r="J267" s="414">
        <f t="shared" ref="I267:S267" si="32">SUM(J268)</f>
        <v>0</v>
      </c>
      <c r="K267" s="358">
        <f t="shared" si="32"/>
        <v>0</v>
      </c>
      <c r="L267" s="358">
        <f t="shared" si="32"/>
        <v>0</v>
      </c>
      <c r="M267" s="358">
        <f t="shared" si="32"/>
        <v>0</v>
      </c>
      <c r="N267" s="358">
        <f t="shared" si="32"/>
        <v>0</v>
      </c>
      <c r="O267" s="358">
        <f t="shared" si="32"/>
        <v>0</v>
      </c>
      <c r="P267" s="358">
        <f t="shared" si="32"/>
        <v>20</v>
      </c>
      <c r="Q267" s="358">
        <f t="shared" si="32"/>
        <v>20</v>
      </c>
      <c r="R267" s="358">
        <f t="shared" si="32"/>
        <v>0</v>
      </c>
      <c r="S267" s="358">
        <f t="shared" si="32"/>
        <v>0</v>
      </c>
      <c r="T267" s="369"/>
      <c r="U267" s="364"/>
      <c r="V267" s="365"/>
      <c r="W267" s="366"/>
    </row>
    <row r="268" s="315" customFormat="1" ht="24" customHeight="1" spans="1:23">
      <c r="A268" s="335">
        <v>264</v>
      </c>
      <c r="B268" s="336"/>
      <c r="C268" s="336" t="s">
        <v>880</v>
      </c>
      <c r="D268" s="304" t="s">
        <v>1748</v>
      </c>
      <c r="E268" s="304" t="s">
        <v>1817</v>
      </c>
      <c r="F268" s="1" t="s">
        <v>1217</v>
      </c>
      <c r="G268" s="304" t="s">
        <v>1230</v>
      </c>
      <c r="H268" s="304" t="s">
        <v>1818</v>
      </c>
      <c r="I268" s="359">
        <v>0</v>
      </c>
      <c r="J268" s="360"/>
      <c r="K268" s="359"/>
      <c r="L268" s="359"/>
      <c r="M268" s="359"/>
      <c r="N268" s="359"/>
      <c r="O268" s="359"/>
      <c r="P268" s="359">
        <v>20</v>
      </c>
      <c r="Q268" s="359">
        <f>I268+P268</f>
        <v>20</v>
      </c>
      <c r="R268" s="359"/>
      <c r="S268" s="359"/>
      <c r="T268" s="304" t="s">
        <v>1819</v>
      </c>
      <c r="U268" s="304"/>
      <c r="V268" s="169"/>
      <c r="W268" s="165"/>
    </row>
    <row r="269" s="316" customFormat="1" ht="24" customHeight="1" spans="1:23">
      <c r="A269" s="335">
        <v>265</v>
      </c>
      <c r="B269" s="337"/>
      <c r="C269" s="337"/>
      <c r="D269" s="332"/>
      <c r="E269" s="333" t="s">
        <v>1820</v>
      </c>
      <c r="F269" s="333"/>
      <c r="G269" s="333"/>
      <c r="H269" s="334"/>
      <c r="I269" s="358">
        <f>SUM(I270:I270)</f>
        <v>0</v>
      </c>
      <c r="J269" s="414">
        <f t="shared" ref="J269:S269" si="33">SUM(J270:J270)</f>
        <v>0</v>
      </c>
      <c r="K269" s="358">
        <f t="shared" si="33"/>
        <v>0</v>
      </c>
      <c r="L269" s="358">
        <f t="shared" si="33"/>
        <v>0</v>
      </c>
      <c r="M269" s="358">
        <f t="shared" si="33"/>
        <v>0</v>
      </c>
      <c r="N269" s="358">
        <f t="shared" si="33"/>
        <v>0</v>
      </c>
      <c r="O269" s="358">
        <f t="shared" si="33"/>
        <v>0</v>
      </c>
      <c r="P269" s="358">
        <f t="shared" si="33"/>
        <v>0</v>
      </c>
      <c r="Q269" s="358">
        <f t="shared" si="33"/>
        <v>0</v>
      </c>
      <c r="R269" s="358">
        <f t="shared" si="33"/>
        <v>0</v>
      </c>
      <c r="S269" s="358">
        <f t="shared" si="33"/>
        <v>0</v>
      </c>
      <c r="T269" s="369"/>
      <c r="U269" s="364"/>
      <c r="V269" s="365"/>
      <c r="W269" s="366"/>
    </row>
    <row r="270" s="315" customFormat="1" ht="24" customHeight="1" spans="1:23">
      <c r="A270" s="335">
        <v>266</v>
      </c>
      <c r="B270" s="336"/>
      <c r="C270" s="336"/>
      <c r="D270" s="400"/>
      <c r="E270" s="401"/>
      <c r="F270" s="1"/>
      <c r="G270" s="375"/>
      <c r="H270" s="402"/>
      <c r="I270" s="359">
        <v>0</v>
      </c>
      <c r="J270" s="415"/>
      <c r="K270" s="362"/>
      <c r="L270" s="362"/>
      <c r="M270" s="362"/>
      <c r="N270" s="362"/>
      <c r="O270" s="362"/>
      <c r="P270" s="362"/>
      <c r="Q270" s="359">
        <f>I270+P270</f>
        <v>0</v>
      </c>
      <c r="R270" s="359"/>
      <c r="S270" s="359"/>
      <c r="T270" s="398"/>
      <c r="U270" s="304"/>
      <c r="V270" s="169"/>
      <c r="W270" s="165"/>
    </row>
    <row r="271" s="316" customFormat="1" ht="24" customHeight="1" spans="1:23">
      <c r="A271" s="335">
        <v>267</v>
      </c>
      <c r="B271" s="337"/>
      <c r="C271" s="337"/>
      <c r="D271" s="332"/>
      <c r="E271" s="333" t="s">
        <v>1821</v>
      </c>
      <c r="F271" s="333"/>
      <c r="G271" s="333"/>
      <c r="H271" s="334"/>
      <c r="I271" s="358">
        <f>SUM(I272:I282)</f>
        <v>106.77</v>
      </c>
      <c r="J271" s="358">
        <f t="shared" ref="J271:S271" si="34">SUM(J272:J282)</f>
        <v>106.77</v>
      </c>
      <c r="K271" s="358">
        <f t="shared" si="34"/>
        <v>0</v>
      </c>
      <c r="L271" s="358">
        <f t="shared" si="34"/>
        <v>0</v>
      </c>
      <c r="M271" s="358">
        <f t="shared" si="34"/>
        <v>0</v>
      </c>
      <c r="N271" s="358">
        <f t="shared" si="34"/>
        <v>0</v>
      </c>
      <c r="O271" s="358">
        <f t="shared" si="34"/>
        <v>0</v>
      </c>
      <c r="P271" s="358">
        <f t="shared" si="34"/>
        <v>116.5</v>
      </c>
      <c r="Q271" s="358">
        <f t="shared" si="34"/>
        <v>223.27</v>
      </c>
      <c r="R271" s="358">
        <f t="shared" si="34"/>
        <v>0</v>
      </c>
      <c r="S271" s="358">
        <f t="shared" si="34"/>
        <v>334.69</v>
      </c>
      <c r="T271" s="369"/>
      <c r="U271" s="364"/>
      <c r="V271" s="365"/>
      <c r="W271" s="366"/>
    </row>
    <row r="272" s="315" customFormat="1" ht="24" customHeight="1" spans="1:23">
      <c r="A272" s="335">
        <v>268</v>
      </c>
      <c r="B272" s="336" t="s">
        <v>1117</v>
      </c>
      <c r="C272" s="336" t="s">
        <v>1117</v>
      </c>
      <c r="D272" s="304" t="s">
        <v>1822</v>
      </c>
      <c r="E272" s="1" t="s">
        <v>1823</v>
      </c>
      <c r="F272" s="1" t="s">
        <v>1217</v>
      </c>
      <c r="G272" s="304" t="s">
        <v>1230</v>
      </c>
      <c r="H272" s="304" t="s">
        <v>1824</v>
      </c>
      <c r="I272" s="359">
        <v>18.97</v>
      </c>
      <c r="J272" s="360">
        <v>18.97</v>
      </c>
      <c r="K272" s="359"/>
      <c r="L272" s="359"/>
      <c r="M272" s="359"/>
      <c r="N272" s="359"/>
      <c r="O272" s="359"/>
      <c r="P272" s="359"/>
      <c r="Q272" s="359">
        <f t="shared" ref="Q272:Q282" si="35">I272+P272</f>
        <v>18.97</v>
      </c>
      <c r="R272" s="359"/>
      <c r="S272" s="359"/>
      <c r="T272" s="304"/>
      <c r="U272" s="304" t="s">
        <v>1825</v>
      </c>
      <c r="V272" s="169" t="s">
        <v>1221</v>
      </c>
      <c r="W272" s="165"/>
    </row>
    <row r="273" s="315" customFormat="1" ht="24" customHeight="1" spans="1:23">
      <c r="A273" s="335">
        <v>269</v>
      </c>
      <c r="B273" s="336" t="s">
        <v>1117</v>
      </c>
      <c r="C273" s="336" t="s">
        <v>1117</v>
      </c>
      <c r="D273" s="304" t="s">
        <v>1822</v>
      </c>
      <c r="E273" s="1" t="s">
        <v>1823</v>
      </c>
      <c r="F273" s="1" t="s">
        <v>1217</v>
      </c>
      <c r="G273" s="304" t="s">
        <v>1230</v>
      </c>
      <c r="H273" s="304" t="s">
        <v>1826</v>
      </c>
      <c r="I273" s="359">
        <v>5</v>
      </c>
      <c r="J273" s="360">
        <v>5</v>
      </c>
      <c r="K273" s="359"/>
      <c r="L273" s="359"/>
      <c r="M273" s="359"/>
      <c r="N273" s="359"/>
      <c r="O273" s="359"/>
      <c r="P273" s="359"/>
      <c r="Q273" s="359">
        <f t="shared" si="35"/>
        <v>5</v>
      </c>
      <c r="R273" s="359"/>
      <c r="S273" s="359">
        <v>5</v>
      </c>
      <c r="T273" s="304"/>
      <c r="U273" s="304"/>
      <c r="V273" s="169" t="s">
        <v>1221</v>
      </c>
      <c r="W273" s="165"/>
    </row>
    <row r="274" s="315" customFormat="1" ht="24" customHeight="1" spans="1:23">
      <c r="A274" s="335">
        <v>270</v>
      </c>
      <c r="B274" s="336" t="s">
        <v>1117</v>
      </c>
      <c r="C274" s="336" t="s">
        <v>1117</v>
      </c>
      <c r="D274" s="304" t="s">
        <v>1822</v>
      </c>
      <c r="E274" s="1" t="s">
        <v>1823</v>
      </c>
      <c r="F274" s="1" t="s">
        <v>1217</v>
      </c>
      <c r="G274" s="304" t="s">
        <v>1230</v>
      </c>
      <c r="H274" s="304" t="s">
        <v>1827</v>
      </c>
      <c r="I274" s="359">
        <v>15</v>
      </c>
      <c r="J274" s="360">
        <v>15</v>
      </c>
      <c r="K274" s="359"/>
      <c r="L274" s="359"/>
      <c r="M274" s="359"/>
      <c r="N274" s="359"/>
      <c r="O274" s="359"/>
      <c r="P274" s="359"/>
      <c r="Q274" s="359">
        <f t="shared" si="35"/>
        <v>15</v>
      </c>
      <c r="R274" s="359"/>
      <c r="S274" s="359">
        <v>15</v>
      </c>
      <c r="T274" s="304"/>
      <c r="U274" s="304" t="s">
        <v>1828</v>
      </c>
      <c r="V274" s="169" t="s">
        <v>1221</v>
      </c>
      <c r="W274" s="165"/>
    </row>
    <row r="275" s="315" customFormat="1" ht="24" customHeight="1" spans="1:23">
      <c r="A275" s="335">
        <v>271</v>
      </c>
      <c r="B275" s="336" t="s">
        <v>1117</v>
      </c>
      <c r="C275" s="336" t="s">
        <v>1117</v>
      </c>
      <c r="D275" s="304" t="s">
        <v>1822</v>
      </c>
      <c r="E275" s="1" t="s">
        <v>1823</v>
      </c>
      <c r="F275" s="1" t="s">
        <v>1217</v>
      </c>
      <c r="G275" s="304" t="s">
        <v>1230</v>
      </c>
      <c r="H275" s="304" t="s">
        <v>1829</v>
      </c>
      <c r="I275" s="359">
        <v>2</v>
      </c>
      <c r="J275" s="360">
        <v>2</v>
      </c>
      <c r="K275" s="359"/>
      <c r="L275" s="359"/>
      <c r="M275" s="359"/>
      <c r="N275" s="359"/>
      <c r="O275" s="359"/>
      <c r="P275" s="359"/>
      <c r="Q275" s="359">
        <f t="shared" si="35"/>
        <v>2</v>
      </c>
      <c r="R275" s="359"/>
      <c r="S275" s="359">
        <v>2</v>
      </c>
      <c r="T275" s="304"/>
      <c r="U275" s="304" t="s">
        <v>1830</v>
      </c>
      <c r="V275" s="169" t="s">
        <v>1221</v>
      </c>
      <c r="W275" s="165"/>
    </row>
    <row r="276" s="315" customFormat="1" ht="24" customHeight="1" spans="1:23">
      <c r="A276" s="335">
        <v>272</v>
      </c>
      <c r="B276" s="336" t="s">
        <v>1117</v>
      </c>
      <c r="C276" s="336" t="s">
        <v>1117</v>
      </c>
      <c r="D276" s="304" t="s">
        <v>1822</v>
      </c>
      <c r="E276" s="1" t="s">
        <v>1823</v>
      </c>
      <c r="F276" s="1" t="s">
        <v>1217</v>
      </c>
      <c r="G276" s="304" t="s">
        <v>1230</v>
      </c>
      <c r="H276" s="304" t="s">
        <v>1831</v>
      </c>
      <c r="I276" s="359">
        <v>30</v>
      </c>
      <c r="J276" s="360">
        <v>30</v>
      </c>
      <c r="K276" s="359"/>
      <c r="L276" s="359"/>
      <c r="M276" s="359"/>
      <c r="N276" s="359"/>
      <c r="O276" s="359"/>
      <c r="P276" s="359"/>
      <c r="Q276" s="359">
        <f t="shared" si="35"/>
        <v>30</v>
      </c>
      <c r="R276" s="359"/>
      <c r="S276" s="359">
        <v>30</v>
      </c>
      <c r="T276" s="304"/>
      <c r="U276" s="304" t="s">
        <v>1832</v>
      </c>
      <c r="V276" s="169" t="s">
        <v>1221</v>
      </c>
      <c r="W276" s="165"/>
    </row>
    <row r="277" s="315" customFormat="1" ht="24" customHeight="1" spans="1:23">
      <c r="A277" s="335">
        <v>273</v>
      </c>
      <c r="B277" s="336" t="s">
        <v>1117</v>
      </c>
      <c r="C277" s="336" t="s">
        <v>1117</v>
      </c>
      <c r="D277" s="304" t="s">
        <v>1822</v>
      </c>
      <c r="E277" s="1" t="s">
        <v>1833</v>
      </c>
      <c r="F277" s="1" t="s">
        <v>1217</v>
      </c>
      <c r="G277" s="304" t="s">
        <v>1230</v>
      </c>
      <c r="H277" s="304" t="s">
        <v>1834</v>
      </c>
      <c r="I277" s="359">
        <v>15</v>
      </c>
      <c r="J277" s="360">
        <v>15</v>
      </c>
      <c r="K277" s="359"/>
      <c r="L277" s="359"/>
      <c r="M277" s="359"/>
      <c r="N277" s="359"/>
      <c r="O277" s="359"/>
      <c r="P277" s="359"/>
      <c r="Q277" s="359">
        <f t="shared" si="35"/>
        <v>15</v>
      </c>
      <c r="R277" s="359"/>
      <c r="S277" s="359"/>
      <c r="T277" s="304"/>
      <c r="U277" s="304" t="s">
        <v>1835</v>
      </c>
      <c r="V277" s="169" t="s">
        <v>1221</v>
      </c>
      <c r="W277" s="165"/>
    </row>
    <row r="278" s="315" customFormat="1" ht="24" customHeight="1" spans="1:23">
      <c r="A278" s="335">
        <v>274</v>
      </c>
      <c r="B278" s="336" t="s">
        <v>1117</v>
      </c>
      <c r="C278" s="336" t="s">
        <v>1117</v>
      </c>
      <c r="D278" s="304" t="s">
        <v>1822</v>
      </c>
      <c r="E278" s="1" t="s">
        <v>1833</v>
      </c>
      <c r="F278" s="1" t="s">
        <v>1217</v>
      </c>
      <c r="G278" s="304" t="s">
        <v>1230</v>
      </c>
      <c r="H278" s="304" t="s">
        <v>1836</v>
      </c>
      <c r="I278" s="359">
        <v>20.8</v>
      </c>
      <c r="J278" s="360">
        <v>20.8</v>
      </c>
      <c r="K278" s="359"/>
      <c r="L278" s="359"/>
      <c r="M278" s="359"/>
      <c r="N278" s="359"/>
      <c r="O278" s="359"/>
      <c r="P278" s="359"/>
      <c r="Q278" s="359">
        <f t="shared" si="35"/>
        <v>20.8</v>
      </c>
      <c r="R278" s="359"/>
      <c r="S278" s="359"/>
      <c r="T278" s="304"/>
      <c r="U278" s="304"/>
      <c r="V278" s="169" t="s">
        <v>1221</v>
      </c>
      <c r="W278" s="165"/>
    </row>
    <row r="279" s="315" customFormat="1" ht="24" customHeight="1" spans="1:23">
      <c r="A279" s="335">
        <v>275</v>
      </c>
      <c r="B279" s="336"/>
      <c r="C279" s="336" t="s">
        <v>1117</v>
      </c>
      <c r="D279" s="304" t="s">
        <v>1822</v>
      </c>
      <c r="E279" s="1" t="s">
        <v>1837</v>
      </c>
      <c r="F279" s="1" t="s">
        <v>1217</v>
      </c>
      <c r="G279" s="304" t="s">
        <v>1230</v>
      </c>
      <c r="H279" s="304" t="s">
        <v>1838</v>
      </c>
      <c r="I279" s="359"/>
      <c r="J279" s="360"/>
      <c r="K279" s="359"/>
      <c r="L279" s="359"/>
      <c r="M279" s="359"/>
      <c r="N279" s="359"/>
      <c r="O279" s="359"/>
      <c r="P279" s="359"/>
      <c r="Q279" s="359">
        <f t="shared" si="35"/>
        <v>0</v>
      </c>
      <c r="R279" s="359"/>
      <c r="S279" s="359">
        <v>192.1</v>
      </c>
      <c r="T279" s="304" t="s">
        <v>1839</v>
      </c>
      <c r="U279" s="304"/>
      <c r="V279" s="169"/>
      <c r="W279" s="165">
        <v>267.1</v>
      </c>
    </row>
    <row r="280" s="315" customFormat="1" ht="24" customHeight="1" spans="1:23">
      <c r="A280" s="335">
        <v>276</v>
      </c>
      <c r="B280" s="336"/>
      <c r="C280" s="336" t="s">
        <v>1117</v>
      </c>
      <c r="D280" s="304" t="s">
        <v>1822</v>
      </c>
      <c r="E280" s="1" t="s">
        <v>1840</v>
      </c>
      <c r="F280" s="1" t="s">
        <v>1217</v>
      </c>
      <c r="G280" s="304" t="s">
        <v>1230</v>
      </c>
      <c r="H280" s="304" t="s">
        <v>1841</v>
      </c>
      <c r="I280" s="359"/>
      <c r="J280" s="360"/>
      <c r="K280" s="359"/>
      <c r="L280" s="359"/>
      <c r="M280" s="359"/>
      <c r="N280" s="359"/>
      <c r="O280" s="359"/>
      <c r="P280" s="359">
        <v>10</v>
      </c>
      <c r="Q280" s="359">
        <f t="shared" si="35"/>
        <v>10</v>
      </c>
      <c r="R280" s="359"/>
      <c r="S280" s="359"/>
      <c r="T280" s="304" t="s">
        <v>1842</v>
      </c>
      <c r="U280" s="304"/>
      <c r="V280" s="169"/>
      <c r="W280" s="165"/>
    </row>
    <row r="281" s="315" customFormat="1" ht="24" customHeight="1" spans="1:23">
      <c r="A281" s="335">
        <v>277</v>
      </c>
      <c r="B281" s="336"/>
      <c r="C281" s="336" t="s">
        <v>1117</v>
      </c>
      <c r="D281" s="304" t="s">
        <v>1822</v>
      </c>
      <c r="E281" s="1" t="s">
        <v>1823</v>
      </c>
      <c r="F281" s="1" t="s">
        <v>1217</v>
      </c>
      <c r="G281" s="304" t="s">
        <v>1230</v>
      </c>
      <c r="H281" s="304" t="s">
        <v>1843</v>
      </c>
      <c r="I281" s="359"/>
      <c r="J281" s="360"/>
      <c r="K281" s="359"/>
      <c r="L281" s="359"/>
      <c r="M281" s="359"/>
      <c r="N281" s="359"/>
      <c r="O281" s="359"/>
      <c r="P281" s="359">
        <v>49.5</v>
      </c>
      <c r="Q281" s="359">
        <f t="shared" si="35"/>
        <v>49.5</v>
      </c>
      <c r="R281" s="359"/>
      <c r="S281" s="359">
        <v>33.59</v>
      </c>
      <c r="T281" s="304" t="s">
        <v>1844</v>
      </c>
      <c r="U281" s="304"/>
      <c r="V281" s="169"/>
      <c r="W281" s="165"/>
    </row>
    <row r="282" s="315" customFormat="1" ht="24" customHeight="1" spans="1:23">
      <c r="A282" s="335">
        <v>278</v>
      </c>
      <c r="B282" s="336"/>
      <c r="C282" s="336" t="s">
        <v>1117</v>
      </c>
      <c r="D282" s="304" t="s">
        <v>1845</v>
      </c>
      <c r="E282" s="1" t="s">
        <v>1823</v>
      </c>
      <c r="F282" s="1" t="s">
        <v>1217</v>
      </c>
      <c r="G282" s="304" t="s">
        <v>1230</v>
      </c>
      <c r="H282" s="304" t="s">
        <v>1846</v>
      </c>
      <c r="I282" s="359"/>
      <c r="J282" s="360"/>
      <c r="K282" s="359"/>
      <c r="L282" s="359"/>
      <c r="M282" s="359"/>
      <c r="N282" s="359"/>
      <c r="O282" s="359"/>
      <c r="P282" s="359">
        <v>57</v>
      </c>
      <c r="Q282" s="359">
        <f t="shared" si="35"/>
        <v>57</v>
      </c>
      <c r="R282" s="359"/>
      <c r="S282" s="359">
        <v>57</v>
      </c>
      <c r="T282" s="304" t="s">
        <v>1847</v>
      </c>
      <c r="U282" s="304"/>
      <c r="V282" s="169"/>
      <c r="W282" s="165"/>
    </row>
    <row r="283" s="316" customFormat="1" ht="24" customHeight="1" spans="1:23">
      <c r="A283" s="335">
        <v>279</v>
      </c>
      <c r="B283" s="337"/>
      <c r="C283" s="337"/>
      <c r="D283" s="332"/>
      <c r="E283" s="333" t="s">
        <v>1848</v>
      </c>
      <c r="F283" s="333"/>
      <c r="G283" s="333"/>
      <c r="H283" s="334"/>
      <c r="I283" s="358">
        <f>SUM(I284:I285)</f>
        <v>407</v>
      </c>
      <c r="J283" s="414">
        <f t="shared" ref="J283:S283" si="36">SUM(J284:J285)</f>
        <v>275</v>
      </c>
      <c r="K283" s="358">
        <f t="shared" si="36"/>
        <v>132</v>
      </c>
      <c r="L283" s="358">
        <f t="shared" si="36"/>
        <v>0</v>
      </c>
      <c r="M283" s="358">
        <f t="shared" si="36"/>
        <v>0</v>
      </c>
      <c r="N283" s="358">
        <f t="shared" si="36"/>
        <v>0</v>
      </c>
      <c r="O283" s="358">
        <f t="shared" si="36"/>
        <v>0</v>
      </c>
      <c r="P283" s="358">
        <f t="shared" si="36"/>
        <v>-30</v>
      </c>
      <c r="Q283" s="358">
        <f t="shared" si="36"/>
        <v>377</v>
      </c>
      <c r="R283" s="358">
        <f t="shared" si="36"/>
        <v>275</v>
      </c>
      <c r="S283" s="358">
        <f t="shared" si="36"/>
        <v>0</v>
      </c>
      <c r="T283" s="369"/>
      <c r="U283" s="364"/>
      <c r="V283" s="365"/>
      <c r="W283" s="366"/>
    </row>
    <row r="284" s="315" customFormat="1" ht="24" customHeight="1" spans="1:23">
      <c r="A284" s="335">
        <v>280</v>
      </c>
      <c r="B284" s="336" t="s">
        <v>880</v>
      </c>
      <c r="C284" s="336" t="s">
        <v>880</v>
      </c>
      <c r="D284" s="374" t="s">
        <v>1849</v>
      </c>
      <c r="E284" s="375" t="s">
        <v>1850</v>
      </c>
      <c r="F284" s="403" t="s">
        <v>1217</v>
      </c>
      <c r="G284" s="375" t="s">
        <v>1230</v>
      </c>
      <c r="H284" s="304" t="s">
        <v>1851</v>
      </c>
      <c r="I284" s="359">
        <v>275</v>
      </c>
      <c r="J284" s="415">
        <v>275</v>
      </c>
      <c r="K284" s="362"/>
      <c r="L284" s="362"/>
      <c r="M284" s="362"/>
      <c r="N284" s="362"/>
      <c r="O284" s="362"/>
      <c r="P284" s="359"/>
      <c r="Q284" s="359">
        <f t="shared" ref="Q284:Q300" si="37">I284+P284</f>
        <v>275</v>
      </c>
      <c r="R284" s="359">
        <v>275</v>
      </c>
      <c r="S284" s="359"/>
      <c r="T284" s="388"/>
      <c r="U284" s="304"/>
      <c r="V284" s="169" t="s">
        <v>1221</v>
      </c>
      <c r="W284" s="165"/>
    </row>
    <row r="285" s="315" customFormat="1" ht="24" customHeight="1" spans="1:23">
      <c r="A285" s="335">
        <v>281</v>
      </c>
      <c r="B285" s="336" t="s">
        <v>880</v>
      </c>
      <c r="C285" s="336" t="s">
        <v>880</v>
      </c>
      <c r="D285" s="374" t="s">
        <v>1228</v>
      </c>
      <c r="E285" s="375" t="s">
        <v>1852</v>
      </c>
      <c r="F285" s="403" t="s">
        <v>1217</v>
      </c>
      <c r="G285" s="375" t="s">
        <v>1296</v>
      </c>
      <c r="H285" s="304" t="s">
        <v>1853</v>
      </c>
      <c r="I285" s="359">
        <v>132</v>
      </c>
      <c r="J285" s="415"/>
      <c r="K285" s="362">
        <v>132</v>
      </c>
      <c r="L285" s="362"/>
      <c r="M285" s="362"/>
      <c r="N285" s="362"/>
      <c r="O285" s="362"/>
      <c r="P285" s="359">
        <v>-30</v>
      </c>
      <c r="Q285" s="359">
        <f t="shared" si="37"/>
        <v>102</v>
      </c>
      <c r="R285" s="359"/>
      <c r="S285" s="359"/>
      <c r="T285" s="388" t="s">
        <v>1854</v>
      </c>
      <c r="U285" s="304" t="s">
        <v>1855</v>
      </c>
      <c r="V285" s="169" t="s">
        <v>1221</v>
      </c>
      <c r="W285" s="165"/>
    </row>
    <row r="286" s="316" customFormat="1" ht="24" customHeight="1" spans="1:23">
      <c r="A286" s="335">
        <v>282</v>
      </c>
      <c r="B286" s="337"/>
      <c r="C286" s="337"/>
      <c r="D286" s="332"/>
      <c r="E286" s="333" t="s">
        <v>1856</v>
      </c>
      <c r="F286" s="333"/>
      <c r="G286" s="333"/>
      <c r="H286" s="334"/>
      <c r="I286" s="358">
        <f>SUM(I287:I300)</f>
        <v>485.5</v>
      </c>
      <c r="J286" s="358">
        <f t="shared" ref="J286:S286" si="38">SUM(J287:J300)</f>
        <v>300</v>
      </c>
      <c r="K286" s="358">
        <f t="shared" si="38"/>
        <v>130</v>
      </c>
      <c r="L286" s="358">
        <f t="shared" si="38"/>
        <v>55.5</v>
      </c>
      <c r="M286" s="358">
        <f t="shared" si="38"/>
        <v>0</v>
      </c>
      <c r="N286" s="358">
        <f t="shared" si="38"/>
        <v>0</v>
      </c>
      <c r="O286" s="358">
        <f t="shared" si="38"/>
        <v>0</v>
      </c>
      <c r="P286" s="358">
        <f t="shared" si="38"/>
        <v>-119.5</v>
      </c>
      <c r="Q286" s="358">
        <f t="shared" si="38"/>
        <v>366</v>
      </c>
      <c r="R286" s="358">
        <f t="shared" si="38"/>
        <v>420.4986</v>
      </c>
      <c r="S286" s="358">
        <f t="shared" si="38"/>
        <v>686.538</v>
      </c>
      <c r="T286" s="369"/>
      <c r="U286" s="364"/>
      <c r="V286" s="365"/>
      <c r="W286" s="366"/>
    </row>
    <row r="287" s="315" customFormat="1" ht="24" customHeight="1" spans="1:23">
      <c r="A287" s="335">
        <v>283</v>
      </c>
      <c r="B287" s="336" t="s">
        <v>880</v>
      </c>
      <c r="C287" s="336" t="s">
        <v>880</v>
      </c>
      <c r="D287" s="304" t="s">
        <v>1656</v>
      </c>
      <c r="E287" s="304" t="s">
        <v>1857</v>
      </c>
      <c r="F287" s="1" t="s">
        <v>1217</v>
      </c>
      <c r="G287" s="304" t="s">
        <v>1230</v>
      </c>
      <c r="H287" s="304" t="s">
        <v>1858</v>
      </c>
      <c r="I287" s="359">
        <v>300</v>
      </c>
      <c r="J287" s="360">
        <v>300</v>
      </c>
      <c r="K287" s="359"/>
      <c r="L287" s="359"/>
      <c r="M287" s="359"/>
      <c r="N287" s="359"/>
      <c r="O287" s="359"/>
      <c r="P287" s="359"/>
      <c r="Q287" s="359">
        <f t="shared" si="37"/>
        <v>300</v>
      </c>
      <c r="R287" s="359">
        <v>76.3</v>
      </c>
      <c r="S287" s="359">
        <v>223.7</v>
      </c>
      <c r="T287" s="304"/>
      <c r="U287" s="304" t="s">
        <v>1859</v>
      </c>
      <c r="V287" s="169" t="s">
        <v>1221</v>
      </c>
      <c r="W287" s="165"/>
    </row>
    <row r="288" s="315" customFormat="1" ht="24" customHeight="1" spans="1:23">
      <c r="A288" s="335">
        <v>284</v>
      </c>
      <c r="B288" s="336"/>
      <c r="C288" s="336" t="s">
        <v>880</v>
      </c>
      <c r="D288" s="304" t="s">
        <v>1656</v>
      </c>
      <c r="E288" s="304" t="s">
        <v>1857</v>
      </c>
      <c r="F288" s="1" t="s">
        <v>1217</v>
      </c>
      <c r="G288" s="304" t="s">
        <v>1230</v>
      </c>
      <c r="H288" s="304" t="s">
        <v>1860</v>
      </c>
      <c r="I288" s="359"/>
      <c r="J288" s="360"/>
      <c r="K288" s="359"/>
      <c r="L288" s="359"/>
      <c r="M288" s="359"/>
      <c r="N288" s="359"/>
      <c r="O288" s="359"/>
      <c r="P288" s="359">
        <v>54</v>
      </c>
      <c r="Q288" s="359">
        <f t="shared" si="37"/>
        <v>54</v>
      </c>
      <c r="R288" s="359"/>
      <c r="S288" s="359"/>
      <c r="T288" s="304" t="s">
        <v>1861</v>
      </c>
      <c r="U288" s="304"/>
      <c r="V288" s="169"/>
      <c r="W288" s="165"/>
    </row>
    <row r="289" s="315" customFormat="1" ht="24" customHeight="1" spans="1:23">
      <c r="A289" s="335">
        <v>285</v>
      </c>
      <c r="B289" s="336"/>
      <c r="C289" s="336" t="s">
        <v>1117</v>
      </c>
      <c r="D289" s="304" t="s">
        <v>1822</v>
      </c>
      <c r="E289" s="1" t="s">
        <v>1862</v>
      </c>
      <c r="F289" s="1" t="s">
        <v>1217</v>
      </c>
      <c r="G289" s="304" t="s">
        <v>1230</v>
      </c>
      <c r="H289" s="304" t="s">
        <v>1863</v>
      </c>
      <c r="I289" s="359"/>
      <c r="J289" s="360"/>
      <c r="K289" s="359"/>
      <c r="L289" s="359"/>
      <c r="M289" s="359"/>
      <c r="N289" s="359"/>
      <c r="O289" s="359"/>
      <c r="P289" s="359"/>
      <c r="Q289" s="359">
        <f t="shared" si="37"/>
        <v>0</v>
      </c>
      <c r="R289" s="359">
        <v>50</v>
      </c>
      <c r="S289" s="359">
        <v>124</v>
      </c>
      <c r="T289" s="304" t="s">
        <v>1864</v>
      </c>
      <c r="U289" s="304"/>
      <c r="V289" s="169"/>
      <c r="W289" s="165">
        <v>174</v>
      </c>
    </row>
    <row r="290" s="315" customFormat="1" ht="24" customHeight="1" spans="1:23">
      <c r="A290" s="335">
        <v>286</v>
      </c>
      <c r="B290" s="336"/>
      <c r="C290" s="336" t="s">
        <v>1117</v>
      </c>
      <c r="D290" s="304" t="s">
        <v>1822</v>
      </c>
      <c r="E290" s="1" t="s">
        <v>1862</v>
      </c>
      <c r="F290" s="1" t="s">
        <v>1217</v>
      </c>
      <c r="G290" s="304" t="s">
        <v>1230</v>
      </c>
      <c r="H290" s="304" t="s">
        <v>1865</v>
      </c>
      <c r="I290" s="359"/>
      <c r="J290" s="360"/>
      <c r="K290" s="359"/>
      <c r="L290" s="359"/>
      <c r="M290" s="359"/>
      <c r="N290" s="359"/>
      <c r="O290" s="359"/>
      <c r="P290" s="359"/>
      <c r="Q290" s="359">
        <f t="shared" si="37"/>
        <v>0</v>
      </c>
      <c r="R290" s="359">
        <v>50</v>
      </c>
      <c r="S290" s="359">
        <v>54</v>
      </c>
      <c r="T290" s="304" t="s">
        <v>1864</v>
      </c>
      <c r="U290" s="304"/>
      <c r="V290" s="169"/>
      <c r="W290" s="165">
        <v>104</v>
      </c>
    </row>
    <row r="291" s="315" customFormat="1" ht="24" customHeight="1" spans="1:23">
      <c r="A291" s="335">
        <v>287</v>
      </c>
      <c r="B291" s="336" t="s">
        <v>880</v>
      </c>
      <c r="C291" s="336" t="s">
        <v>880</v>
      </c>
      <c r="D291" s="304" t="s">
        <v>1656</v>
      </c>
      <c r="E291" s="304" t="s">
        <v>1866</v>
      </c>
      <c r="F291" s="1" t="s">
        <v>1217</v>
      </c>
      <c r="G291" s="304" t="s">
        <v>1296</v>
      </c>
      <c r="H291" s="304" t="s">
        <v>1867</v>
      </c>
      <c r="I291" s="359">
        <v>60</v>
      </c>
      <c r="J291" s="360"/>
      <c r="K291" s="359">
        <v>60</v>
      </c>
      <c r="L291" s="359"/>
      <c r="M291" s="359"/>
      <c r="N291" s="359"/>
      <c r="O291" s="359"/>
      <c r="P291" s="359">
        <v>-60</v>
      </c>
      <c r="Q291" s="359">
        <f t="shared" si="37"/>
        <v>0</v>
      </c>
      <c r="R291" s="359">
        <v>29.31</v>
      </c>
      <c r="S291" s="359"/>
      <c r="T291" s="304"/>
      <c r="U291" s="304" t="s">
        <v>1868</v>
      </c>
      <c r="V291" s="169"/>
      <c r="W291" s="359">
        <v>60</v>
      </c>
    </row>
    <row r="292" s="315" customFormat="1" ht="24" customHeight="1" spans="1:23">
      <c r="A292" s="335">
        <v>288</v>
      </c>
      <c r="B292" s="336" t="s">
        <v>880</v>
      </c>
      <c r="C292" s="336" t="s">
        <v>880</v>
      </c>
      <c r="D292" s="304" t="s">
        <v>1656</v>
      </c>
      <c r="E292" s="304" t="s">
        <v>1866</v>
      </c>
      <c r="F292" s="1" t="s">
        <v>1217</v>
      </c>
      <c r="G292" s="304" t="s">
        <v>1296</v>
      </c>
      <c r="H292" s="304" t="s">
        <v>1869</v>
      </c>
      <c r="I292" s="359">
        <v>70</v>
      </c>
      <c r="J292" s="360"/>
      <c r="K292" s="359">
        <v>70</v>
      </c>
      <c r="L292" s="359"/>
      <c r="M292" s="359"/>
      <c r="N292" s="359"/>
      <c r="O292" s="359"/>
      <c r="P292" s="359">
        <v>-70</v>
      </c>
      <c r="Q292" s="359">
        <f t="shared" si="37"/>
        <v>0</v>
      </c>
      <c r="R292" s="359">
        <v>50.88</v>
      </c>
      <c r="S292" s="359"/>
      <c r="T292" s="304"/>
      <c r="U292" s="304" t="s">
        <v>1870</v>
      </c>
      <c r="V292" s="169"/>
      <c r="W292" s="359">
        <v>70</v>
      </c>
    </row>
    <row r="293" s="315" customFormat="1" ht="24" customHeight="1" spans="1:23">
      <c r="A293" s="335">
        <v>289</v>
      </c>
      <c r="B293" s="336" t="s">
        <v>880</v>
      </c>
      <c r="C293" s="336" t="s">
        <v>880</v>
      </c>
      <c r="D293" s="304" t="s">
        <v>1656</v>
      </c>
      <c r="E293" s="304" t="s">
        <v>1871</v>
      </c>
      <c r="F293" s="1" t="s">
        <v>1217</v>
      </c>
      <c r="G293" s="304" t="s">
        <v>1218</v>
      </c>
      <c r="H293" s="304" t="s">
        <v>1872</v>
      </c>
      <c r="I293" s="359">
        <v>43.5</v>
      </c>
      <c r="J293" s="360"/>
      <c r="K293" s="359"/>
      <c r="L293" s="359">
        <v>43.5</v>
      </c>
      <c r="M293" s="359"/>
      <c r="N293" s="359"/>
      <c r="O293" s="359"/>
      <c r="P293" s="359">
        <f>-3.99-39.51</f>
        <v>-43.5</v>
      </c>
      <c r="Q293" s="359">
        <f t="shared" si="37"/>
        <v>0</v>
      </c>
      <c r="R293" s="359">
        <v>39.5086</v>
      </c>
      <c r="S293" s="359"/>
      <c r="T293" s="304"/>
      <c r="U293" s="304" t="s">
        <v>1873</v>
      </c>
      <c r="V293" s="169" t="s">
        <v>1221</v>
      </c>
      <c r="W293" s="169">
        <v>39.51</v>
      </c>
    </row>
    <row r="294" s="315" customFormat="1" ht="24" customHeight="1" spans="1:23">
      <c r="A294" s="335">
        <v>290</v>
      </c>
      <c r="B294" s="336" t="s">
        <v>880</v>
      </c>
      <c r="C294" s="336" t="s">
        <v>880</v>
      </c>
      <c r="D294" s="304" t="s">
        <v>1656</v>
      </c>
      <c r="E294" s="304" t="s">
        <v>1871</v>
      </c>
      <c r="F294" s="1" t="s">
        <v>1217</v>
      </c>
      <c r="G294" s="304" t="s">
        <v>1218</v>
      </c>
      <c r="H294" s="304" t="s">
        <v>1874</v>
      </c>
      <c r="I294" s="359">
        <v>12</v>
      </c>
      <c r="J294" s="360"/>
      <c r="K294" s="359"/>
      <c r="L294" s="359">
        <v>12</v>
      </c>
      <c r="M294" s="359"/>
      <c r="N294" s="359"/>
      <c r="O294" s="359"/>
      <c r="P294" s="359"/>
      <c r="Q294" s="359">
        <f t="shared" si="37"/>
        <v>12</v>
      </c>
      <c r="R294" s="359"/>
      <c r="S294" s="359"/>
      <c r="T294" s="304"/>
      <c r="U294" s="304" t="s">
        <v>1875</v>
      </c>
      <c r="V294" s="169" t="s">
        <v>1221</v>
      </c>
      <c r="W294" s="169"/>
    </row>
    <row r="295" s="315" customFormat="1" ht="24" customHeight="1" spans="1:23">
      <c r="A295" s="335">
        <v>291</v>
      </c>
      <c r="B295" s="336"/>
      <c r="C295" s="336" t="s">
        <v>880</v>
      </c>
      <c r="D295" s="304" t="s">
        <v>1656</v>
      </c>
      <c r="E295" s="304" t="s">
        <v>1871</v>
      </c>
      <c r="F295" s="1" t="s">
        <v>1217</v>
      </c>
      <c r="G295" s="304" t="s">
        <v>1218</v>
      </c>
      <c r="H295" s="304" t="s">
        <v>1876</v>
      </c>
      <c r="I295" s="359"/>
      <c r="J295" s="360"/>
      <c r="K295" s="359"/>
      <c r="L295" s="359"/>
      <c r="M295" s="359"/>
      <c r="N295" s="359"/>
      <c r="O295" s="359"/>
      <c r="P295" s="359"/>
      <c r="Q295" s="359">
        <f t="shared" si="37"/>
        <v>0</v>
      </c>
      <c r="R295" s="359"/>
      <c r="S295" s="359">
        <v>58.45</v>
      </c>
      <c r="T295" s="304"/>
      <c r="U295" s="304"/>
      <c r="V295" s="169"/>
      <c r="W295" s="169">
        <v>58.4536</v>
      </c>
    </row>
    <row r="296" s="315" customFormat="1" ht="24" customHeight="1" spans="1:23">
      <c r="A296" s="335">
        <v>292</v>
      </c>
      <c r="B296" s="336"/>
      <c r="C296" s="336" t="s">
        <v>880</v>
      </c>
      <c r="D296" s="1" t="s">
        <v>1614</v>
      </c>
      <c r="E296" s="304" t="s">
        <v>1871</v>
      </c>
      <c r="F296" s="1" t="s">
        <v>1217</v>
      </c>
      <c r="G296" s="304" t="s">
        <v>1230</v>
      </c>
      <c r="H296" s="304" t="s">
        <v>1877</v>
      </c>
      <c r="I296" s="359"/>
      <c r="J296" s="360"/>
      <c r="K296" s="359"/>
      <c r="L296" s="359"/>
      <c r="M296" s="359"/>
      <c r="N296" s="359"/>
      <c r="O296" s="359"/>
      <c r="P296" s="359"/>
      <c r="Q296" s="359">
        <f t="shared" si="37"/>
        <v>0</v>
      </c>
      <c r="R296" s="359"/>
      <c r="S296" s="359"/>
      <c r="T296" s="304" t="s">
        <v>1878</v>
      </c>
      <c r="U296" s="304"/>
      <c r="V296" s="169"/>
      <c r="W296" s="169">
        <v>112</v>
      </c>
    </row>
    <row r="297" s="315" customFormat="1" ht="24" customHeight="1" spans="1:23">
      <c r="A297" s="335">
        <v>293</v>
      </c>
      <c r="B297" s="336"/>
      <c r="C297" s="336" t="s">
        <v>880</v>
      </c>
      <c r="D297" s="304" t="s">
        <v>1542</v>
      </c>
      <c r="E297" s="304" t="s">
        <v>1871</v>
      </c>
      <c r="F297" s="1" t="s">
        <v>1217</v>
      </c>
      <c r="G297" s="304" t="s">
        <v>1230</v>
      </c>
      <c r="H297" s="304" t="s">
        <v>1877</v>
      </c>
      <c r="I297" s="359"/>
      <c r="J297" s="360"/>
      <c r="K297" s="359"/>
      <c r="L297" s="359"/>
      <c r="M297" s="359"/>
      <c r="N297" s="359"/>
      <c r="O297" s="359"/>
      <c r="P297" s="359"/>
      <c r="Q297" s="359">
        <f t="shared" si="37"/>
        <v>0</v>
      </c>
      <c r="R297" s="359"/>
      <c r="S297" s="359"/>
      <c r="T297" s="304" t="s">
        <v>1878</v>
      </c>
      <c r="U297" s="304"/>
      <c r="V297" s="169"/>
      <c r="W297" s="165">
        <v>163</v>
      </c>
    </row>
    <row r="298" s="315" customFormat="1" ht="24" customHeight="1" spans="1:23">
      <c r="A298" s="335">
        <v>294</v>
      </c>
      <c r="B298" s="336"/>
      <c r="C298" s="336" t="s">
        <v>880</v>
      </c>
      <c r="D298" s="304" t="s">
        <v>1656</v>
      </c>
      <c r="E298" s="304" t="s">
        <v>1871</v>
      </c>
      <c r="F298" s="1" t="s">
        <v>1217</v>
      </c>
      <c r="G298" s="304" t="s">
        <v>1230</v>
      </c>
      <c r="H298" s="304" t="s">
        <v>1877</v>
      </c>
      <c r="I298" s="359"/>
      <c r="J298" s="360"/>
      <c r="K298" s="359"/>
      <c r="L298" s="359"/>
      <c r="M298" s="359"/>
      <c r="N298" s="359"/>
      <c r="O298" s="359"/>
      <c r="P298" s="359"/>
      <c r="Q298" s="359">
        <f t="shared" si="37"/>
        <v>0</v>
      </c>
      <c r="R298" s="359"/>
      <c r="S298" s="359">
        <v>68</v>
      </c>
      <c r="T298" s="304" t="s">
        <v>1878</v>
      </c>
      <c r="U298" s="304"/>
      <c r="V298" s="169"/>
      <c r="W298" s="165">
        <v>68</v>
      </c>
    </row>
    <row r="299" s="315" customFormat="1" ht="24" customHeight="1" spans="1:23">
      <c r="A299" s="335">
        <v>295</v>
      </c>
      <c r="B299" s="336"/>
      <c r="C299" s="336" t="s">
        <v>880</v>
      </c>
      <c r="D299" s="304" t="s">
        <v>1656</v>
      </c>
      <c r="E299" s="304" t="s">
        <v>1879</v>
      </c>
      <c r="F299" s="1" t="s">
        <v>1217</v>
      </c>
      <c r="G299" s="304" t="s">
        <v>1230</v>
      </c>
      <c r="H299" s="304" t="s">
        <v>1880</v>
      </c>
      <c r="I299" s="359"/>
      <c r="J299" s="360"/>
      <c r="K299" s="359"/>
      <c r="L299" s="359"/>
      <c r="M299" s="359"/>
      <c r="N299" s="359"/>
      <c r="O299" s="359"/>
      <c r="P299" s="359"/>
      <c r="Q299" s="359">
        <f t="shared" si="37"/>
        <v>0</v>
      </c>
      <c r="R299" s="359">
        <v>124.5</v>
      </c>
      <c r="S299" s="359"/>
      <c r="T299" s="304" t="s">
        <v>1881</v>
      </c>
      <c r="U299" s="304"/>
      <c r="V299" s="169"/>
      <c r="W299" s="165">
        <v>124.5</v>
      </c>
    </row>
    <row r="300" s="315" customFormat="1" ht="36" spans="1:23">
      <c r="A300" s="335">
        <v>296</v>
      </c>
      <c r="B300" s="336"/>
      <c r="C300" s="336" t="s">
        <v>880</v>
      </c>
      <c r="D300" s="304" t="s">
        <v>1656</v>
      </c>
      <c r="E300" s="304" t="s">
        <v>1882</v>
      </c>
      <c r="F300" s="1" t="s">
        <v>1217</v>
      </c>
      <c r="G300" s="304" t="s">
        <v>1230</v>
      </c>
      <c r="H300" s="304" t="s">
        <v>1883</v>
      </c>
      <c r="I300" s="359"/>
      <c r="J300" s="360"/>
      <c r="K300" s="359"/>
      <c r="L300" s="359"/>
      <c r="M300" s="359"/>
      <c r="N300" s="359"/>
      <c r="O300" s="359"/>
      <c r="P300" s="359"/>
      <c r="Q300" s="359">
        <f t="shared" si="37"/>
        <v>0</v>
      </c>
      <c r="R300" s="359"/>
      <c r="S300" s="359">
        <v>158.388</v>
      </c>
      <c r="T300" s="304" t="s">
        <v>1884</v>
      </c>
      <c r="U300" s="304"/>
      <c r="V300" s="169"/>
      <c r="W300" s="165">
        <v>158.388</v>
      </c>
    </row>
    <row r="301" s="319" customFormat="1" ht="24" customHeight="1" spans="1:23">
      <c r="A301" s="335">
        <v>297</v>
      </c>
      <c r="B301" s="337"/>
      <c r="C301" s="337"/>
      <c r="D301" s="334"/>
      <c r="E301" s="404" t="s">
        <v>1885</v>
      </c>
      <c r="F301" s="404"/>
      <c r="G301" s="404"/>
      <c r="H301" s="334"/>
      <c r="I301" s="358">
        <f>SUM(I302:I302)</f>
        <v>3100</v>
      </c>
      <c r="J301" s="414">
        <f t="shared" ref="I301:S301" si="39">SUM(J302:J302)</f>
        <v>3100</v>
      </c>
      <c r="K301" s="358">
        <f t="shared" si="39"/>
        <v>0</v>
      </c>
      <c r="L301" s="358">
        <f t="shared" si="39"/>
        <v>0</v>
      </c>
      <c r="M301" s="358">
        <f t="shared" si="39"/>
        <v>0</v>
      </c>
      <c r="N301" s="358">
        <f t="shared" si="39"/>
        <v>0</v>
      </c>
      <c r="O301" s="358">
        <f t="shared" si="39"/>
        <v>0</v>
      </c>
      <c r="P301" s="358">
        <f t="shared" si="39"/>
        <v>-3100</v>
      </c>
      <c r="Q301" s="358">
        <f t="shared" si="39"/>
        <v>0</v>
      </c>
      <c r="R301" s="358">
        <f t="shared" si="39"/>
        <v>0</v>
      </c>
      <c r="S301" s="358">
        <f t="shared" si="39"/>
        <v>0</v>
      </c>
      <c r="T301" s="369"/>
      <c r="U301" s="334"/>
      <c r="V301" s="416"/>
      <c r="W301" s="417"/>
    </row>
    <row r="302" s="315" customFormat="1" ht="24" customHeight="1" spans="1:23">
      <c r="A302" s="335">
        <v>298</v>
      </c>
      <c r="B302" s="336" t="s">
        <v>856</v>
      </c>
      <c r="C302" s="336"/>
      <c r="D302" s="304"/>
      <c r="E302" s="304" t="s">
        <v>1886</v>
      </c>
      <c r="F302" s="1" t="s">
        <v>1217</v>
      </c>
      <c r="G302" s="304" t="s">
        <v>1230</v>
      </c>
      <c r="H302" s="304" t="s">
        <v>146</v>
      </c>
      <c r="I302" s="359">
        <v>3100</v>
      </c>
      <c r="J302" s="360">
        <v>3100</v>
      </c>
      <c r="K302" s="359"/>
      <c r="L302" s="359"/>
      <c r="M302" s="359"/>
      <c r="N302" s="359"/>
      <c r="O302" s="359"/>
      <c r="P302" s="359">
        <v>-3100</v>
      </c>
      <c r="Q302" s="359">
        <f>I302+P302</f>
        <v>0</v>
      </c>
      <c r="R302" s="359"/>
      <c r="S302" s="359"/>
      <c r="T302" s="304"/>
      <c r="U302" s="304" t="s">
        <v>1887</v>
      </c>
      <c r="V302" s="169" t="s">
        <v>1221</v>
      </c>
      <c r="W302" s="165"/>
    </row>
    <row r="303" s="319" customFormat="1" ht="24" customHeight="1" spans="1:23">
      <c r="A303" s="335">
        <v>299</v>
      </c>
      <c r="B303" s="337"/>
      <c r="C303" s="337"/>
      <c r="D303" s="334"/>
      <c r="E303" s="404" t="s">
        <v>1888</v>
      </c>
      <c r="F303" s="404"/>
      <c r="G303" s="404"/>
      <c r="H303" s="334"/>
      <c r="I303" s="358">
        <f>SUM(I304:I305)</f>
        <v>180</v>
      </c>
      <c r="J303" s="414">
        <f t="shared" ref="I303:S303" si="40">SUM(J304:J305)</f>
        <v>180</v>
      </c>
      <c r="K303" s="358">
        <f t="shared" si="40"/>
        <v>0</v>
      </c>
      <c r="L303" s="358">
        <f t="shared" si="40"/>
        <v>0</v>
      </c>
      <c r="M303" s="358">
        <f t="shared" si="40"/>
        <v>0</v>
      </c>
      <c r="N303" s="358">
        <f t="shared" si="40"/>
        <v>0</v>
      </c>
      <c r="O303" s="358">
        <f t="shared" si="40"/>
        <v>0</v>
      </c>
      <c r="P303" s="358">
        <f t="shared" si="40"/>
        <v>-4</v>
      </c>
      <c r="Q303" s="358">
        <f t="shared" si="40"/>
        <v>176</v>
      </c>
      <c r="R303" s="358">
        <f t="shared" si="40"/>
        <v>176</v>
      </c>
      <c r="S303" s="358">
        <f t="shared" si="40"/>
        <v>0</v>
      </c>
      <c r="T303" s="369"/>
      <c r="U303" s="334"/>
      <c r="V303" s="416"/>
      <c r="W303" s="417"/>
    </row>
    <row r="304" s="315" customFormat="1" ht="39" customHeight="1" spans="1:23">
      <c r="A304" s="335">
        <v>300</v>
      </c>
      <c r="B304" s="336" t="s">
        <v>856</v>
      </c>
      <c r="C304" s="336" t="s">
        <v>1161</v>
      </c>
      <c r="D304" s="374" t="s">
        <v>1889</v>
      </c>
      <c r="E304" s="304" t="s">
        <v>1890</v>
      </c>
      <c r="F304" s="1" t="s">
        <v>1217</v>
      </c>
      <c r="G304" s="304" t="s">
        <v>1230</v>
      </c>
      <c r="H304" s="304" t="s">
        <v>1891</v>
      </c>
      <c r="I304" s="359">
        <v>180</v>
      </c>
      <c r="J304" s="360">
        <v>180</v>
      </c>
      <c r="K304" s="359"/>
      <c r="L304" s="359"/>
      <c r="M304" s="359"/>
      <c r="N304" s="359"/>
      <c r="O304" s="359"/>
      <c r="P304" s="359">
        <v>-180</v>
      </c>
      <c r="Q304" s="359">
        <f t="shared" ref="Q303:Q316" si="41">I304+P304</f>
        <v>0</v>
      </c>
      <c r="R304" s="359">
        <v>0</v>
      </c>
      <c r="S304" s="359"/>
      <c r="T304" s="304"/>
      <c r="U304" s="304"/>
      <c r="V304" s="169"/>
      <c r="W304" s="165">
        <v>180</v>
      </c>
    </row>
    <row r="305" s="315" customFormat="1" ht="24" customHeight="1" spans="1:23">
      <c r="A305" s="335">
        <v>301</v>
      </c>
      <c r="B305" s="336"/>
      <c r="C305" s="336" t="s">
        <v>880</v>
      </c>
      <c r="D305" s="304" t="s">
        <v>1485</v>
      </c>
      <c r="E305" s="304" t="s">
        <v>1890</v>
      </c>
      <c r="F305" s="1" t="s">
        <v>1217</v>
      </c>
      <c r="G305" s="304" t="s">
        <v>1230</v>
      </c>
      <c r="H305" s="405" t="s">
        <v>1892</v>
      </c>
      <c r="I305" s="359"/>
      <c r="J305" s="360">
        <v>0</v>
      </c>
      <c r="K305" s="359"/>
      <c r="L305" s="359"/>
      <c r="M305" s="359"/>
      <c r="N305" s="359"/>
      <c r="O305" s="359"/>
      <c r="P305" s="359">
        <v>176</v>
      </c>
      <c r="Q305" s="359">
        <f t="shared" si="41"/>
        <v>176</v>
      </c>
      <c r="R305" s="359">
        <v>176</v>
      </c>
      <c r="S305" s="359"/>
      <c r="T305" s="304"/>
      <c r="U305" s="304"/>
      <c r="V305" s="169"/>
      <c r="W305" s="169"/>
    </row>
    <row r="306" s="319" customFormat="1" ht="24" customHeight="1" spans="1:23">
      <c r="A306" s="335">
        <v>302</v>
      </c>
      <c r="B306" s="337"/>
      <c r="C306" s="337"/>
      <c r="D306" s="334"/>
      <c r="E306" s="404" t="s">
        <v>1893</v>
      </c>
      <c r="F306" s="404"/>
      <c r="G306" s="404"/>
      <c r="H306" s="334"/>
      <c r="I306" s="358">
        <f>SUM(I307:I308)</f>
        <v>9840</v>
      </c>
      <c r="J306" s="414"/>
      <c r="K306" s="358">
        <f t="shared" ref="I306:S306" si="42">SUM(K307:K308)</f>
        <v>0</v>
      </c>
      <c r="L306" s="358">
        <f t="shared" si="42"/>
        <v>0</v>
      </c>
      <c r="M306" s="358">
        <f t="shared" si="42"/>
        <v>0</v>
      </c>
      <c r="N306" s="358">
        <f t="shared" si="42"/>
        <v>9840</v>
      </c>
      <c r="O306" s="358">
        <f t="shared" si="42"/>
        <v>0</v>
      </c>
      <c r="P306" s="358">
        <f t="shared" si="42"/>
        <v>-60.1</v>
      </c>
      <c r="Q306" s="358">
        <f t="shared" si="42"/>
        <v>9779.9</v>
      </c>
      <c r="R306" s="358">
        <f t="shared" si="42"/>
        <v>8317.87</v>
      </c>
      <c r="S306" s="358">
        <f t="shared" si="42"/>
        <v>2009.49</v>
      </c>
      <c r="T306" s="369"/>
      <c r="U306" s="334"/>
      <c r="V306" s="416"/>
      <c r="W306" s="417"/>
    </row>
    <row r="307" s="315" customFormat="1" ht="72" spans="1:23">
      <c r="A307" s="335">
        <v>303</v>
      </c>
      <c r="B307" s="336" t="s">
        <v>1288</v>
      </c>
      <c r="C307" s="336" t="s">
        <v>1288</v>
      </c>
      <c r="D307" s="304" t="s">
        <v>1485</v>
      </c>
      <c r="E307" s="304" t="s">
        <v>1894</v>
      </c>
      <c r="F307" s="1" t="s">
        <v>1217</v>
      </c>
      <c r="G307" s="304" t="s">
        <v>1895</v>
      </c>
      <c r="H307" s="304" t="s">
        <v>1896</v>
      </c>
      <c r="I307" s="359">
        <v>9805</v>
      </c>
      <c r="J307" s="360">
        <v>0</v>
      </c>
      <c r="K307" s="359"/>
      <c r="L307" s="359"/>
      <c r="M307" s="359"/>
      <c r="N307" s="359">
        <v>9805</v>
      </c>
      <c r="O307" s="359"/>
      <c r="P307" s="359">
        <v>-137.5</v>
      </c>
      <c r="Q307" s="359">
        <f t="shared" si="41"/>
        <v>9667.5</v>
      </c>
      <c r="R307" s="359">
        <v>8205.47</v>
      </c>
      <c r="S307" s="359">
        <v>2009.49</v>
      </c>
      <c r="T307" s="304" t="s">
        <v>1897</v>
      </c>
      <c r="U307" s="368" t="s">
        <v>1898</v>
      </c>
      <c r="V307" s="169"/>
      <c r="W307" s="165"/>
    </row>
    <row r="308" s="315" customFormat="1" ht="24" customHeight="1" spans="1:23">
      <c r="A308" s="335">
        <v>304</v>
      </c>
      <c r="B308" s="336" t="s">
        <v>1288</v>
      </c>
      <c r="C308" s="336" t="s">
        <v>1288</v>
      </c>
      <c r="D308" s="304" t="s">
        <v>1485</v>
      </c>
      <c r="E308" s="304" t="s">
        <v>1899</v>
      </c>
      <c r="F308" s="1" t="s">
        <v>1217</v>
      </c>
      <c r="G308" s="304" t="s">
        <v>1895</v>
      </c>
      <c r="H308" s="304" t="s">
        <v>1900</v>
      </c>
      <c r="I308" s="359">
        <v>35</v>
      </c>
      <c r="J308" s="360">
        <v>0</v>
      </c>
      <c r="K308" s="359"/>
      <c r="L308" s="359"/>
      <c r="M308" s="359"/>
      <c r="N308" s="359">
        <v>35</v>
      </c>
      <c r="O308" s="359"/>
      <c r="P308" s="359">
        <v>77.4</v>
      </c>
      <c r="Q308" s="359">
        <f t="shared" si="41"/>
        <v>112.4</v>
      </c>
      <c r="R308" s="359">
        <v>112.4</v>
      </c>
      <c r="S308" s="359">
        <v>0</v>
      </c>
      <c r="T308" s="304" t="s">
        <v>1901</v>
      </c>
      <c r="U308" s="304" t="s">
        <v>1902</v>
      </c>
      <c r="V308" s="169"/>
      <c r="W308" s="165"/>
    </row>
    <row r="309" s="319" customFormat="1" ht="24" customHeight="1" spans="1:23">
      <c r="A309" s="335">
        <v>305</v>
      </c>
      <c r="B309" s="337"/>
      <c r="C309" s="337"/>
      <c r="D309" s="334"/>
      <c r="E309" s="404" t="s">
        <v>1903</v>
      </c>
      <c r="F309" s="404"/>
      <c r="G309" s="404"/>
      <c r="H309" s="334"/>
      <c r="I309" s="358">
        <f>SUM(I310)</f>
        <v>50</v>
      </c>
      <c r="J309" s="414"/>
      <c r="K309" s="358">
        <f t="shared" ref="I309:S309" si="43">SUM(K310)</f>
        <v>0</v>
      </c>
      <c r="L309" s="358">
        <f t="shared" si="43"/>
        <v>0</v>
      </c>
      <c r="M309" s="358">
        <f t="shared" si="43"/>
        <v>0</v>
      </c>
      <c r="N309" s="358">
        <f t="shared" si="43"/>
        <v>0</v>
      </c>
      <c r="O309" s="358">
        <f t="shared" si="43"/>
        <v>50</v>
      </c>
      <c r="P309" s="358">
        <f t="shared" si="43"/>
        <v>-1.34</v>
      </c>
      <c r="Q309" s="358">
        <f t="shared" si="43"/>
        <v>48.66</v>
      </c>
      <c r="R309" s="358">
        <f t="shared" si="43"/>
        <v>48.66</v>
      </c>
      <c r="S309" s="358">
        <f t="shared" si="43"/>
        <v>0</v>
      </c>
      <c r="T309" s="369"/>
      <c r="U309" s="334"/>
      <c r="V309" s="416"/>
      <c r="W309" s="417"/>
    </row>
    <row r="310" s="315" customFormat="1" ht="24" customHeight="1" spans="1:23">
      <c r="A310" s="335">
        <v>306</v>
      </c>
      <c r="B310" s="336" t="s">
        <v>1288</v>
      </c>
      <c r="C310" s="336" t="s">
        <v>1288</v>
      </c>
      <c r="D310" s="304" t="s">
        <v>1485</v>
      </c>
      <c r="E310" s="304" t="s">
        <v>1904</v>
      </c>
      <c r="F310" s="1" t="s">
        <v>1217</v>
      </c>
      <c r="G310" s="304" t="s">
        <v>1905</v>
      </c>
      <c r="H310" s="304" t="s">
        <v>1906</v>
      </c>
      <c r="I310" s="359">
        <v>50</v>
      </c>
      <c r="J310" s="360">
        <v>0</v>
      </c>
      <c r="K310" s="359"/>
      <c r="L310" s="359"/>
      <c r="M310" s="359"/>
      <c r="N310" s="359"/>
      <c r="O310" s="359">
        <v>50</v>
      </c>
      <c r="P310" s="359">
        <v>-1.34</v>
      </c>
      <c r="Q310" s="359">
        <f t="shared" si="41"/>
        <v>48.66</v>
      </c>
      <c r="R310" s="359">
        <v>48.66</v>
      </c>
      <c r="S310" s="359"/>
      <c r="T310" s="304"/>
      <c r="U310" s="304"/>
      <c r="V310" s="169"/>
      <c r="W310" s="165"/>
    </row>
    <row r="311" s="319" customFormat="1" ht="24" customHeight="1" spans="1:23">
      <c r="A311" s="335">
        <v>307</v>
      </c>
      <c r="B311" s="337"/>
      <c r="C311" s="337"/>
      <c r="D311" s="334"/>
      <c r="E311" s="331" t="s">
        <v>22</v>
      </c>
      <c r="F311" s="331"/>
      <c r="G311" s="331"/>
      <c r="H311" s="334"/>
      <c r="I311" s="358">
        <f>SUM(I5,I19,I27,I52,I59,I73,I94,I117,I139,I164,I238,I250,I269,I267,I271,I283,I286,I301,I303,I306,I309)</f>
        <v>47351.644</v>
      </c>
      <c r="J311" s="414">
        <f t="shared" ref="I311:S311" si="44">SUM(J5,J19,J27,J52,J59,J73,J94,J117,J139,J164,J238,J250,J269,J267,J271,J283,J286,J301,J303,J306,J309)</f>
        <v>16390.7995</v>
      </c>
      <c r="K311" s="358">
        <f t="shared" si="44"/>
        <v>18291.508</v>
      </c>
      <c r="L311" s="358">
        <f t="shared" si="44"/>
        <v>2779.33</v>
      </c>
      <c r="M311" s="358">
        <f t="shared" si="44"/>
        <v>0</v>
      </c>
      <c r="N311" s="358">
        <f t="shared" si="44"/>
        <v>9840</v>
      </c>
      <c r="O311" s="358">
        <f t="shared" si="44"/>
        <v>50</v>
      </c>
      <c r="P311" s="358">
        <f t="shared" si="44"/>
        <v>10450.833172</v>
      </c>
      <c r="Q311" s="358">
        <f t="shared" si="44"/>
        <v>57802.477172</v>
      </c>
      <c r="R311" s="358">
        <f t="shared" si="44"/>
        <v>49795.858292</v>
      </c>
      <c r="S311" s="358">
        <f t="shared" si="44"/>
        <v>21000.092162</v>
      </c>
      <c r="T311" s="418"/>
      <c r="U311" s="334"/>
      <c r="V311" s="416"/>
      <c r="W311" s="366"/>
    </row>
    <row r="312" s="133" customFormat="1" ht="24" customHeight="1" spans="1:23">
      <c r="A312" s="335">
        <v>308</v>
      </c>
      <c r="B312" s="406"/>
      <c r="C312" s="406"/>
      <c r="D312" s="402"/>
      <c r="E312" s="407" t="s">
        <v>1907</v>
      </c>
      <c r="F312" s="408"/>
      <c r="G312" s="407"/>
      <c r="H312" s="402"/>
      <c r="I312" s="362">
        <f>SUM(I313:I314)</f>
        <v>40387</v>
      </c>
      <c r="J312" s="415">
        <f t="shared" ref="J312:P312" si="45">SUM(J313:J314)</f>
        <v>0</v>
      </c>
      <c r="K312" s="362">
        <f t="shared" si="45"/>
        <v>0</v>
      </c>
      <c r="L312" s="362">
        <f t="shared" si="45"/>
        <v>0</v>
      </c>
      <c r="M312" s="362">
        <f t="shared" si="45"/>
        <v>40387</v>
      </c>
      <c r="N312" s="362">
        <f t="shared" si="45"/>
        <v>0</v>
      </c>
      <c r="O312" s="362">
        <f t="shared" si="45"/>
        <v>0</v>
      </c>
      <c r="P312" s="362">
        <f t="shared" si="45"/>
        <v>-38455.95</v>
      </c>
      <c r="Q312" s="362">
        <f t="shared" si="41"/>
        <v>1931.05</v>
      </c>
      <c r="R312" s="362"/>
      <c r="S312" s="362"/>
      <c r="T312" s="398"/>
      <c r="U312" s="402"/>
      <c r="V312" s="300"/>
      <c r="W312" s="192"/>
    </row>
    <row r="313" s="315" customFormat="1" ht="24" customHeight="1" spans="1:23">
      <c r="A313" s="335">
        <v>309</v>
      </c>
      <c r="B313" s="336" t="s">
        <v>1288</v>
      </c>
      <c r="C313" s="336" t="s">
        <v>1288</v>
      </c>
      <c r="D313" s="304" t="s">
        <v>1485</v>
      </c>
      <c r="E313" s="304" t="s">
        <v>1908</v>
      </c>
      <c r="F313" s="1" t="s">
        <v>1217</v>
      </c>
      <c r="G313" s="304" t="s">
        <v>1909</v>
      </c>
      <c r="H313" s="405" t="s">
        <v>1910</v>
      </c>
      <c r="I313" s="359">
        <v>40272</v>
      </c>
      <c r="J313" s="360"/>
      <c r="K313" s="359"/>
      <c r="L313" s="359"/>
      <c r="M313" s="359">
        <v>40272</v>
      </c>
      <c r="N313" s="359"/>
      <c r="O313" s="359"/>
      <c r="P313" s="359">
        <v>-38404</v>
      </c>
      <c r="Q313" s="359">
        <f t="shared" si="41"/>
        <v>1868</v>
      </c>
      <c r="R313" s="359">
        <v>1868</v>
      </c>
      <c r="S313" s="359"/>
      <c r="T313" s="304" t="s">
        <v>59</v>
      </c>
      <c r="U313" s="304" t="s">
        <v>1911</v>
      </c>
      <c r="V313" s="299"/>
      <c r="W313" s="165"/>
    </row>
    <row r="314" s="315" customFormat="1" ht="24" customHeight="1" spans="1:23">
      <c r="A314" s="335">
        <v>310</v>
      </c>
      <c r="B314" s="336" t="s">
        <v>1288</v>
      </c>
      <c r="C314" s="336" t="s">
        <v>1288</v>
      </c>
      <c r="D314" s="304" t="s">
        <v>1485</v>
      </c>
      <c r="E314" s="304" t="s">
        <v>1912</v>
      </c>
      <c r="F314" s="1" t="s">
        <v>1217</v>
      </c>
      <c r="G314" s="304" t="s">
        <v>1909</v>
      </c>
      <c r="H314" s="405" t="s">
        <v>1913</v>
      </c>
      <c r="I314" s="359">
        <v>115</v>
      </c>
      <c r="J314" s="360"/>
      <c r="K314" s="359"/>
      <c r="L314" s="359"/>
      <c r="M314" s="396">
        <v>115</v>
      </c>
      <c r="N314" s="359"/>
      <c r="O314" s="359"/>
      <c r="P314" s="359">
        <v>-51.95</v>
      </c>
      <c r="Q314" s="359">
        <f t="shared" si="41"/>
        <v>63.05</v>
      </c>
      <c r="R314" s="359">
        <v>63.05</v>
      </c>
      <c r="S314" s="359"/>
      <c r="T314" s="304" t="s">
        <v>1914</v>
      </c>
      <c r="U314" s="304" t="s">
        <v>1915</v>
      </c>
      <c r="V314" s="299"/>
      <c r="W314" s="165"/>
    </row>
    <row r="315" s="133" customFormat="1" ht="24" customHeight="1" spans="1:23">
      <c r="A315" s="335">
        <v>311</v>
      </c>
      <c r="B315" s="406"/>
      <c r="C315" s="406"/>
      <c r="D315" s="409"/>
      <c r="E315" s="400" t="s">
        <v>1916</v>
      </c>
      <c r="F315" s="400"/>
      <c r="G315" s="400"/>
      <c r="H315" s="410"/>
      <c r="I315" s="362">
        <v>8800</v>
      </c>
      <c r="J315" s="415">
        <v>8800</v>
      </c>
      <c r="K315" s="362"/>
      <c r="L315" s="362"/>
      <c r="M315" s="362"/>
      <c r="N315" s="362"/>
      <c r="O315" s="362"/>
      <c r="P315" s="362">
        <v>-200</v>
      </c>
      <c r="Q315" s="362">
        <f t="shared" si="41"/>
        <v>8600</v>
      </c>
      <c r="R315" s="359"/>
      <c r="S315" s="359">
        <v>8600</v>
      </c>
      <c r="T315" s="304"/>
      <c r="U315" s="304" t="s">
        <v>1917</v>
      </c>
      <c r="V315" s="300"/>
      <c r="W315" s="192"/>
    </row>
    <row r="316" s="133" customFormat="1" ht="24" customHeight="1" spans="1:23">
      <c r="A316" s="335">
        <v>312</v>
      </c>
      <c r="B316" s="406"/>
      <c r="C316" s="406"/>
      <c r="D316" s="409"/>
      <c r="E316" s="400" t="s">
        <v>1918</v>
      </c>
      <c r="F316" s="400"/>
      <c r="G316" s="400"/>
      <c r="H316" s="410"/>
      <c r="I316" s="362">
        <v>0</v>
      </c>
      <c r="J316" s="415"/>
      <c r="K316" s="362"/>
      <c r="L316" s="362"/>
      <c r="M316" s="362"/>
      <c r="N316" s="362"/>
      <c r="O316" s="362"/>
      <c r="P316" s="362">
        <v>26738.827</v>
      </c>
      <c r="Q316" s="362">
        <f t="shared" si="41"/>
        <v>26738.827</v>
      </c>
      <c r="R316" s="359"/>
      <c r="S316" s="359">
        <v>26738.827</v>
      </c>
      <c r="T316" s="304" t="s">
        <v>1919</v>
      </c>
      <c r="U316" s="304"/>
      <c r="V316" s="300"/>
      <c r="W316" s="192"/>
    </row>
    <row r="317" s="320" customFormat="1" ht="24" customHeight="1" spans="1:23">
      <c r="A317" s="335">
        <v>313</v>
      </c>
      <c r="B317" s="411"/>
      <c r="C317" s="412"/>
      <c r="D317" s="412"/>
      <c r="E317" s="412" t="s">
        <v>125</v>
      </c>
      <c r="F317" s="412"/>
      <c r="G317" s="412"/>
      <c r="H317" s="413"/>
      <c r="I317" s="358">
        <f>I311+I312+I315+I316</f>
        <v>96538.644</v>
      </c>
      <c r="J317" s="358">
        <f t="shared" ref="J317:S317" si="46">J311+J312+J315+J316</f>
        <v>25190.7995</v>
      </c>
      <c r="K317" s="358">
        <f t="shared" si="46"/>
        <v>18291.508</v>
      </c>
      <c r="L317" s="358">
        <f t="shared" si="46"/>
        <v>2779.33</v>
      </c>
      <c r="M317" s="358">
        <f t="shared" si="46"/>
        <v>40387</v>
      </c>
      <c r="N317" s="358">
        <f t="shared" si="46"/>
        <v>9840</v>
      </c>
      <c r="O317" s="358">
        <f t="shared" si="46"/>
        <v>50</v>
      </c>
      <c r="P317" s="358">
        <f t="shared" si="46"/>
        <v>-1466.289828</v>
      </c>
      <c r="Q317" s="358">
        <f t="shared" si="46"/>
        <v>95072.354172</v>
      </c>
      <c r="R317" s="358">
        <f>SUM(R311:R316)</f>
        <v>51726.908292</v>
      </c>
      <c r="S317" s="358">
        <f>SUM(S311:S316)</f>
        <v>56338.919162</v>
      </c>
      <c r="T317" s="418"/>
      <c r="U317" s="413"/>
      <c r="V317" s="419"/>
      <c r="W317" s="420">
        <f>SUM(W5:W316)</f>
        <v>37782.972625</v>
      </c>
    </row>
  </sheetData>
  <autoFilter ref="A4:X317">
    <extLst/>
  </autoFilter>
  <sortState ref="A165:X237">
    <sortCondition ref="E165:E237"/>
  </sortState>
  <mergeCells count="16">
    <mergeCell ref="A1:U1"/>
    <mergeCell ref="I3:Q3"/>
    <mergeCell ref="A3:A4"/>
    <mergeCell ref="B3:B4"/>
    <mergeCell ref="C3:C4"/>
    <mergeCell ref="D3:D4"/>
    <mergeCell ref="E3:E4"/>
    <mergeCell ref="F3:F4"/>
    <mergeCell ref="G3:G4"/>
    <mergeCell ref="H3:H4"/>
    <mergeCell ref="R3:R4"/>
    <mergeCell ref="S3:S4"/>
    <mergeCell ref="T3:T4"/>
    <mergeCell ref="U3:U4"/>
    <mergeCell ref="V3:V4"/>
    <mergeCell ref="W3:W4"/>
  </mergeCells>
  <printOptions horizontalCentered="1"/>
  <pageMargins left="0.46875" right="0.238888888888889" top="0.55" bottom="0.588888888888889" header="0.349305555555556" footer="0.309027777777778"/>
  <pageSetup paperSize="9" scale="78" fitToHeight="0" orientation="landscape" horizontalDpi="600" verticalDpi="600"/>
  <headerFooter>
    <oddFooter>&amp;C第 &amp;P 页，共 &amp;N 页</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22"/>
  <sheetViews>
    <sheetView workbookViewId="0">
      <pane xSplit="7" ySplit="4" topLeftCell="H5" activePane="bottomRight" state="frozen"/>
      <selection/>
      <selection pane="topRight"/>
      <selection pane="bottomLeft"/>
      <selection pane="bottomRight" activeCell="E24" sqref="E24"/>
    </sheetView>
  </sheetViews>
  <sheetFormatPr defaultColWidth="9" defaultRowHeight="13.5" outlineLevelCol="6"/>
  <cols>
    <col min="1" max="1" width="8" customWidth="1"/>
    <col min="2" max="2" width="17.875" style="8" customWidth="1"/>
    <col min="3" max="3" width="23.5" customWidth="1"/>
    <col min="4" max="4" width="26.5" customWidth="1"/>
    <col min="5" max="5" width="47.75" customWidth="1"/>
    <col min="6" max="6" width="16.375" customWidth="1"/>
    <col min="7" max="7" width="18.625" customWidth="1"/>
  </cols>
  <sheetData>
    <row r="1" ht="22.5" spans="1:7">
      <c r="A1" s="295" t="s">
        <v>1920</v>
      </c>
      <c r="B1" s="308"/>
      <c r="C1" s="295"/>
      <c r="D1" s="295"/>
      <c r="E1" s="295"/>
      <c r="F1" s="295"/>
      <c r="G1" s="295"/>
    </row>
    <row r="2" ht="14.25" spans="1:7">
      <c r="A2" s="294"/>
      <c r="B2" s="138"/>
      <c r="C2" s="131"/>
      <c r="D2" s="131"/>
      <c r="E2" s="309"/>
      <c r="F2" s="309" t="s">
        <v>2</v>
      </c>
      <c r="G2" s="131"/>
    </row>
    <row r="3" ht="31" customHeight="1" spans="1:7">
      <c r="A3" s="296" t="s">
        <v>155</v>
      </c>
      <c r="B3" s="75" t="s">
        <v>1200</v>
      </c>
      <c r="C3" s="75" t="s">
        <v>157</v>
      </c>
      <c r="D3" s="75" t="s">
        <v>156</v>
      </c>
      <c r="E3" s="75" t="s">
        <v>1202</v>
      </c>
      <c r="F3" s="296" t="s">
        <v>1921</v>
      </c>
      <c r="G3" s="296" t="s">
        <v>7</v>
      </c>
    </row>
    <row r="4" ht="22" customHeight="1" spans="1:7">
      <c r="A4" s="296" t="s">
        <v>22</v>
      </c>
      <c r="B4" s="300"/>
      <c r="C4" s="75"/>
      <c r="D4" s="75"/>
      <c r="E4" s="75"/>
      <c r="F4" s="310">
        <f>F5+F13+F102</f>
        <v>69197.216125</v>
      </c>
      <c r="G4" s="299"/>
    </row>
    <row r="5" ht="22" customHeight="1" spans="1:7">
      <c r="A5" s="300" t="s">
        <v>1922</v>
      </c>
      <c r="B5" s="300"/>
      <c r="C5" s="77"/>
      <c r="D5" s="77"/>
      <c r="E5" s="75"/>
      <c r="F5" s="310">
        <f>SUM(F6:F12)</f>
        <v>3338.5</v>
      </c>
      <c r="G5" s="299"/>
    </row>
    <row r="6" ht="27" spans="1:7">
      <c r="A6" s="297">
        <v>1</v>
      </c>
      <c r="B6" s="169" t="s">
        <v>856</v>
      </c>
      <c r="C6" s="150" t="s">
        <v>276</v>
      </c>
      <c r="D6" s="150" t="s">
        <v>862</v>
      </c>
      <c r="E6" s="72" t="s">
        <v>1923</v>
      </c>
      <c r="F6" s="70">
        <v>308.5</v>
      </c>
      <c r="G6" s="299"/>
    </row>
    <row r="7" ht="27" spans="1:7">
      <c r="A7" s="297">
        <v>2</v>
      </c>
      <c r="B7" s="169" t="s">
        <v>880</v>
      </c>
      <c r="C7" s="150" t="s">
        <v>262</v>
      </c>
      <c r="D7" s="150" t="s">
        <v>881</v>
      </c>
      <c r="E7" s="72" t="s">
        <v>1923</v>
      </c>
      <c r="F7" s="70">
        <v>146</v>
      </c>
      <c r="G7" s="299"/>
    </row>
    <row r="8" ht="27" spans="1:7">
      <c r="A8" s="297">
        <v>3</v>
      </c>
      <c r="B8" s="169" t="s">
        <v>889</v>
      </c>
      <c r="C8" s="150" t="s">
        <v>332</v>
      </c>
      <c r="D8" s="150" t="s">
        <v>892</v>
      </c>
      <c r="E8" s="72" t="s">
        <v>1923</v>
      </c>
      <c r="F8" s="70">
        <v>850</v>
      </c>
      <c r="G8" s="299"/>
    </row>
    <row r="9" ht="27" spans="1:7">
      <c r="A9" s="297">
        <v>4</v>
      </c>
      <c r="B9" s="169" t="s">
        <v>889</v>
      </c>
      <c r="C9" s="150" t="s">
        <v>355</v>
      </c>
      <c r="D9" s="150" t="s">
        <v>925</v>
      </c>
      <c r="E9" s="72" t="s">
        <v>1923</v>
      </c>
      <c r="F9" s="70">
        <v>279</v>
      </c>
      <c r="G9" s="299"/>
    </row>
    <row r="10" spans="1:7">
      <c r="A10" s="297">
        <v>5</v>
      </c>
      <c r="B10" s="169" t="s">
        <v>889</v>
      </c>
      <c r="C10" s="150" t="s">
        <v>267</v>
      </c>
      <c r="D10" s="150" t="s">
        <v>932</v>
      </c>
      <c r="E10" s="72" t="s">
        <v>1923</v>
      </c>
      <c r="F10" s="70">
        <v>270</v>
      </c>
      <c r="G10" s="299"/>
    </row>
    <row r="11" ht="27" spans="1:7">
      <c r="A11" s="297">
        <v>6</v>
      </c>
      <c r="B11" s="169" t="s">
        <v>889</v>
      </c>
      <c r="C11" s="150" t="s">
        <v>375</v>
      </c>
      <c r="D11" s="150" t="s">
        <v>958</v>
      </c>
      <c r="E11" s="72" t="s">
        <v>1923</v>
      </c>
      <c r="F11" s="70">
        <v>185</v>
      </c>
      <c r="G11" s="299"/>
    </row>
    <row r="12" ht="24" customHeight="1" spans="1:7">
      <c r="A12" s="297">
        <v>7</v>
      </c>
      <c r="B12" s="169" t="s">
        <v>889</v>
      </c>
      <c r="C12" s="150" t="s">
        <v>1924</v>
      </c>
      <c r="D12" s="150" t="s">
        <v>976</v>
      </c>
      <c r="E12" s="72" t="s">
        <v>1925</v>
      </c>
      <c r="F12" s="70">
        <v>1300</v>
      </c>
      <c r="G12" s="299"/>
    </row>
    <row r="13" ht="26" customHeight="1" spans="1:7">
      <c r="A13" s="300" t="s">
        <v>1926</v>
      </c>
      <c r="B13" s="300"/>
      <c r="C13" s="77"/>
      <c r="D13" s="77"/>
      <c r="E13" s="75"/>
      <c r="F13" s="310">
        <f>SUM(F14:F101)</f>
        <v>48223.972625</v>
      </c>
      <c r="G13" s="299"/>
    </row>
    <row r="14" ht="27" spans="1:7">
      <c r="A14" s="70">
        <v>1</v>
      </c>
      <c r="B14" s="72" t="s">
        <v>889</v>
      </c>
      <c r="C14" s="72" t="s">
        <v>1215</v>
      </c>
      <c r="D14" s="72" t="s">
        <v>1216</v>
      </c>
      <c r="E14" s="72" t="s">
        <v>1219</v>
      </c>
      <c r="F14" s="302">
        <v>1000</v>
      </c>
      <c r="G14" s="72"/>
    </row>
    <row r="15" ht="27" spans="1:7">
      <c r="A15" s="70">
        <v>2</v>
      </c>
      <c r="B15" s="72" t="s">
        <v>1227</v>
      </c>
      <c r="C15" s="72" t="s">
        <v>1228</v>
      </c>
      <c r="D15" s="72" t="s">
        <v>1229</v>
      </c>
      <c r="E15" s="72" t="s">
        <v>1231</v>
      </c>
      <c r="F15" s="302">
        <v>900</v>
      </c>
      <c r="G15" s="72"/>
    </row>
    <row r="16" ht="27" spans="1:7">
      <c r="A16" s="70">
        <v>3</v>
      </c>
      <c r="B16" s="311" t="s">
        <v>889</v>
      </c>
      <c r="C16" s="72" t="s">
        <v>1251</v>
      </c>
      <c r="D16" s="72" t="s">
        <v>1252</v>
      </c>
      <c r="E16" s="72" t="s">
        <v>1253</v>
      </c>
      <c r="F16" s="303">
        <v>207</v>
      </c>
      <c r="G16" s="299"/>
    </row>
    <row r="17" ht="27" spans="1:7">
      <c r="A17" s="70">
        <v>4</v>
      </c>
      <c r="B17" s="311" t="s">
        <v>889</v>
      </c>
      <c r="C17" s="72" t="s">
        <v>1260</v>
      </c>
      <c r="D17" s="72" t="s">
        <v>1263</v>
      </c>
      <c r="E17" s="72" t="s">
        <v>1264</v>
      </c>
      <c r="F17" s="303">
        <v>450</v>
      </c>
      <c r="G17" s="299"/>
    </row>
    <row r="18" spans="1:7">
      <c r="A18" s="70">
        <v>5</v>
      </c>
      <c r="B18" s="311" t="s">
        <v>1227</v>
      </c>
      <c r="C18" s="72" t="s">
        <v>1268</v>
      </c>
      <c r="D18" s="72" t="s">
        <v>1263</v>
      </c>
      <c r="E18" s="72" t="s">
        <v>1269</v>
      </c>
      <c r="F18" s="303">
        <v>124</v>
      </c>
      <c r="G18" s="299"/>
    </row>
    <row r="19" ht="27" spans="1:7">
      <c r="A19" s="70">
        <v>6</v>
      </c>
      <c r="B19" s="311" t="s">
        <v>1227</v>
      </c>
      <c r="C19" s="72" t="s">
        <v>1274</v>
      </c>
      <c r="D19" s="72" t="s">
        <v>1263</v>
      </c>
      <c r="E19" s="72" t="s">
        <v>1277</v>
      </c>
      <c r="F19" s="303">
        <v>2073.556975</v>
      </c>
      <c r="G19" s="299"/>
    </row>
    <row r="20" ht="27" spans="1:7">
      <c r="A20" s="70">
        <v>7</v>
      </c>
      <c r="B20" s="311" t="s">
        <v>836</v>
      </c>
      <c r="C20" s="72" t="s">
        <v>1323</v>
      </c>
      <c r="D20" s="72" t="s">
        <v>1324</v>
      </c>
      <c r="E20" s="72" t="s">
        <v>1329</v>
      </c>
      <c r="F20" s="297">
        <v>749.02</v>
      </c>
      <c r="G20" s="299"/>
    </row>
    <row r="21" spans="1:7">
      <c r="A21" s="70">
        <v>8</v>
      </c>
      <c r="B21" s="311" t="s">
        <v>836</v>
      </c>
      <c r="C21" s="72" t="s">
        <v>1330</v>
      </c>
      <c r="D21" s="72" t="s">
        <v>1324</v>
      </c>
      <c r="E21" s="72" t="s">
        <v>1331</v>
      </c>
      <c r="F21" s="297">
        <v>3745.67</v>
      </c>
      <c r="G21" s="299"/>
    </row>
    <row r="22" spans="1:7">
      <c r="A22" s="70">
        <v>9</v>
      </c>
      <c r="B22" s="311" t="s">
        <v>836</v>
      </c>
      <c r="C22" s="72" t="s">
        <v>1330</v>
      </c>
      <c r="D22" s="72" t="s">
        <v>1324</v>
      </c>
      <c r="E22" s="72" t="s">
        <v>1332</v>
      </c>
      <c r="F22" s="297">
        <v>2559.29</v>
      </c>
      <c r="G22" s="299"/>
    </row>
    <row r="23" spans="1:7">
      <c r="A23" s="70">
        <v>10</v>
      </c>
      <c r="B23" s="311" t="s">
        <v>836</v>
      </c>
      <c r="C23" s="72" t="s">
        <v>1330</v>
      </c>
      <c r="D23" s="72" t="s">
        <v>1324</v>
      </c>
      <c r="E23" s="72" t="s">
        <v>1333</v>
      </c>
      <c r="F23" s="297">
        <v>698.18</v>
      </c>
      <c r="G23" s="299"/>
    </row>
    <row r="24" ht="27" spans="1:7">
      <c r="A24" s="70">
        <v>11</v>
      </c>
      <c r="B24" s="311" t="s">
        <v>1227</v>
      </c>
      <c r="C24" s="72" t="s">
        <v>1349</v>
      </c>
      <c r="D24" s="72" t="s">
        <v>1336</v>
      </c>
      <c r="E24" s="177" t="s">
        <v>1350</v>
      </c>
      <c r="F24" s="303">
        <v>500</v>
      </c>
      <c r="G24" s="299"/>
    </row>
    <row r="25" ht="27" spans="1:7">
      <c r="A25" s="70">
        <v>12</v>
      </c>
      <c r="B25" s="311" t="s">
        <v>1288</v>
      </c>
      <c r="C25" s="72" t="s">
        <v>1349</v>
      </c>
      <c r="D25" s="72" t="s">
        <v>1336</v>
      </c>
      <c r="E25" s="177" t="s">
        <v>1354</v>
      </c>
      <c r="F25" s="297">
        <v>3000</v>
      </c>
      <c r="G25" s="299"/>
    </row>
    <row r="26" spans="1:7">
      <c r="A26" s="70">
        <v>13</v>
      </c>
      <c r="B26" s="311" t="s">
        <v>730</v>
      </c>
      <c r="C26" s="72" t="s">
        <v>1377</v>
      </c>
      <c r="D26" s="72" t="s">
        <v>1389</v>
      </c>
      <c r="E26" s="177" t="s">
        <v>1390</v>
      </c>
      <c r="F26" s="297">
        <v>208</v>
      </c>
      <c r="G26" s="299"/>
    </row>
    <row r="27" spans="1:7">
      <c r="A27" s="70">
        <v>14</v>
      </c>
      <c r="B27" s="311" t="s">
        <v>730</v>
      </c>
      <c r="C27" s="72" t="s">
        <v>1377</v>
      </c>
      <c r="D27" s="72" t="s">
        <v>1389</v>
      </c>
      <c r="E27" s="72" t="s">
        <v>1392</v>
      </c>
      <c r="F27" s="303">
        <v>247</v>
      </c>
      <c r="G27" s="299"/>
    </row>
    <row r="28" spans="1:7">
      <c r="A28" s="70">
        <v>15</v>
      </c>
      <c r="B28" s="311" t="s">
        <v>1227</v>
      </c>
      <c r="C28" s="72" t="s">
        <v>1433</v>
      </c>
      <c r="D28" s="72" t="s">
        <v>1434</v>
      </c>
      <c r="E28" s="72" t="s">
        <v>1435</v>
      </c>
      <c r="F28" s="297">
        <v>155.4683</v>
      </c>
      <c r="G28" s="299"/>
    </row>
    <row r="29" ht="27" spans="1:7">
      <c r="A29" s="70">
        <v>16</v>
      </c>
      <c r="B29" s="311" t="s">
        <v>730</v>
      </c>
      <c r="C29" s="72" t="s">
        <v>1433</v>
      </c>
      <c r="D29" s="72" t="s">
        <v>1456</v>
      </c>
      <c r="E29" s="72" t="s">
        <v>1457</v>
      </c>
      <c r="F29" s="70">
        <v>390</v>
      </c>
      <c r="G29" s="299"/>
    </row>
    <row r="30" spans="1:7">
      <c r="A30" s="70">
        <v>17</v>
      </c>
      <c r="B30" s="311" t="s">
        <v>730</v>
      </c>
      <c r="C30" s="72" t="s">
        <v>1428</v>
      </c>
      <c r="D30" s="72" t="s">
        <v>1471</v>
      </c>
      <c r="E30" s="72" t="s">
        <v>1475</v>
      </c>
      <c r="F30" s="302">
        <v>114.88</v>
      </c>
      <c r="G30" s="299"/>
    </row>
    <row r="31" spans="1:7">
      <c r="A31" s="70">
        <v>18</v>
      </c>
      <c r="B31" s="311" t="s">
        <v>1227</v>
      </c>
      <c r="C31" s="72" t="s">
        <v>1445</v>
      </c>
      <c r="D31" s="72" t="s">
        <v>1471</v>
      </c>
      <c r="E31" s="72" t="s">
        <v>1481</v>
      </c>
      <c r="F31" s="297">
        <v>64.56</v>
      </c>
      <c r="G31" s="299"/>
    </row>
    <row r="32" ht="27" spans="1:7">
      <c r="A32" s="70">
        <v>19</v>
      </c>
      <c r="B32" s="311" t="s">
        <v>730</v>
      </c>
      <c r="C32" s="72" t="s">
        <v>1436</v>
      </c>
      <c r="D32" s="72" t="s">
        <v>1488</v>
      </c>
      <c r="E32" s="72" t="s">
        <v>1489</v>
      </c>
      <c r="F32" s="303">
        <v>60.43</v>
      </c>
      <c r="G32" s="299"/>
    </row>
    <row r="33" ht="27" spans="1:7">
      <c r="A33" s="70">
        <v>20</v>
      </c>
      <c r="B33" s="311" t="s">
        <v>1288</v>
      </c>
      <c r="C33" s="72" t="s">
        <v>1492</v>
      </c>
      <c r="D33" s="72" t="s">
        <v>1493</v>
      </c>
      <c r="E33" s="72" t="s">
        <v>1494</v>
      </c>
      <c r="F33" s="303">
        <v>300</v>
      </c>
      <c r="G33" s="299"/>
    </row>
    <row r="34" ht="27" spans="1:7">
      <c r="A34" s="70">
        <v>21</v>
      </c>
      <c r="B34" s="311" t="s">
        <v>1117</v>
      </c>
      <c r="C34" s="72" t="s">
        <v>1496</v>
      </c>
      <c r="D34" s="72" t="s">
        <v>1493</v>
      </c>
      <c r="E34" s="72" t="s">
        <v>1497</v>
      </c>
      <c r="F34" s="297">
        <v>1556.96</v>
      </c>
      <c r="G34" s="299"/>
    </row>
    <row r="35" ht="27" spans="1:7">
      <c r="A35" s="70">
        <v>22</v>
      </c>
      <c r="B35" s="311" t="s">
        <v>1117</v>
      </c>
      <c r="C35" s="72" t="s">
        <v>1361</v>
      </c>
      <c r="D35" s="72" t="s">
        <v>1493</v>
      </c>
      <c r="E35" s="72" t="s">
        <v>1499</v>
      </c>
      <c r="F35" s="303">
        <v>661.54</v>
      </c>
      <c r="G35" s="299"/>
    </row>
    <row r="36" spans="1:7">
      <c r="A36" s="70">
        <v>23</v>
      </c>
      <c r="B36" s="72" t="s">
        <v>1117</v>
      </c>
      <c r="C36" s="304" t="s">
        <v>1500</v>
      </c>
      <c r="D36" s="304" t="s">
        <v>1493</v>
      </c>
      <c r="E36" s="72" t="s">
        <v>1501</v>
      </c>
      <c r="F36" s="302">
        <v>414.26</v>
      </c>
      <c r="G36" s="72"/>
    </row>
    <row r="37" spans="1:7">
      <c r="A37" s="70">
        <v>24</v>
      </c>
      <c r="B37" s="72" t="s">
        <v>1117</v>
      </c>
      <c r="C37" s="304" t="s">
        <v>1502</v>
      </c>
      <c r="D37" s="304" t="s">
        <v>1493</v>
      </c>
      <c r="E37" s="72" t="s">
        <v>1503</v>
      </c>
      <c r="F37" s="302">
        <v>560</v>
      </c>
      <c r="G37" s="72"/>
    </row>
    <row r="38" spans="1:7">
      <c r="A38" s="70">
        <v>25</v>
      </c>
      <c r="B38" s="72" t="s">
        <v>1117</v>
      </c>
      <c r="C38" s="304" t="s">
        <v>1504</v>
      </c>
      <c r="D38" s="304" t="s">
        <v>1493</v>
      </c>
      <c r="E38" s="72" t="s">
        <v>1505</v>
      </c>
      <c r="F38" s="302">
        <v>167</v>
      </c>
      <c r="G38" s="72"/>
    </row>
    <row r="39" spans="1:7">
      <c r="A39" s="70">
        <v>26</v>
      </c>
      <c r="B39" s="72" t="s">
        <v>1117</v>
      </c>
      <c r="C39" s="304" t="s">
        <v>1506</v>
      </c>
      <c r="D39" s="304" t="s">
        <v>1493</v>
      </c>
      <c r="E39" s="72" t="s">
        <v>1507</v>
      </c>
      <c r="F39" s="302">
        <v>575</v>
      </c>
      <c r="G39" s="72"/>
    </row>
    <row r="40" ht="27" spans="1:7">
      <c r="A40" s="70">
        <v>27</v>
      </c>
      <c r="B40" s="312" t="s">
        <v>1117</v>
      </c>
      <c r="C40" s="150" t="s">
        <v>1508</v>
      </c>
      <c r="D40" s="150" t="s">
        <v>1509</v>
      </c>
      <c r="E40" s="72" t="s">
        <v>1510</v>
      </c>
      <c r="F40" s="303">
        <v>37.39</v>
      </c>
      <c r="G40" s="299"/>
    </row>
    <row r="41" ht="27" spans="1:7">
      <c r="A41" s="70">
        <v>28</v>
      </c>
      <c r="B41" s="311" t="s">
        <v>1117</v>
      </c>
      <c r="C41" s="72" t="s">
        <v>1508</v>
      </c>
      <c r="D41" s="72" t="s">
        <v>1512</v>
      </c>
      <c r="E41" s="72" t="s">
        <v>1513</v>
      </c>
      <c r="F41" s="303">
        <v>170.46</v>
      </c>
      <c r="G41" s="299"/>
    </row>
    <row r="42" ht="27" spans="1:7">
      <c r="A42" s="70">
        <v>29</v>
      </c>
      <c r="B42" s="311" t="s">
        <v>1117</v>
      </c>
      <c r="C42" s="72" t="s">
        <v>1508</v>
      </c>
      <c r="D42" s="72" t="s">
        <v>1512</v>
      </c>
      <c r="E42" s="72" t="s">
        <v>1514</v>
      </c>
      <c r="F42" s="303">
        <v>1.3</v>
      </c>
      <c r="G42" s="299"/>
    </row>
    <row r="43" ht="27" spans="1:7">
      <c r="A43" s="70">
        <v>30</v>
      </c>
      <c r="B43" s="311" t="s">
        <v>1117</v>
      </c>
      <c r="C43" s="72" t="s">
        <v>1508</v>
      </c>
      <c r="D43" s="72" t="s">
        <v>1512</v>
      </c>
      <c r="E43" s="72" t="s">
        <v>1515</v>
      </c>
      <c r="F43" s="303">
        <v>19.9</v>
      </c>
      <c r="G43" s="299"/>
    </row>
    <row r="44" ht="27" spans="1:7">
      <c r="A44" s="70">
        <v>31</v>
      </c>
      <c r="B44" s="311" t="s">
        <v>1117</v>
      </c>
      <c r="C44" s="72" t="s">
        <v>1508</v>
      </c>
      <c r="D44" s="72" t="s">
        <v>1512</v>
      </c>
      <c r="E44" s="72" t="s">
        <v>1516</v>
      </c>
      <c r="F44" s="303">
        <v>50</v>
      </c>
      <c r="G44" s="299"/>
    </row>
    <row r="45" ht="27" spans="1:7">
      <c r="A45" s="70">
        <v>32</v>
      </c>
      <c r="B45" s="311" t="s">
        <v>1288</v>
      </c>
      <c r="C45" s="72" t="s">
        <v>1522</v>
      </c>
      <c r="D45" s="72" t="s">
        <v>1518</v>
      </c>
      <c r="E45" s="72" t="s">
        <v>1523</v>
      </c>
      <c r="F45" s="303">
        <v>1120</v>
      </c>
      <c r="G45" s="299"/>
    </row>
    <row r="46" ht="27" spans="1:7">
      <c r="A46" s="70">
        <v>33</v>
      </c>
      <c r="B46" s="311" t="s">
        <v>1288</v>
      </c>
      <c r="C46" s="72" t="s">
        <v>1492</v>
      </c>
      <c r="D46" s="72" t="s">
        <v>1525</v>
      </c>
      <c r="E46" s="72" t="s">
        <v>1526</v>
      </c>
      <c r="F46" s="303">
        <v>400</v>
      </c>
      <c r="G46" s="299"/>
    </row>
    <row r="47" ht="27" spans="1:7">
      <c r="A47" s="70">
        <v>34</v>
      </c>
      <c r="B47" s="311" t="s">
        <v>1288</v>
      </c>
      <c r="C47" s="150" t="s">
        <v>1529</v>
      </c>
      <c r="D47" s="150" t="s">
        <v>1518</v>
      </c>
      <c r="E47" s="72" t="s">
        <v>1530</v>
      </c>
      <c r="F47" s="303">
        <v>800</v>
      </c>
      <c r="G47" s="299"/>
    </row>
    <row r="48" spans="1:7">
      <c r="A48" s="70">
        <v>35</v>
      </c>
      <c r="B48" s="311" t="s">
        <v>880</v>
      </c>
      <c r="C48" s="72" t="s">
        <v>1532</v>
      </c>
      <c r="D48" s="72" t="s">
        <v>1518</v>
      </c>
      <c r="E48" s="72" t="s">
        <v>1533</v>
      </c>
      <c r="F48" s="303">
        <v>1249.38</v>
      </c>
      <c r="G48" s="299"/>
    </row>
    <row r="49" ht="27" spans="1:7">
      <c r="A49" s="70">
        <v>36</v>
      </c>
      <c r="B49" s="312" t="s">
        <v>880</v>
      </c>
      <c r="C49" s="150" t="s">
        <v>1542</v>
      </c>
      <c r="D49" s="150" t="s">
        <v>1543</v>
      </c>
      <c r="E49" s="72" t="s">
        <v>1544</v>
      </c>
      <c r="F49" s="303">
        <v>95</v>
      </c>
      <c r="G49" s="299"/>
    </row>
    <row r="50" spans="1:7">
      <c r="A50" s="70">
        <v>37</v>
      </c>
      <c r="B50" s="312" t="s">
        <v>880</v>
      </c>
      <c r="C50" s="72" t="s">
        <v>1561</v>
      </c>
      <c r="D50" s="72" t="s">
        <v>1557</v>
      </c>
      <c r="E50" s="72" t="s">
        <v>1562</v>
      </c>
      <c r="F50" s="302">
        <v>1519.86</v>
      </c>
      <c r="G50" s="299"/>
    </row>
    <row r="51" spans="1:7">
      <c r="A51" s="70">
        <v>38</v>
      </c>
      <c r="B51" s="312" t="s">
        <v>880</v>
      </c>
      <c r="C51" s="72" t="s">
        <v>1561</v>
      </c>
      <c r="D51" s="72" t="s">
        <v>1557</v>
      </c>
      <c r="E51" s="72" t="s">
        <v>1564</v>
      </c>
      <c r="F51" s="70">
        <v>1393.08</v>
      </c>
      <c r="G51" s="299"/>
    </row>
    <row r="52" ht="27" spans="1:7">
      <c r="A52" s="70">
        <v>39</v>
      </c>
      <c r="B52" s="312" t="s">
        <v>880</v>
      </c>
      <c r="C52" s="72" t="s">
        <v>1566</v>
      </c>
      <c r="D52" s="72" t="s">
        <v>1557</v>
      </c>
      <c r="E52" s="72" t="s">
        <v>1567</v>
      </c>
      <c r="F52" s="302">
        <v>161.42</v>
      </c>
      <c r="G52" s="299"/>
    </row>
    <row r="53" ht="27" spans="1:7">
      <c r="A53" s="70">
        <v>40</v>
      </c>
      <c r="B53" s="312" t="s">
        <v>880</v>
      </c>
      <c r="C53" s="72" t="s">
        <v>1542</v>
      </c>
      <c r="D53" s="72" t="s">
        <v>1570</v>
      </c>
      <c r="E53" s="72" t="s">
        <v>1571</v>
      </c>
      <c r="F53" s="70">
        <v>1419.8623</v>
      </c>
      <c r="G53" s="299"/>
    </row>
    <row r="54" ht="27" spans="1:7">
      <c r="A54" s="70">
        <v>41</v>
      </c>
      <c r="B54" s="312" t="s">
        <v>1227</v>
      </c>
      <c r="C54" s="72" t="s">
        <v>1585</v>
      </c>
      <c r="D54" s="72" t="s">
        <v>1574</v>
      </c>
      <c r="E54" s="72" t="s">
        <v>1586</v>
      </c>
      <c r="F54" s="302">
        <v>118</v>
      </c>
      <c r="G54" s="299"/>
    </row>
    <row r="55" ht="27" spans="1:7">
      <c r="A55" s="70">
        <v>42</v>
      </c>
      <c r="B55" s="312" t="s">
        <v>1227</v>
      </c>
      <c r="C55" s="72" t="s">
        <v>1542</v>
      </c>
      <c r="D55" s="72" t="s">
        <v>1574</v>
      </c>
      <c r="E55" s="72" t="s">
        <v>1587</v>
      </c>
      <c r="F55" s="302">
        <v>503.4416</v>
      </c>
      <c r="G55" s="299"/>
    </row>
    <row r="56" ht="27" spans="1:7">
      <c r="A56" s="70">
        <v>43</v>
      </c>
      <c r="B56" s="312" t="s">
        <v>1227</v>
      </c>
      <c r="C56" s="72" t="s">
        <v>1274</v>
      </c>
      <c r="D56" s="72" t="s">
        <v>1574</v>
      </c>
      <c r="E56" s="72" t="s">
        <v>1588</v>
      </c>
      <c r="F56" s="70">
        <v>260.03205</v>
      </c>
      <c r="G56" s="299"/>
    </row>
    <row r="57" ht="27" spans="1:7">
      <c r="A57" s="70">
        <v>44</v>
      </c>
      <c r="B57" s="312" t="s">
        <v>1288</v>
      </c>
      <c r="C57" s="72" t="s">
        <v>1927</v>
      </c>
      <c r="D57" s="72" t="s">
        <v>1574</v>
      </c>
      <c r="E57" s="72" t="s">
        <v>1589</v>
      </c>
      <c r="F57" s="70">
        <v>1500</v>
      </c>
      <c r="G57" s="299"/>
    </row>
    <row r="58" spans="1:7">
      <c r="A58" s="70">
        <v>45</v>
      </c>
      <c r="B58" s="312" t="s">
        <v>1117</v>
      </c>
      <c r="C58" s="72" t="s">
        <v>1928</v>
      </c>
      <c r="D58" s="72" t="s">
        <v>1615</v>
      </c>
      <c r="E58" s="72" t="s">
        <v>1633</v>
      </c>
      <c r="F58" s="70">
        <v>394</v>
      </c>
      <c r="G58" s="299"/>
    </row>
    <row r="59" ht="27" spans="1:7">
      <c r="A59" s="70">
        <v>46</v>
      </c>
      <c r="B59" s="311" t="s">
        <v>1135</v>
      </c>
      <c r="C59" s="72" t="s">
        <v>1603</v>
      </c>
      <c r="D59" s="72" t="s">
        <v>1600</v>
      </c>
      <c r="E59" s="72" t="s">
        <v>1604</v>
      </c>
      <c r="F59" s="302">
        <v>180</v>
      </c>
      <c r="G59" s="299"/>
    </row>
    <row r="60" spans="1:7">
      <c r="A60" s="70">
        <v>47</v>
      </c>
      <c r="B60" s="311" t="s">
        <v>1135</v>
      </c>
      <c r="C60" s="72" t="s">
        <v>1517</v>
      </c>
      <c r="D60" s="72" t="s">
        <v>1600</v>
      </c>
      <c r="E60" s="72" t="s">
        <v>1607</v>
      </c>
      <c r="F60" s="70">
        <v>596.8</v>
      </c>
      <c r="G60" s="299"/>
    </row>
    <row r="61" ht="27" spans="1:7">
      <c r="A61" s="70">
        <v>48</v>
      </c>
      <c r="B61" s="311" t="s">
        <v>1288</v>
      </c>
      <c r="C61" s="72" t="s">
        <v>1517</v>
      </c>
      <c r="D61" s="72" t="s">
        <v>1687</v>
      </c>
      <c r="E61" s="72" t="s">
        <v>1699</v>
      </c>
      <c r="F61" s="302">
        <v>1750</v>
      </c>
      <c r="G61" s="299"/>
    </row>
    <row r="62" ht="27" spans="1:7">
      <c r="A62" s="70">
        <v>49</v>
      </c>
      <c r="B62" s="311" t="s">
        <v>1288</v>
      </c>
      <c r="C62" s="72" t="s">
        <v>1517</v>
      </c>
      <c r="D62" s="72" t="s">
        <v>1687</v>
      </c>
      <c r="E62" s="72" t="s">
        <v>1701</v>
      </c>
      <c r="F62" s="70">
        <v>78</v>
      </c>
      <c r="G62" s="299"/>
    </row>
    <row r="63" ht="27" spans="1:7">
      <c r="A63" s="70">
        <v>50</v>
      </c>
      <c r="B63" s="311" t="s">
        <v>1288</v>
      </c>
      <c r="C63" s="72" t="s">
        <v>1929</v>
      </c>
      <c r="D63" s="72" t="s">
        <v>1687</v>
      </c>
      <c r="E63" s="72" t="s">
        <v>1930</v>
      </c>
      <c r="F63" s="70">
        <v>1493</v>
      </c>
      <c r="G63" s="299"/>
    </row>
    <row r="64" ht="27" spans="1:7">
      <c r="A64" s="70">
        <v>51</v>
      </c>
      <c r="B64" s="311" t="s">
        <v>1713</v>
      </c>
      <c r="C64" s="72" t="s">
        <v>1496</v>
      </c>
      <c r="D64" s="72" t="s">
        <v>1687</v>
      </c>
      <c r="E64" s="72" t="s">
        <v>1714</v>
      </c>
      <c r="F64" s="70">
        <v>900</v>
      </c>
      <c r="G64" s="299"/>
    </row>
    <row r="65" ht="27" spans="1:7">
      <c r="A65" s="70">
        <v>52</v>
      </c>
      <c r="B65" s="311" t="s">
        <v>1713</v>
      </c>
      <c r="C65" s="72" t="s">
        <v>1716</v>
      </c>
      <c r="D65" s="72" t="s">
        <v>1687</v>
      </c>
      <c r="E65" s="72" t="s">
        <v>1717</v>
      </c>
      <c r="F65" s="70">
        <v>500</v>
      </c>
      <c r="G65" s="299"/>
    </row>
    <row r="66" ht="27" spans="1:7">
      <c r="A66" s="70">
        <v>53</v>
      </c>
      <c r="B66" s="311" t="s">
        <v>1713</v>
      </c>
      <c r="C66" s="72" t="s">
        <v>1718</v>
      </c>
      <c r="D66" s="72" t="s">
        <v>1687</v>
      </c>
      <c r="E66" s="72" t="s">
        <v>1719</v>
      </c>
      <c r="F66" s="70">
        <v>50</v>
      </c>
      <c r="G66" s="299"/>
    </row>
    <row r="67" ht="27" spans="1:7">
      <c r="A67" s="70">
        <v>54</v>
      </c>
      <c r="B67" s="311" t="s">
        <v>1713</v>
      </c>
      <c r="C67" s="72" t="s">
        <v>1289</v>
      </c>
      <c r="D67" s="72" t="s">
        <v>1687</v>
      </c>
      <c r="E67" s="72" t="s">
        <v>1721</v>
      </c>
      <c r="F67" s="70">
        <v>200</v>
      </c>
      <c r="G67" s="299"/>
    </row>
    <row r="68" ht="27" spans="1:7">
      <c r="A68" s="70">
        <v>55</v>
      </c>
      <c r="B68" s="311" t="s">
        <v>1713</v>
      </c>
      <c r="C68" s="72" t="s">
        <v>1502</v>
      </c>
      <c r="D68" s="72" t="s">
        <v>1687</v>
      </c>
      <c r="E68" s="72" t="s">
        <v>1727</v>
      </c>
      <c r="F68" s="70">
        <v>100</v>
      </c>
      <c r="G68" s="299"/>
    </row>
    <row r="69" ht="27" spans="1:7">
      <c r="A69" s="70">
        <v>56</v>
      </c>
      <c r="B69" s="311" t="s">
        <v>1713</v>
      </c>
      <c r="C69" s="72" t="s">
        <v>1729</v>
      </c>
      <c r="D69" s="72" t="s">
        <v>1687</v>
      </c>
      <c r="E69" s="72" t="s">
        <v>1730</v>
      </c>
      <c r="F69" s="70">
        <v>130</v>
      </c>
      <c r="G69" s="299"/>
    </row>
    <row r="70" ht="27" spans="1:7">
      <c r="A70" s="70">
        <v>57</v>
      </c>
      <c r="B70" s="311" t="s">
        <v>1135</v>
      </c>
      <c r="C70" s="72" t="s">
        <v>1731</v>
      </c>
      <c r="D70" s="72" t="s">
        <v>1732</v>
      </c>
      <c r="E70" s="72" t="s">
        <v>1733</v>
      </c>
      <c r="F70" s="70">
        <v>302.5</v>
      </c>
      <c r="G70" s="299"/>
    </row>
    <row r="71" ht="27" spans="1:7">
      <c r="A71" s="70">
        <v>58</v>
      </c>
      <c r="B71" s="311" t="s">
        <v>1135</v>
      </c>
      <c r="C71" s="72" t="s">
        <v>1735</v>
      </c>
      <c r="D71" s="72" t="s">
        <v>1732</v>
      </c>
      <c r="E71" s="72" t="s">
        <v>1736</v>
      </c>
      <c r="F71" s="70">
        <v>144.75</v>
      </c>
      <c r="G71" s="299"/>
    </row>
    <row r="72" ht="27" spans="1:7">
      <c r="A72" s="70">
        <v>59</v>
      </c>
      <c r="B72" s="311" t="s">
        <v>1135</v>
      </c>
      <c r="C72" s="72" t="s">
        <v>1931</v>
      </c>
      <c r="D72" s="72" t="s">
        <v>1732</v>
      </c>
      <c r="E72" s="72" t="s">
        <v>1738</v>
      </c>
      <c r="F72" s="70">
        <v>110</v>
      </c>
      <c r="G72" s="299"/>
    </row>
    <row r="73" ht="27" spans="1:7">
      <c r="A73" s="70">
        <v>60</v>
      </c>
      <c r="B73" s="311" t="s">
        <v>1135</v>
      </c>
      <c r="C73" s="72" t="s">
        <v>1743</v>
      </c>
      <c r="D73" s="72" t="s">
        <v>1732</v>
      </c>
      <c r="E73" s="72" t="s">
        <v>1733</v>
      </c>
      <c r="F73" s="70">
        <v>547.5</v>
      </c>
      <c r="G73" s="299"/>
    </row>
    <row r="74" spans="1:7">
      <c r="A74" s="70">
        <v>61</v>
      </c>
      <c r="B74" s="311" t="s">
        <v>880</v>
      </c>
      <c r="C74" s="72" t="s">
        <v>1752</v>
      </c>
      <c r="D74" s="72" t="s">
        <v>1753</v>
      </c>
      <c r="E74" s="72" t="s">
        <v>1754</v>
      </c>
      <c r="F74" s="70">
        <v>432</v>
      </c>
      <c r="G74" s="299"/>
    </row>
    <row r="75" ht="27" spans="1:7">
      <c r="A75" s="70">
        <v>62</v>
      </c>
      <c r="B75" s="311" t="s">
        <v>1227</v>
      </c>
      <c r="C75" s="72" t="s">
        <v>1757</v>
      </c>
      <c r="D75" s="72" t="s">
        <v>1753</v>
      </c>
      <c r="E75" s="72" t="s">
        <v>1758</v>
      </c>
      <c r="F75" s="70">
        <v>621.4298</v>
      </c>
      <c r="G75" s="299"/>
    </row>
    <row r="76" spans="1:7">
      <c r="A76" s="70">
        <v>63</v>
      </c>
      <c r="B76" s="311" t="s">
        <v>880</v>
      </c>
      <c r="C76" s="72" t="s">
        <v>1683</v>
      </c>
      <c r="D76" s="72" t="s">
        <v>1760</v>
      </c>
      <c r="E76" s="72" t="s">
        <v>1932</v>
      </c>
      <c r="F76" s="70">
        <v>768.25</v>
      </c>
      <c r="G76" s="299"/>
    </row>
    <row r="77" spans="1:7">
      <c r="A77" s="70">
        <v>64</v>
      </c>
      <c r="B77" s="311" t="s">
        <v>880</v>
      </c>
      <c r="C77" s="72" t="s">
        <v>1683</v>
      </c>
      <c r="D77" s="72" t="s">
        <v>1760</v>
      </c>
      <c r="E77" s="72" t="s">
        <v>1763</v>
      </c>
      <c r="F77" s="70">
        <v>647</v>
      </c>
      <c r="G77" s="299"/>
    </row>
    <row r="78" ht="27" spans="1:7">
      <c r="A78" s="70">
        <v>65</v>
      </c>
      <c r="B78" s="311" t="s">
        <v>880</v>
      </c>
      <c r="C78" s="72" t="s">
        <v>1765</v>
      </c>
      <c r="D78" s="72" t="s">
        <v>1766</v>
      </c>
      <c r="E78" s="72" t="s">
        <v>1767</v>
      </c>
      <c r="F78" s="70">
        <v>429.14</v>
      </c>
      <c r="G78" s="299"/>
    </row>
    <row r="79" ht="27" spans="1:7">
      <c r="A79" s="70">
        <v>66</v>
      </c>
      <c r="B79" s="311" t="s">
        <v>880</v>
      </c>
      <c r="C79" s="72" t="s">
        <v>1683</v>
      </c>
      <c r="D79" s="72" t="s">
        <v>1772</v>
      </c>
      <c r="E79" s="72" t="s">
        <v>1773</v>
      </c>
      <c r="F79" s="70">
        <v>188</v>
      </c>
      <c r="G79" s="299"/>
    </row>
    <row r="80" ht="27" spans="1:7">
      <c r="A80" s="70">
        <v>67</v>
      </c>
      <c r="B80" s="311" t="s">
        <v>1161</v>
      </c>
      <c r="C80" s="72" t="s">
        <v>1782</v>
      </c>
      <c r="D80" s="72" t="s">
        <v>1783</v>
      </c>
      <c r="E80" s="72" t="s">
        <v>1786</v>
      </c>
      <c r="F80" s="70">
        <v>120</v>
      </c>
      <c r="G80" s="299"/>
    </row>
    <row r="81" ht="27" spans="1:7">
      <c r="A81" s="70">
        <v>68</v>
      </c>
      <c r="B81" s="311" t="s">
        <v>1161</v>
      </c>
      <c r="C81" s="72" t="s">
        <v>1782</v>
      </c>
      <c r="D81" s="72" t="s">
        <v>1783</v>
      </c>
      <c r="E81" s="72" t="s">
        <v>1788</v>
      </c>
      <c r="F81" s="70">
        <v>25</v>
      </c>
      <c r="G81" s="299"/>
    </row>
    <row r="82" ht="27" spans="1:7">
      <c r="A82" s="70">
        <v>69</v>
      </c>
      <c r="B82" s="311" t="s">
        <v>1161</v>
      </c>
      <c r="C82" s="72" t="s">
        <v>1790</v>
      </c>
      <c r="D82" s="72" t="s">
        <v>1783</v>
      </c>
      <c r="E82" s="72" t="s">
        <v>1791</v>
      </c>
      <c r="F82" s="70">
        <v>24</v>
      </c>
      <c r="G82" s="299"/>
    </row>
    <row r="83" ht="27" spans="1:7">
      <c r="A83" s="70">
        <v>70</v>
      </c>
      <c r="B83" s="311" t="s">
        <v>1161</v>
      </c>
      <c r="C83" s="72" t="s">
        <v>1782</v>
      </c>
      <c r="D83" s="72" t="s">
        <v>1783</v>
      </c>
      <c r="E83" s="72" t="s">
        <v>1795</v>
      </c>
      <c r="F83" s="70">
        <v>154</v>
      </c>
      <c r="G83" s="299"/>
    </row>
    <row r="84" ht="27" spans="1:7">
      <c r="A84" s="70">
        <v>71</v>
      </c>
      <c r="B84" s="311" t="s">
        <v>1161</v>
      </c>
      <c r="C84" s="72" t="s">
        <v>1799</v>
      </c>
      <c r="D84" s="72" t="s">
        <v>1783</v>
      </c>
      <c r="E84" s="72" t="s">
        <v>1800</v>
      </c>
      <c r="F84" s="70">
        <v>579.63</v>
      </c>
      <c r="G84" s="299"/>
    </row>
    <row r="85" ht="27" spans="1:7">
      <c r="A85" s="70">
        <v>72</v>
      </c>
      <c r="B85" s="311" t="s">
        <v>1161</v>
      </c>
      <c r="C85" s="72" t="s">
        <v>1799</v>
      </c>
      <c r="D85" s="72" t="s">
        <v>1783</v>
      </c>
      <c r="E85" s="72" t="s">
        <v>1803</v>
      </c>
      <c r="F85" s="70">
        <v>129.08</v>
      </c>
      <c r="G85" s="299"/>
    </row>
    <row r="86" ht="27" spans="1:7">
      <c r="A86" s="70">
        <v>73</v>
      </c>
      <c r="B86" s="311" t="s">
        <v>1161</v>
      </c>
      <c r="C86" s="72" t="s">
        <v>1782</v>
      </c>
      <c r="D86" s="72" t="s">
        <v>1783</v>
      </c>
      <c r="E86" s="72" t="s">
        <v>1813</v>
      </c>
      <c r="F86" s="70">
        <v>730</v>
      </c>
      <c r="G86" s="299"/>
    </row>
    <row r="87" ht="27" spans="1:7">
      <c r="A87" s="70">
        <v>74</v>
      </c>
      <c r="B87" s="311" t="s">
        <v>1161</v>
      </c>
      <c r="C87" s="72" t="s">
        <v>1591</v>
      </c>
      <c r="D87" s="72" t="s">
        <v>1783</v>
      </c>
      <c r="E87" s="72" t="s">
        <v>1813</v>
      </c>
      <c r="F87" s="70">
        <v>1300</v>
      </c>
      <c r="G87" s="299"/>
    </row>
    <row r="88" ht="27" spans="1:7">
      <c r="A88" s="70">
        <v>75</v>
      </c>
      <c r="B88" s="311" t="s">
        <v>1161</v>
      </c>
      <c r="C88" s="72" t="s">
        <v>1591</v>
      </c>
      <c r="D88" s="72" t="s">
        <v>1783</v>
      </c>
      <c r="E88" s="72" t="s">
        <v>1813</v>
      </c>
      <c r="F88" s="70">
        <v>720</v>
      </c>
      <c r="G88" s="299"/>
    </row>
    <row r="89" spans="1:7">
      <c r="A89" s="70">
        <v>76</v>
      </c>
      <c r="B89" s="311" t="s">
        <v>1117</v>
      </c>
      <c r="C89" s="72" t="s">
        <v>1822</v>
      </c>
      <c r="D89" s="72" t="s">
        <v>1837</v>
      </c>
      <c r="E89" s="72" t="s">
        <v>1838</v>
      </c>
      <c r="F89" s="70">
        <v>267.1</v>
      </c>
      <c r="G89" s="299"/>
    </row>
    <row r="90" spans="1:7">
      <c r="A90" s="70">
        <v>77</v>
      </c>
      <c r="B90" s="311" t="s">
        <v>1117</v>
      </c>
      <c r="C90" s="72" t="s">
        <v>1822</v>
      </c>
      <c r="D90" s="72" t="s">
        <v>1862</v>
      </c>
      <c r="E90" s="72" t="s">
        <v>1863</v>
      </c>
      <c r="F90" s="70">
        <v>174</v>
      </c>
      <c r="G90" s="299"/>
    </row>
    <row r="91" spans="1:7">
      <c r="A91" s="70">
        <v>78</v>
      </c>
      <c r="B91" s="311" t="s">
        <v>1117</v>
      </c>
      <c r="C91" s="72" t="s">
        <v>1822</v>
      </c>
      <c r="D91" s="72" t="s">
        <v>1862</v>
      </c>
      <c r="E91" s="72" t="s">
        <v>1865</v>
      </c>
      <c r="F91" s="70">
        <v>104</v>
      </c>
      <c r="G91" s="299"/>
    </row>
    <row r="92" spans="1:7">
      <c r="A92" s="70">
        <v>79</v>
      </c>
      <c r="B92" s="311" t="s">
        <v>880</v>
      </c>
      <c r="C92" s="72" t="s">
        <v>1656</v>
      </c>
      <c r="D92" s="72" t="s">
        <v>1866</v>
      </c>
      <c r="E92" s="72" t="s">
        <v>1867</v>
      </c>
      <c r="F92" s="70">
        <v>60</v>
      </c>
      <c r="G92" s="299"/>
    </row>
    <row r="93" spans="1:7">
      <c r="A93" s="70">
        <v>80</v>
      </c>
      <c r="B93" s="311" t="s">
        <v>880</v>
      </c>
      <c r="C93" s="72" t="s">
        <v>1656</v>
      </c>
      <c r="D93" s="72" t="s">
        <v>1866</v>
      </c>
      <c r="E93" s="72" t="s">
        <v>1869</v>
      </c>
      <c r="F93" s="70">
        <v>70</v>
      </c>
      <c r="G93" s="299"/>
    </row>
    <row r="94" ht="27" spans="1:7">
      <c r="A94" s="70">
        <v>81</v>
      </c>
      <c r="B94" s="311" t="s">
        <v>880</v>
      </c>
      <c r="C94" s="72" t="s">
        <v>1656</v>
      </c>
      <c r="D94" s="72" t="s">
        <v>1871</v>
      </c>
      <c r="E94" s="72" t="s">
        <v>1872</v>
      </c>
      <c r="F94" s="70">
        <v>39.51</v>
      </c>
      <c r="G94" s="299"/>
    </row>
    <row r="95" ht="27" spans="1:7">
      <c r="A95" s="70">
        <v>82</v>
      </c>
      <c r="B95" s="311" t="s">
        <v>880</v>
      </c>
      <c r="C95" s="72" t="s">
        <v>1656</v>
      </c>
      <c r="D95" s="72" t="s">
        <v>1871</v>
      </c>
      <c r="E95" s="72" t="s">
        <v>1876</v>
      </c>
      <c r="F95" s="70">
        <v>58.4536</v>
      </c>
      <c r="G95" s="299"/>
    </row>
    <row r="96" ht="27" spans="1:7">
      <c r="A96" s="70">
        <v>83</v>
      </c>
      <c r="B96" s="311" t="s">
        <v>880</v>
      </c>
      <c r="C96" s="72" t="s">
        <v>1614</v>
      </c>
      <c r="D96" s="72" t="s">
        <v>1871</v>
      </c>
      <c r="E96" s="72" t="s">
        <v>1877</v>
      </c>
      <c r="F96" s="70">
        <v>112</v>
      </c>
      <c r="G96" s="299"/>
    </row>
    <row r="97" ht="27" spans="1:7">
      <c r="A97" s="70">
        <v>84</v>
      </c>
      <c r="B97" s="311" t="s">
        <v>880</v>
      </c>
      <c r="C97" s="72" t="s">
        <v>1542</v>
      </c>
      <c r="D97" s="72" t="s">
        <v>1871</v>
      </c>
      <c r="E97" s="72" t="s">
        <v>1877</v>
      </c>
      <c r="F97" s="70">
        <v>163</v>
      </c>
      <c r="G97" s="299"/>
    </row>
    <row r="98" ht="27" spans="1:7">
      <c r="A98" s="70">
        <v>85</v>
      </c>
      <c r="B98" s="311" t="s">
        <v>880</v>
      </c>
      <c r="C98" s="72" t="s">
        <v>1656</v>
      </c>
      <c r="D98" s="72" t="s">
        <v>1871</v>
      </c>
      <c r="E98" s="72" t="s">
        <v>1877</v>
      </c>
      <c r="F98" s="70">
        <v>68</v>
      </c>
      <c r="G98" s="299"/>
    </row>
    <row r="99" ht="27" spans="1:7">
      <c r="A99" s="70">
        <v>86</v>
      </c>
      <c r="B99" s="311" t="s">
        <v>880</v>
      </c>
      <c r="C99" s="72" t="s">
        <v>1656</v>
      </c>
      <c r="D99" s="72" t="s">
        <v>1879</v>
      </c>
      <c r="E99" s="72" t="s">
        <v>1880</v>
      </c>
      <c r="F99" s="70">
        <v>124.5</v>
      </c>
      <c r="G99" s="299"/>
    </row>
    <row r="100" ht="27" spans="1:7">
      <c r="A100" s="70">
        <v>87</v>
      </c>
      <c r="B100" s="311" t="s">
        <v>880</v>
      </c>
      <c r="C100" s="72" t="s">
        <v>1656</v>
      </c>
      <c r="D100" s="72" t="s">
        <v>1882</v>
      </c>
      <c r="E100" s="72" t="s">
        <v>1883</v>
      </c>
      <c r="F100" s="70">
        <v>158.388</v>
      </c>
      <c r="G100" s="299"/>
    </row>
    <row r="101" ht="27" spans="1:7">
      <c r="A101" s="70">
        <v>88</v>
      </c>
      <c r="B101" s="311" t="s">
        <v>1161</v>
      </c>
      <c r="C101" s="72" t="s">
        <v>1889</v>
      </c>
      <c r="D101" s="72" t="s">
        <v>1890</v>
      </c>
      <c r="E101" s="72" t="s">
        <v>1891</v>
      </c>
      <c r="F101" s="70">
        <v>180</v>
      </c>
      <c r="G101" s="299"/>
    </row>
    <row r="102" s="19" customFormat="1" ht="29" customHeight="1" spans="1:7">
      <c r="A102" s="300" t="s">
        <v>1933</v>
      </c>
      <c r="B102" s="77"/>
      <c r="C102" s="77"/>
      <c r="D102" s="77"/>
      <c r="E102" s="77"/>
      <c r="F102" s="313">
        <f>SUM(F103:F122)</f>
        <v>17634.7435</v>
      </c>
      <c r="G102" s="77"/>
    </row>
    <row r="103" ht="27" spans="1:7">
      <c r="A103" s="70">
        <v>1</v>
      </c>
      <c r="B103" s="72" t="s">
        <v>1117</v>
      </c>
      <c r="C103" s="72" t="s">
        <v>1934</v>
      </c>
      <c r="D103" s="72" t="s">
        <v>1935</v>
      </c>
      <c r="E103" s="72" t="s">
        <v>1936</v>
      </c>
      <c r="F103" s="302">
        <v>2200</v>
      </c>
      <c r="G103" s="72"/>
    </row>
    <row r="104" ht="27" spans="1:7">
      <c r="A104" s="70">
        <v>2</v>
      </c>
      <c r="B104" s="311" t="s">
        <v>1117</v>
      </c>
      <c r="C104" s="72" t="s">
        <v>1934</v>
      </c>
      <c r="D104" s="72" t="s">
        <v>1935</v>
      </c>
      <c r="E104" s="72" t="s">
        <v>1937</v>
      </c>
      <c r="F104" s="302">
        <v>800</v>
      </c>
      <c r="G104" s="299"/>
    </row>
    <row r="105" ht="27" spans="1:7">
      <c r="A105" s="70">
        <v>3</v>
      </c>
      <c r="B105" s="311" t="s">
        <v>1117</v>
      </c>
      <c r="C105" s="72" t="s">
        <v>1934</v>
      </c>
      <c r="D105" s="72" t="s">
        <v>1935</v>
      </c>
      <c r="E105" s="72" t="s">
        <v>1938</v>
      </c>
      <c r="F105" s="302">
        <v>300</v>
      </c>
      <c r="G105" s="299"/>
    </row>
    <row r="106" ht="27" spans="1:7">
      <c r="A106" s="70">
        <v>4</v>
      </c>
      <c r="B106" s="311" t="s">
        <v>1117</v>
      </c>
      <c r="C106" s="72" t="s">
        <v>1934</v>
      </c>
      <c r="D106" s="72" t="s">
        <v>1935</v>
      </c>
      <c r="E106" s="72" t="s">
        <v>1939</v>
      </c>
      <c r="F106" s="302">
        <v>100</v>
      </c>
      <c r="G106" s="299"/>
    </row>
    <row r="107" ht="27" spans="1:7">
      <c r="A107" s="70">
        <v>5</v>
      </c>
      <c r="B107" s="311" t="s">
        <v>1117</v>
      </c>
      <c r="C107" s="72" t="s">
        <v>1566</v>
      </c>
      <c r="D107" s="72" t="s">
        <v>1940</v>
      </c>
      <c r="E107" s="72" t="s">
        <v>1941</v>
      </c>
      <c r="F107" s="297">
        <v>3627.45</v>
      </c>
      <c r="G107" s="299"/>
    </row>
    <row r="108" ht="27" spans="1:7">
      <c r="A108" s="70">
        <v>6</v>
      </c>
      <c r="B108" s="314" t="s">
        <v>1117</v>
      </c>
      <c r="C108" s="54" t="s">
        <v>1583</v>
      </c>
      <c r="D108" s="54" t="s">
        <v>1940</v>
      </c>
      <c r="E108" s="72" t="s">
        <v>1941</v>
      </c>
      <c r="F108" s="297">
        <v>3560.81</v>
      </c>
      <c r="G108" s="299"/>
    </row>
    <row r="109" ht="27" spans="1:7">
      <c r="A109" s="70">
        <v>7</v>
      </c>
      <c r="B109" s="314" t="s">
        <v>1117</v>
      </c>
      <c r="C109" s="54" t="s">
        <v>1942</v>
      </c>
      <c r="D109" s="54" t="s">
        <v>1940</v>
      </c>
      <c r="E109" s="72" t="s">
        <v>1943</v>
      </c>
      <c r="F109" s="297">
        <v>202.4935</v>
      </c>
      <c r="G109" s="299"/>
    </row>
    <row r="110" ht="27" spans="1:7">
      <c r="A110" s="70">
        <v>8</v>
      </c>
      <c r="B110" s="314" t="s">
        <v>1117</v>
      </c>
      <c r="C110" s="54" t="s">
        <v>1271</v>
      </c>
      <c r="D110" s="54" t="s">
        <v>1940</v>
      </c>
      <c r="E110" s="72" t="s">
        <v>1944</v>
      </c>
      <c r="F110" s="297">
        <v>491</v>
      </c>
      <c r="G110" s="299"/>
    </row>
    <row r="111" ht="27" spans="1:7">
      <c r="A111" s="70">
        <v>9</v>
      </c>
      <c r="B111" s="314" t="s">
        <v>1117</v>
      </c>
      <c r="C111" s="54" t="s">
        <v>1934</v>
      </c>
      <c r="D111" s="54" t="s">
        <v>1940</v>
      </c>
      <c r="E111" s="72" t="s">
        <v>1945</v>
      </c>
      <c r="F111" s="297">
        <v>110</v>
      </c>
      <c r="G111" s="299"/>
    </row>
    <row r="112" ht="27" spans="1:7">
      <c r="A112" s="70">
        <v>10</v>
      </c>
      <c r="B112" s="314" t="s">
        <v>1117</v>
      </c>
      <c r="C112" s="54" t="s">
        <v>1934</v>
      </c>
      <c r="D112" s="54" t="s">
        <v>1940</v>
      </c>
      <c r="E112" s="72" t="s">
        <v>1946</v>
      </c>
      <c r="F112" s="297">
        <v>70</v>
      </c>
      <c r="G112" s="299"/>
    </row>
    <row r="113" ht="27" spans="1:7">
      <c r="A113" s="70">
        <v>11</v>
      </c>
      <c r="B113" s="314" t="s">
        <v>1117</v>
      </c>
      <c r="C113" s="54" t="s">
        <v>1271</v>
      </c>
      <c r="D113" s="54" t="s">
        <v>1947</v>
      </c>
      <c r="E113" s="72" t="s">
        <v>1948</v>
      </c>
      <c r="F113" s="297">
        <v>500</v>
      </c>
      <c r="G113" s="299"/>
    </row>
    <row r="114" ht="27" spans="1:7">
      <c r="A114" s="70">
        <v>12</v>
      </c>
      <c r="B114" s="314" t="s">
        <v>880</v>
      </c>
      <c r="C114" s="54" t="s">
        <v>1949</v>
      </c>
      <c r="D114" s="54" t="s">
        <v>1947</v>
      </c>
      <c r="E114" s="72" t="s">
        <v>1950</v>
      </c>
      <c r="F114" s="297">
        <v>400</v>
      </c>
      <c r="G114" s="299"/>
    </row>
    <row r="115" ht="27" spans="1:7">
      <c r="A115" s="70">
        <v>13</v>
      </c>
      <c r="B115" s="314" t="s">
        <v>1117</v>
      </c>
      <c r="C115" s="54" t="s">
        <v>1822</v>
      </c>
      <c r="D115" s="54" t="s">
        <v>1951</v>
      </c>
      <c r="E115" s="72" t="s">
        <v>1952</v>
      </c>
      <c r="F115" s="297">
        <v>334.35</v>
      </c>
      <c r="G115" s="299"/>
    </row>
    <row r="116" ht="27" spans="1:7">
      <c r="A116" s="70">
        <v>14</v>
      </c>
      <c r="B116" s="314" t="s">
        <v>1117</v>
      </c>
      <c r="C116" s="54" t="s">
        <v>1822</v>
      </c>
      <c r="D116" s="54" t="s">
        <v>1951</v>
      </c>
      <c r="E116" s="72" t="s">
        <v>1953</v>
      </c>
      <c r="F116" s="297">
        <v>500</v>
      </c>
      <c r="G116" s="299"/>
    </row>
    <row r="117" ht="27" spans="1:7">
      <c r="A117" s="70">
        <v>15</v>
      </c>
      <c r="B117" s="314" t="s">
        <v>880</v>
      </c>
      <c r="C117" s="54" t="s">
        <v>1556</v>
      </c>
      <c r="D117" s="54" t="s">
        <v>1951</v>
      </c>
      <c r="E117" s="72" t="s">
        <v>1954</v>
      </c>
      <c r="F117" s="297">
        <v>1500</v>
      </c>
      <c r="G117" s="299"/>
    </row>
    <row r="118" ht="27" spans="1:7">
      <c r="A118" s="70">
        <v>16</v>
      </c>
      <c r="B118" s="314" t="s">
        <v>880</v>
      </c>
      <c r="C118" s="54" t="s">
        <v>1556</v>
      </c>
      <c r="D118" s="54" t="s">
        <v>1951</v>
      </c>
      <c r="E118" s="72" t="s">
        <v>1955</v>
      </c>
      <c r="F118" s="297">
        <v>435</v>
      </c>
      <c r="G118" s="299"/>
    </row>
    <row r="119" ht="27" spans="1:7">
      <c r="A119" s="70">
        <v>17</v>
      </c>
      <c r="B119" s="314" t="s">
        <v>880</v>
      </c>
      <c r="C119" s="54" t="s">
        <v>1556</v>
      </c>
      <c r="D119" s="54" t="s">
        <v>1951</v>
      </c>
      <c r="E119" s="72" t="s">
        <v>1956</v>
      </c>
      <c r="F119" s="297">
        <v>300</v>
      </c>
      <c r="G119" s="299"/>
    </row>
    <row r="120" ht="21" customHeight="1" spans="1:7">
      <c r="A120" s="70">
        <v>18</v>
      </c>
      <c r="B120" s="314" t="s">
        <v>880</v>
      </c>
      <c r="C120" s="54" t="s">
        <v>1957</v>
      </c>
      <c r="D120" s="54" t="s">
        <v>1958</v>
      </c>
      <c r="E120" s="72" t="s">
        <v>1959</v>
      </c>
      <c r="F120" s="297">
        <v>384.64</v>
      </c>
      <c r="G120" s="299"/>
    </row>
    <row r="121" ht="21" customHeight="1" spans="1:7">
      <c r="A121" s="70">
        <v>19</v>
      </c>
      <c r="B121" s="314" t="s">
        <v>880</v>
      </c>
      <c r="C121" s="54" t="s">
        <v>1960</v>
      </c>
      <c r="D121" s="54" t="s">
        <v>1961</v>
      </c>
      <c r="E121" s="72" t="s">
        <v>1962</v>
      </c>
      <c r="F121" s="297">
        <v>1019</v>
      </c>
      <c r="G121" s="299"/>
    </row>
    <row r="122" ht="27" spans="1:7">
      <c r="A122" s="70">
        <v>20</v>
      </c>
      <c r="B122" s="314" t="s">
        <v>1713</v>
      </c>
      <c r="C122" s="54" t="s">
        <v>1782</v>
      </c>
      <c r="D122" s="54" t="s">
        <v>1963</v>
      </c>
      <c r="E122" s="72" t="s">
        <v>1964</v>
      </c>
      <c r="F122" s="297">
        <v>800</v>
      </c>
      <c r="G122" s="299"/>
    </row>
  </sheetData>
  <autoFilter ref="A4:G122">
    <extLst/>
  </autoFilter>
  <mergeCells count="2">
    <mergeCell ref="A1:G1"/>
    <mergeCell ref="A4:B4"/>
  </mergeCells>
  <pageMargins left="0.75" right="0.75" top="1" bottom="1" header="0.511805555555556" footer="0.511805555555556"/>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75"/>
  <sheetViews>
    <sheetView workbookViewId="0">
      <selection activeCell="D14" sqref="D14"/>
    </sheetView>
  </sheetViews>
  <sheetFormatPr defaultColWidth="9" defaultRowHeight="13.5"/>
  <cols>
    <col min="1" max="1" width="7.75" style="294" customWidth="1"/>
    <col min="2" max="2" width="14.125" style="131" customWidth="1"/>
    <col min="3" max="3" width="33" style="131" customWidth="1"/>
    <col min="4" max="4" width="47.5" style="131" customWidth="1"/>
    <col min="5" max="5" width="11.625" style="294"/>
    <col min="6" max="6" width="11" style="131" customWidth="1"/>
    <col min="7" max="253" width="9" style="131"/>
  </cols>
  <sheetData>
    <row r="1" ht="30" customHeight="1" spans="1:6">
      <c r="A1" s="295" t="s">
        <v>1965</v>
      </c>
      <c r="B1" s="295"/>
      <c r="C1" s="295"/>
      <c r="D1" s="295"/>
      <c r="E1" s="295"/>
      <c r="F1" s="295"/>
    </row>
    <row r="2" ht="16" customHeight="1" spans="4:5">
      <c r="D2" s="202" t="s">
        <v>1966</v>
      </c>
      <c r="E2" s="202"/>
    </row>
    <row r="3" spans="1:6">
      <c r="A3" s="296" t="s">
        <v>155</v>
      </c>
      <c r="B3" s="75" t="s">
        <v>1200</v>
      </c>
      <c r="C3" s="75" t="s">
        <v>157</v>
      </c>
      <c r="D3" s="75" t="s">
        <v>1202</v>
      </c>
      <c r="E3" s="296" t="s">
        <v>1921</v>
      </c>
      <c r="F3" s="297" t="s">
        <v>7</v>
      </c>
    </row>
    <row r="4" spans="1:6">
      <c r="A4" s="296"/>
      <c r="B4" s="75"/>
      <c r="C4" s="75"/>
      <c r="D4" s="75"/>
      <c r="E4" s="296"/>
      <c r="F4" s="297"/>
    </row>
    <row r="5" ht="27" customHeight="1" spans="1:6">
      <c r="A5" s="296" t="s">
        <v>22</v>
      </c>
      <c r="B5" s="296"/>
      <c r="C5" s="75"/>
      <c r="D5" s="75"/>
      <c r="E5" s="298">
        <f>E6+E9</f>
        <v>21613.73</v>
      </c>
      <c r="F5" s="299"/>
    </row>
    <row r="6" ht="27" customHeight="1" spans="1:6">
      <c r="A6" s="300" t="s">
        <v>1922</v>
      </c>
      <c r="B6" s="300"/>
      <c r="C6" s="77"/>
      <c r="D6" s="75"/>
      <c r="E6" s="296">
        <f>SUM(E7:E8)</f>
        <v>973.99</v>
      </c>
      <c r="F6" s="299"/>
    </row>
    <row r="7" ht="27" customHeight="1" spans="1:11">
      <c r="A7" s="296">
        <v>1</v>
      </c>
      <c r="B7" s="299" t="s">
        <v>889</v>
      </c>
      <c r="C7" s="301" t="s">
        <v>213</v>
      </c>
      <c r="D7" s="72" t="s">
        <v>1967</v>
      </c>
      <c r="E7" s="70">
        <v>450</v>
      </c>
      <c r="F7" s="299"/>
      <c r="G7" s="131">
        <v>201</v>
      </c>
      <c r="H7" s="131">
        <v>450</v>
      </c>
      <c r="J7" s="131">
        <v>201</v>
      </c>
      <c r="K7" s="131">
        <v>810</v>
      </c>
    </row>
    <row r="8" ht="27" customHeight="1" spans="1:11">
      <c r="A8" s="297">
        <v>2</v>
      </c>
      <c r="B8" s="299" t="s">
        <v>889</v>
      </c>
      <c r="C8" s="150" t="s">
        <v>638</v>
      </c>
      <c r="D8" s="72" t="s">
        <v>1968</v>
      </c>
      <c r="E8" s="70">
        <v>523.99</v>
      </c>
      <c r="F8" s="299" t="s">
        <v>1969</v>
      </c>
      <c r="G8" s="131">
        <v>204</v>
      </c>
      <c r="H8" s="131">
        <v>523.99</v>
      </c>
      <c r="J8" s="131">
        <v>204</v>
      </c>
      <c r="K8" s="131">
        <v>523.99</v>
      </c>
    </row>
    <row r="9" ht="27" customHeight="1" spans="1:11">
      <c r="A9" s="300" t="s">
        <v>1970</v>
      </c>
      <c r="B9" s="300"/>
      <c r="C9" s="77"/>
      <c r="D9" s="75"/>
      <c r="E9" s="296">
        <f>SUM(E10:E75)</f>
        <v>20639.74</v>
      </c>
      <c r="F9" s="299"/>
      <c r="J9" s="131">
        <v>205</v>
      </c>
      <c r="K9" s="131">
        <v>900</v>
      </c>
    </row>
    <row r="10" ht="27" customHeight="1" spans="1:11">
      <c r="A10" s="70">
        <v>1</v>
      </c>
      <c r="B10" s="72" t="s">
        <v>202</v>
      </c>
      <c r="C10" s="72" t="s">
        <v>1971</v>
      </c>
      <c r="D10" s="72" t="s">
        <v>1972</v>
      </c>
      <c r="E10" s="302">
        <v>13.5</v>
      </c>
      <c r="F10" s="72"/>
      <c r="G10" s="131">
        <v>207</v>
      </c>
      <c r="H10" s="131">
        <v>13.5</v>
      </c>
      <c r="J10" s="131">
        <v>207</v>
      </c>
      <c r="K10" s="131">
        <v>3449.45</v>
      </c>
    </row>
    <row r="11" ht="27" customHeight="1" spans="1:11">
      <c r="A11" s="70">
        <v>2</v>
      </c>
      <c r="B11" s="72" t="s">
        <v>202</v>
      </c>
      <c r="C11" s="72" t="s">
        <v>1973</v>
      </c>
      <c r="D11" s="72" t="s">
        <v>1974</v>
      </c>
      <c r="E11" s="302">
        <v>61.2</v>
      </c>
      <c r="F11" s="72"/>
      <c r="G11" s="131">
        <v>207</v>
      </c>
      <c r="H11" s="131">
        <v>61.2</v>
      </c>
      <c r="J11" s="131">
        <v>208</v>
      </c>
      <c r="K11" s="131">
        <v>1998.43</v>
      </c>
    </row>
    <row r="12" ht="27" customHeight="1" spans="1:11">
      <c r="A12" s="70">
        <v>3</v>
      </c>
      <c r="B12" s="302" t="s">
        <v>889</v>
      </c>
      <c r="C12" s="72" t="s">
        <v>349</v>
      </c>
      <c r="D12" s="72" t="s">
        <v>1975</v>
      </c>
      <c r="E12" s="303">
        <v>90</v>
      </c>
      <c r="F12" s="299"/>
      <c r="G12" s="131">
        <v>201</v>
      </c>
      <c r="H12" s="131">
        <v>90</v>
      </c>
      <c r="J12" s="131">
        <v>210</v>
      </c>
      <c r="K12" s="131">
        <v>1012.569</v>
      </c>
    </row>
    <row r="13" ht="27" customHeight="1" spans="1:11">
      <c r="A13" s="70">
        <v>4</v>
      </c>
      <c r="B13" s="302" t="s">
        <v>889</v>
      </c>
      <c r="C13" s="72" t="s">
        <v>368</v>
      </c>
      <c r="D13" s="72" t="s">
        <v>1976</v>
      </c>
      <c r="E13" s="303">
        <v>180</v>
      </c>
      <c r="F13" s="299"/>
      <c r="G13" s="131">
        <v>201</v>
      </c>
      <c r="H13" s="131">
        <v>180</v>
      </c>
      <c r="J13" s="131">
        <v>211</v>
      </c>
      <c r="K13" s="131">
        <v>1977.66</v>
      </c>
    </row>
    <row r="14" ht="27" customHeight="1" spans="1:11">
      <c r="A14" s="70">
        <v>5</v>
      </c>
      <c r="B14" s="302" t="s">
        <v>889</v>
      </c>
      <c r="C14" s="72" t="s">
        <v>1289</v>
      </c>
      <c r="D14" s="72" t="s">
        <v>1977</v>
      </c>
      <c r="E14" s="303">
        <v>900</v>
      </c>
      <c r="F14" s="299"/>
      <c r="G14" s="131">
        <v>205</v>
      </c>
      <c r="H14" s="131">
        <v>900</v>
      </c>
      <c r="J14" s="131">
        <v>212</v>
      </c>
      <c r="K14" s="131">
        <v>2010.19</v>
      </c>
    </row>
    <row r="15" ht="27" customHeight="1" spans="1:11">
      <c r="A15" s="70">
        <v>6</v>
      </c>
      <c r="B15" s="302" t="s">
        <v>880</v>
      </c>
      <c r="C15" s="72" t="s">
        <v>1228</v>
      </c>
      <c r="D15" s="72" t="s">
        <v>1978</v>
      </c>
      <c r="E15" s="303">
        <v>90</v>
      </c>
      <c r="F15" s="299"/>
      <c r="G15" s="131">
        <v>201</v>
      </c>
      <c r="H15" s="131">
        <v>90</v>
      </c>
      <c r="J15" s="131">
        <v>213</v>
      </c>
      <c r="K15" s="131">
        <v>3556.219</v>
      </c>
    </row>
    <row r="16" ht="27" customHeight="1" spans="1:11">
      <c r="A16" s="70">
        <v>7</v>
      </c>
      <c r="B16" s="302" t="s">
        <v>880</v>
      </c>
      <c r="C16" s="72" t="s">
        <v>1532</v>
      </c>
      <c r="D16" s="72" t="s">
        <v>1533</v>
      </c>
      <c r="E16" s="297">
        <v>416.46</v>
      </c>
      <c r="F16" s="299" t="s">
        <v>1969</v>
      </c>
      <c r="G16" s="131">
        <v>212</v>
      </c>
      <c r="H16" s="131">
        <v>416.46</v>
      </c>
      <c r="J16" s="131">
        <v>214</v>
      </c>
      <c r="K16" s="131">
        <v>3194.72</v>
      </c>
    </row>
    <row r="17" spans="1:11">
      <c r="A17" s="70">
        <v>8</v>
      </c>
      <c r="B17" s="302" t="s">
        <v>880</v>
      </c>
      <c r="C17" s="72" t="s">
        <v>1532</v>
      </c>
      <c r="D17" s="72" t="s">
        <v>1535</v>
      </c>
      <c r="E17" s="297">
        <v>114.5</v>
      </c>
      <c r="F17" s="299" t="s">
        <v>1969</v>
      </c>
      <c r="G17" s="131">
        <v>212</v>
      </c>
      <c r="H17" s="131">
        <v>114.5</v>
      </c>
      <c r="J17" s="131">
        <v>216</v>
      </c>
      <c r="K17" s="131">
        <v>270</v>
      </c>
    </row>
    <row r="18" spans="1:11">
      <c r="A18" s="70">
        <v>9</v>
      </c>
      <c r="B18" s="302" t="s">
        <v>880</v>
      </c>
      <c r="C18" s="72" t="s">
        <v>1532</v>
      </c>
      <c r="D18" s="72" t="s">
        <v>1537</v>
      </c>
      <c r="E18" s="297">
        <v>223.25</v>
      </c>
      <c r="F18" s="299" t="s">
        <v>1969</v>
      </c>
      <c r="G18" s="131">
        <v>212</v>
      </c>
      <c r="H18" s="131">
        <v>223.25</v>
      </c>
      <c r="J18" s="131">
        <v>220</v>
      </c>
      <c r="K18" s="131">
        <v>974.502</v>
      </c>
    </row>
    <row r="19" spans="1:11">
      <c r="A19" s="70">
        <v>10</v>
      </c>
      <c r="B19" s="302" t="s">
        <v>880</v>
      </c>
      <c r="C19" s="72" t="s">
        <v>1561</v>
      </c>
      <c r="D19" s="72" t="s">
        <v>1564</v>
      </c>
      <c r="E19" s="297">
        <v>464.36</v>
      </c>
      <c r="F19" s="299" t="s">
        <v>1969</v>
      </c>
      <c r="G19" s="131">
        <v>212</v>
      </c>
      <c r="H19" s="131">
        <v>464.36</v>
      </c>
      <c r="J19" s="131">
        <v>224</v>
      </c>
      <c r="K19" s="131">
        <v>666</v>
      </c>
    </row>
    <row r="20" spans="1:11">
      <c r="A20" s="70">
        <v>11</v>
      </c>
      <c r="B20" s="302" t="s">
        <v>880</v>
      </c>
      <c r="C20" s="72" t="s">
        <v>1246</v>
      </c>
      <c r="D20" s="177" t="s">
        <v>1979</v>
      </c>
      <c r="E20" s="303">
        <v>162</v>
      </c>
      <c r="F20" s="299" t="s">
        <v>1969</v>
      </c>
      <c r="G20" s="131">
        <v>212</v>
      </c>
      <c r="H20" s="131">
        <v>162</v>
      </c>
      <c r="J20" s="131">
        <v>229</v>
      </c>
      <c r="K20" s="131">
        <v>270</v>
      </c>
    </row>
    <row r="21" ht="39" customHeight="1" spans="1:11">
      <c r="A21" s="70">
        <v>12</v>
      </c>
      <c r="B21" s="302" t="s">
        <v>880</v>
      </c>
      <c r="C21" s="72" t="s">
        <v>1566</v>
      </c>
      <c r="D21" s="177" t="s">
        <v>1567</v>
      </c>
      <c r="E21" s="297">
        <v>26.05</v>
      </c>
      <c r="F21" s="299" t="s">
        <v>1969</v>
      </c>
      <c r="G21" s="131">
        <v>212</v>
      </c>
      <c r="H21" s="131">
        <v>26.05</v>
      </c>
      <c r="J21" s="131" t="s">
        <v>125</v>
      </c>
      <c r="K21" s="131">
        <v>21613.73</v>
      </c>
    </row>
    <row r="22" spans="1:8">
      <c r="A22" s="70">
        <v>13</v>
      </c>
      <c r="B22" s="302" t="s">
        <v>880</v>
      </c>
      <c r="C22" s="72" t="s">
        <v>1683</v>
      </c>
      <c r="D22" s="177" t="s">
        <v>1980</v>
      </c>
      <c r="E22" s="297">
        <f>763.95-300</f>
        <v>463.95</v>
      </c>
      <c r="F22" s="299" t="s">
        <v>1969</v>
      </c>
      <c r="G22" s="131">
        <v>214</v>
      </c>
      <c r="H22" s="131">
        <v>463.95</v>
      </c>
    </row>
    <row r="23" spans="1:8">
      <c r="A23" s="70">
        <v>14</v>
      </c>
      <c r="B23" s="302" t="s">
        <v>880</v>
      </c>
      <c r="C23" s="72" t="s">
        <v>1683</v>
      </c>
      <c r="D23" s="72" t="s">
        <v>1981</v>
      </c>
      <c r="E23" s="303">
        <v>90</v>
      </c>
      <c r="F23" s="299"/>
      <c r="G23" s="131">
        <v>214</v>
      </c>
      <c r="H23" s="131">
        <v>90</v>
      </c>
    </row>
    <row r="24" spans="1:8">
      <c r="A24" s="70">
        <v>15</v>
      </c>
      <c r="B24" s="302" t="s">
        <v>880</v>
      </c>
      <c r="C24" s="72" t="s">
        <v>1683</v>
      </c>
      <c r="D24" s="72" t="s">
        <v>1763</v>
      </c>
      <c r="E24" s="297">
        <v>647.5</v>
      </c>
      <c r="F24" s="299" t="s">
        <v>1969</v>
      </c>
      <c r="G24" s="131">
        <v>214</v>
      </c>
      <c r="H24" s="131">
        <v>647.5</v>
      </c>
    </row>
    <row r="25" spans="1:8">
      <c r="A25" s="70">
        <v>16</v>
      </c>
      <c r="B25" s="302" t="s">
        <v>880</v>
      </c>
      <c r="C25" s="72" t="s">
        <v>1683</v>
      </c>
      <c r="D25" s="72" t="s">
        <v>1982</v>
      </c>
      <c r="E25" s="70">
        <v>140.33</v>
      </c>
      <c r="F25" s="299" t="s">
        <v>1969</v>
      </c>
      <c r="G25" s="131">
        <v>214</v>
      </c>
      <c r="H25" s="131">
        <v>140.33</v>
      </c>
    </row>
    <row r="26" spans="1:8">
      <c r="A26" s="70">
        <v>17</v>
      </c>
      <c r="B26" s="302" t="s">
        <v>880</v>
      </c>
      <c r="C26" s="72" t="s">
        <v>1683</v>
      </c>
      <c r="D26" s="72" t="s">
        <v>1983</v>
      </c>
      <c r="E26" s="302">
        <v>135</v>
      </c>
      <c r="F26" s="299"/>
      <c r="G26" s="131">
        <v>214</v>
      </c>
      <c r="H26" s="131">
        <v>135</v>
      </c>
    </row>
    <row r="27" spans="1:8">
      <c r="A27" s="70">
        <v>18</v>
      </c>
      <c r="B27" s="302" t="s">
        <v>880</v>
      </c>
      <c r="C27" s="72" t="s">
        <v>1765</v>
      </c>
      <c r="D27" s="72" t="s">
        <v>1984</v>
      </c>
      <c r="E27" s="297">
        <v>429.14</v>
      </c>
      <c r="F27" s="299" t="s">
        <v>1969</v>
      </c>
      <c r="G27" s="131">
        <v>214</v>
      </c>
      <c r="H27" s="131">
        <v>429.14</v>
      </c>
    </row>
    <row r="28" spans="1:8">
      <c r="A28" s="70">
        <v>19</v>
      </c>
      <c r="B28" s="302" t="s">
        <v>880</v>
      </c>
      <c r="C28" s="72" t="s">
        <v>1656</v>
      </c>
      <c r="D28" s="72" t="s">
        <v>1985</v>
      </c>
      <c r="E28" s="303">
        <v>153</v>
      </c>
      <c r="F28" s="299"/>
      <c r="G28" s="131">
        <v>224</v>
      </c>
      <c r="H28" s="131">
        <v>153</v>
      </c>
    </row>
    <row r="29" spans="1:8">
      <c r="A29" s="70">
        <v>20</v>
      </c>
      <c r="B29" s="302" t="s">
        <v>880</v>
      </c>
      <c r="C29" s="72" t="s">
        <v>1656</v>
      </c>
      <c r="D29" s="72" t="s">
        <v>1986</v>
      </c>
      <c r="E29" s="303">
        <v>180</v>
      </c>
      <c r="F29" s="299"/>
      <c r="G29" s="131">
        <v>224</v>
      </c>
      <c r="H29" s="131">
        <v>180</v>
      </c>
    </row>
    <row r="30" spans="1:8">
      <c r="A30" s="70">
        <v>21</v>
      </c>
      <c r="B30" s="302" t="s">
        <v>880</v>
      </c>
      <c r="C30" s="72" t="s">
        <v>1656</v>
      </c>
      <c r="D30" s="72" t="s">
        <v>1987</v>
      </c>
      <c r="E30" s="297">
        <v>63</v>
      </c>
      <c r="F30" s="299" t="s">
        <v>1969</v>
      </c>
      <c r="G30" s="131">
        <v>224</v>
      </c>
      <c r="H30" s="131">
        <v>63</v>
      </c>
    </row>
    <row r="31" spans="1:8">
      <c r="A31" s="70">
        <v>22</v>
      </c>
      <c r="B31" s="302" t="s">
        <v>880</v>
      </c>
      <c r="C31" s="72" t="s">
        <v>634</v>
      </c>
      <c r="D31" s="72" t="s">
        <v>1988</v>
      </c>
      <c r="E31" s="303">
        <v>270</v>
      </c>
      <c r="F31" s="299"/>
      <c r="G31" s="131">
        <v>224</v>
      </c>
      <c r="H31" s="131">
        <v>270</v>
      </c>
    </row>
    <row r="32" spans="1:8">
      <c r="A32" s="70">
        <v>23</v>
      </c>
      <c r="B32" s="72" t="s">
        <v>880</v>
      </c>
      <c r="C32" s="304" t="s">
        <v>1532</v>
      </c>
      <c r="D32" s="72" t="s">
        <v>1989</v>
      </c>
      <c r="E32" s="302">
        <v>90</v>
      </c>
      <c r="F32" s="72"/>
      <c r="G32" s="131">
        <v>212</v>
      </c>
      <c r="H32" s="131">
        <v>90</v>
      </c>
    </row>
    <row r="33" spans="1:8">
      <c r="A33" s="70">
        <v>24</v>
      </c>
      <c r="B33" s="72" t="s">
        <v>880</v>
      </c>
      <c r="C33" s="304" t="s">
        <v>1542</v>
      </c>
      <c r="D33" s="72" t="s">
        <v>1990</v>
      </c>
      <c r="E33" s="302">
        <v>27.45</v>
      </c>
      <c r="F33" s="72"/>
      <c r="G33" s="131">
        <v>212</v>
      </c>
      <c r="H33" s="131">
        <v>27.45</v>
      </c>
    </row>
    <row r="34" spans="1:8">
      <c r="A34" s="70">
        <v>25</v>
      </c>
      <c r="B34" s="72" t="s">
        <v>880</v>
      </c>
      <c r="C34" s="304" t="s">
        <v>1532</v>
      </c>
      <c r="D34" s="72" t="s">
        <v>1991</v>
      </c>
      <c r="E34" s="302">
        <v>76.5</v>
      </c>
      <c r="F34" s="72"/>
      <c r="G34" s="131">
        <v>212</v>
      </c>
      <c r="H34" s="131">
        <v>76.5</v>
      </c>
    </row>
    <row r="35" spans="1:8">
      <c r="A35" s="70">
        <v>26</v>
      </c>
      <c r="B35" s="72" t="s">
        <v>880</v>
      </c>
      <c r="C35" s="304" t="s">
        <v>1748</v>
      </c>
      <c r="D35" s="72" t="s">
        <v>1992</v>
      </c>
      <c r="E35" s="302">
        <v>18</v>
      </c>
      <c r="F35" s="72"/>
      <c r="G35" s="131">
        <v>213</v>
      </c>
      <c r="H35" s="131">
        <v>18</v>
      </c>
    </row>
    <row r="36" spans="1:8">
      <c r="A36" s="70">
        <v>27</v>
      </c>
      <c r="B36" s="305" t="s">
        <v>1117</v>
      </c>
      <c r="C36" s="150" t="s">
        <v>1614</v>
      </c>
      <c r="D36" s="72" t="s">
        <v>1993</v>
      </c>
      <c r="E36" s="303">
        <v>99</v>
      </c>
      <c r="F36" s="299"/>
      <c r="G36" s="131">
        <v>213</v>
      </c>
      <c r="H36" s="131">
        <v>99</v>
      </c>
    </row>
    <row r="37" spans="1:8">
      <c r="A37" s="70">
        <v>28</v>
      </c>
      <c r="B37" s="302" t="s">
        <v>1117</v>
      </c>
      <c r="C37" s="72" t="s">
        <v>1822</v>
      </c>
      <c r="D37" s="72" t="s">
        <v>1994</v>
      </c>
      <c r="E37" s="303">
        <v>72</v>
      </c>
      <c r="F37" s="299"/>
      <c r="G37" s="131">
        <v>220</v>
      </c>
      <c r="H37" s="131">
        <v>72</v>
      </c>
    </row>
    <row r="38" spans="1:8">
      <c r="A38" s="70">
        <v>29</v>
      </c>
      <c r="B38" s="302" t="s">
        <v>1117</v>
      </c>
      <c r="C38" s="72" t="s">
        <v>1822</v>
      </c>
      <c r="D38" s="72" t="s">
        <v>1995</v>
      </c>
      <c r="E38" s="303">
        <v>45</v>
      </c>
      <c r="F38" s="299"/>
      <c r="G38" s="131">
        <v>220</v>
      </c>
      <c r="H38" s="131">
        <v>45</v>
      </c>
    </row>
    <row r="39" spans="1:8">
      <c r="A39" s="70">
        <v>30</v>
      </c>
      <c r="B39" s="302" t="s">
        <v>1117</v>
      </c>
      <c r="C39" s="72" t="s">
        <v>1822</v>
      </c>
      <c r="D39" s="72" t="s">
        <v>1996</v>
      </c>
      <c r="E39" s="303">
        <v>180</v>
      </c>
      <c r="F39" s="299"/>
      <c r="G39" s="131">
        <v>220</v>
      </c>
      <c r="H39" s="131">
        <v>180</v>
      </c>
    </row>
    <row r="40" spans="1:8">
      <c r="A40" s="70">
        <v>31</v>
      </c>
      <c r="B40" s="302" t="s">
        <v>1117</v>
      </c>
      <c r="C40" s="72" t="s">
        <v>1822</v>
      </c>
      <c r="D40" s="72" t="s">
        <v>1997</v>
      </c>
      <c r="E40" s="303">
        <v>270</v>
      </c>
      <c r="F40" s="299"/>
      <c r="G40" s="131">
        <v>220</v>
      </c>
      <c r="H40" s="131">
        <v>270</v>
      </c>
    </row>
    <row r="41" spans="1:8">
      <c r="A41" s="70">
        <v>32</v>
      </c>
      <c r="B41" s="302" t="s">
        <v>1117</v>
      </c>
      <c r="C41" s="72" t="s">
        <v>1822</v>
      </c>
      <c r="D41" s="72" t="s">
        <v>1998</v>
      </c>
      <c r="E41" s="303">
        <v>279</v>
      </c>
      <c r="F41" s="299"/>
      <c r="G41" s="131">
        <v>220</v>
      </c>
      <c r="H41" s="131">
        <v>279</v>
      </c>
    </row>
    <row r="42" spans="1:8">
      <c r="A42" s="70">
        <v>33</v>
      </c>
      <c r="B42" s="302" t="s">
        <v>1117</v>
      </c>
      <c r="C42" s="72" t="s">
        <v>1822</v>
      </c>
      <c r="D42" s="72" t="s">
        <v>1999</v>
      </c>
      <c r="E42" s="303">
        <v>128.502</v>
      </c>
      <c r="F42" s="299"/>
      <c r="G42" s="131">
        <v>220</v>
      </c>
      <c r="H42" s="131">
        <v>128.502</v>
      </c>
    </row>
    <row r="43" ht="27" spans="1:8">
      <c r="A43" s="70">
        <v>34</v>
      </c>
      <c r="B43" s="302" t="s">
        <v>836</v>
      </c>
      <c r="C43" s="150" t="s">
        <v>1323</v>
      </c>
      <c r="D43" s="72" t="s">
        <v>2000</v>
      </c>
      <c r="E43" s="303">
        <v>270</v>
      </c>
      <c r="F43" s="299"/>
      <c r="G43" s="131">
        <v>216</v>
      </c>
      <c r="H43" s="131">
        <v>270</v>
      </c>
    </row>
    <row r="44" ht="23" customHeight="1" spans="1:8">
      <c r="A44" s="70">
        <v>35</v>
      </c>
      <c r="B44" s="302" t="s">
        <v>1713</v>
      </c>
      <c r="C44" s="72" t="s">
        <v>1485</v>
      </c>
      <c r="D44" s="72" t="s">
        <v>1770</v>
      </c>
      <c r="E44" s="303">
        <v>270</v>
      </c>
      <c r="F44" s="299"/>
      <c r="G44" s="131">
        <v>229</v>
      </c>
      <c r="H44" s="131">
        <v>270</v>
      </c>
    </row>
    <row r="45" ht="20" customHeight="1" spans="1:8">
      <c r="A45" s="70">
        <v>36</v>
      </c>
      <c r="B45" s="305" t="s">
        <v>730</v>
      </c>
      <c r="C45" s="150" t="s">
        <v>2001</v>
      </c>
      <c r="D45" s="72" t="s">
        <v>1392</v>
      </c>
      <c r="E45" s="303">
        <v>589.5</v>
      </c>
      <c r="F45" s="299"/>
      <c r="G45" s="131">
        <v>208</v>
      </c>
      <c r="H45" s="131">
        <v>589.5</v>
      </c>
    </row>
    <row r="46" ht="20" customHeight="1" spans="1:8">
      <c r="A46" s="70">
        <v>37</v>
      </c>
      <c r="B46" s="305" t="s">
        <v>730</v>
      </c>
      <c r="C46" s="72" t="s">
        <v>2002</v>
      </c>
      <c r="D46" s="72" t="s">
        <v>1390</v>
      </c>
      <c r="E46" s="302">
        <v>108</v>
      </c>
      <c r="F46" s="299"/>
      <c r="G46" s="131">
        <v>208</v>
      </c>
      <c r="H46" s="131">
        <v>108</v>
      </c>
    </row>
    <row r="47" spans="1:8">
      <c r="A47" s="70">
        <v>38</v>
      </c>
      <c r="B47" s="305" t="s">
        <v>730</v>
      </c>
      <c r="C47" s="72" t="s">
        <v>525</v>
      </c>
      <c r="D47" s="72" t="s">
        <v>2003</v>
      </c>
      <c r="E47" s="70">
        <v>452.85</v>
      </c>
      <c r="F47" s="299" t="s">
        <v>1969</v>
      </c>
      <c r="G47" s="131">
        <v>208</v>
      </c>
      <c r="H47" s="131">
        <v>452.85</v>
      </c>
    </row>
    <row r="48" spans="1:8">
      <c r="A48" s="70">
        <v>39</v>
      </c>
      <c r="B48" s="305" t="s">
        <v>730</v>
      </c>
      <c r="C48" s="72" t="s">
        <v>2004</v>
      </c>
      <c r="D48" s="72" t="s">
        <v>2005</v>
      </c>
      <c r="E48" s="302">
        <v>144</v>
      </c>
      <c r="F48" s="299"/>
      <c r="G48" s="131">
        <v>208</v>
      </c>
      <c r="H48" s="131">
        <v>144</v>
      </c>
    </row>
    <row r="49" spans="1:8">
      <c r="A49" s="70">
        <v>40</v>
      </c>
      <c r="B49" s="305" t="s">
        <v>730</v>
      </c>
      <c r="C49" s="72" t="s">
        <v>1428</v>
      </c>
      <c r="D49" s="72" t="s">
        <v>2006</v>
      </c>
      <c r="E49" s="70">
        <v>608</v>
      </c>
      <c r="F49" s="299" t="s">
        <v>1969</v>
      </c>
      <c r="G49" s="131">
        <v>208</v>
      </c>
      <c r="H49" s="131">
        <v>608</v>
      </c>
    </row>
    <row r="50" spans="1:8">
      <c r="A50" s="70">
        <v>41</v>
      </c>
      <c r="B50" s="305" t="s">
        <v>730</v>
      </c>
      <c r="C50" s="72" t="s">
        <v>2007</v>
      </c>
      <c r="D50" s="72" t="s">
        <v>2008</v>
      </c>
      <c r="E50" s="302">
        <v>134.055</v>
      </c>
      <c r="F50" s="299"/>
      <c r="G50" s="131">
        <v>210</v>
      </c>
      <c r="H50" s="131">
        <v>134.055</v>
      </c>
    </row>
    <row r="51" ht="27" spans="1:8">
      <c r="A51" s="70">
        <v>42</v>
      </c>
      <c r="B51" s="305" t="s">
        <v>730</v>
      </c>
      <c r="C51" s="72" t="s">
        <v>2009</v>
      </c>
      <c r="D51" s="72" t="s">
        <v>2010</v>
      </c>
      <c r="E51" s="302">
        <v>152.514</v>
      </c>
      <c r="F51" s="299"/>
      <c r="G51" s="131">
        <v>210</v>
      </c>
      <c r="H51" s="131">
        <v>152.514</v>
      </c>
    </row>
    <row r="52" ht="27" spans="1:8">
      <c r="A52" s="70">
        <v>43</v>
      </c>
      <c r="B52" s="305" t="s">
        <v>730</v>
      </c>
      <c r="C52" s="72" t="s">
        <v>2011</v>
      </c>
      <c r="D52" s="72" t="s">
        <v>2012</v>
      </c>
      <c r="E52" s="70">
        <v>330</v>
      </c>
      <c r="F52" s="299" t="s">
        <v>1969</v>
      </c>
      <c r="G52" s="131">
        <v>210</v>
      </c>
      <c r="H52" s="131">
        <v>330</v>
      </c>
    </row>
    <row r="53" ht="27" spans="1:8">
      <c r="A53" s="70">
        <v>44</v>
      </c>
      <c r="B53" s="305" t="s">
        <v>730</v>
      </c>
      <c r="C53" s="72" t="s">
        <v>1439</v>
      </c>
      <c r="D53" s="72" t="s">
        <v>2013</v>
      </c>
      <c r="E53" s="70">
        <v>286</v>
      </c>
      <c r="F53" s="299" t="s">
        <v>1969</v>
      </c>
      <c r="G53" s="131">
        <v>210</v>
      </c>
      <c r="H53" s="131">
        <v>286</v>
      </c>
    </row>
    <row r="54" ht="27" spans="1:8">
      <c r="A54" s="70">
        <v>45</v>
      </c>
      <c r="B54" s="305" t="s">
        <v>730</v>
      </c>
      <c r="C54" s="72" t="s">
        <v>1466</v>
      </c>
      <c r="D54" s="72" t="s">
        <v>2014</v>
      </c>
      <c r="E54" s="70">
        <v>110</v>
      </c>
      <c r="F54" s="299" t="s">
        <v>1969</v>
      </c>
      <c r="G54" s="131">
        <v>210</v>
      </c>
      <c r="H54" s="131">
        <v>110</v>
      </c>
    </row>
    <row r="55" spans="1:8">
      <c r="A55" s="70">
        <v>46</v>
      </c>
      <c r="B55" s="302" t="s">
        <v>1135</v>
      </c>
      <c r="C55" s="72" t="s">
        <v>1517</v>
      </c>
      <c r="D55" s="72" t="s">
        <v>2015</v>
      </c>
      <c r="E55" s="302">
        <v>180</v>
      </c>
      <c r="F55" s="299"/>
      <c r="G55" s="131">
        <v>213</v>
      </c>
      <c r="H55" s="131">
        <v>180</v>
      </c>
    </row>
    <row r="56" spans="1:8">
      <c r="A56" s="70">
        <v>47</v>
      </c>
      <c r="B56" s="302" t="s">
        <v>1135</v>
      </c>
      <c r="C56" s="72" t="s">
        <v>1517</v>
      </c>
      <c r="D56" s="72" t="s">
        <v>2016</v>
      </c>
      <c r="E56" s="70">
        <v>408</v>
      </c>
      <c r="F56" s="299" t="s">
        <v>1969</v>
      </c>
      <c r="G56" s="131">
        <v>213</v>
      </c>
      <c r="H56" s="131">
        <v>408</v>
      </c>
    </row>
    <row r="57" spans="1:8">
      <c r="A57" s="70">
        <v>48</v>
      </c>
      <c r="B57" s="302" t="s">
        <v>1135</v>
      </c>
      <c r="C57" s="72" t="s">
        <v>1517</v>
      </c>
      <c r="D57" s="72" t="s">
        <v>2017</v>
      </c>
      <c r="E57" s="302">
        <v>40.5</v>
      </c>
      <c r="F57" s="299"/>
      <c r="G57" s="131">
        <v>213</v>
      </c>
      <c r="H57" s="131">
        <v>40.5</v>
      </c>
    </row>
    <row r="58" spans="1:8">
      <c r="A58" s="70">
        <v>49</v>
      </c>
      <c r="B58" s="302" t="s">
        <v>1135</v>
      </c>
      <c r="C58" s="72" t="s">
        <v>1517</v>
      </c>
      <c r="D58" s="72" t="s">
        <v>2018</v>
      </c>
      <c r="E58" s="70">
        <v>108</v>
      </c>
      <c r="F58" s="299" t="s">
        <v>1969</v>
      </c>
      <c r="G58" s="131">
        <v>213</v>
      </c>
      <c r="H58" s="131">
        <v>108</v>
      </c>
    </row>
    <row r="59" spans="1:8">
      <c r="A59" s="70">
        <v>50</v>
      </c>
      <c r="B59" s="302" t="s">
        <v>1135</v>
      </c>
      <c r="C59" s="72" t="s">
        <v>1652</v>
      </c>
      <c r="D59" s="72" t="s">
        <v>2019</v>
      </c>
      <c r="E59" s="302">
        <v>89.559</v>
      </c>
      <c r="F59" s="299"/>
      <c r="G59" s="131">
        <v>213</v>
      </c>
      <c r="H59" s="131">
        <v>89.559</v>
      </c>
    </row>
    <row r="60" ht="31" customHeight="1" spans="1:8">
      <c r="A60" s="70">
        <v>51</v>
      </c>
      <c r="B60" s="72" t="s">
        <v>1135</v>
      </c>
      <c r="C60" s="72" t="s">
        <v>1652</v>
      </c>
      <c r="D60" s="72" t="s">
        <v>2020</v>
      </c>
      <c r="E60" s="302">
        <v>108</v>
      </c>
      <c r="F60" s="72"/>
      <c r="G60" s="131">
        <v>213</v>
      </c>
      <c r="H60" s="131">
        <v>108</v>
      </c>
    </row>
    <row r="61" ht="27" customHeight="1" spans="1:8">
      <c r="A61" s="70">
        <v>52</v>
      </c>
      <c r="B61" s="72" t="s">
        <v>1135</v>
      </c>
      <c r="C61" s="72" t="s">
        <v>1652</v>
      </c>
      <c r="D61" s="72" t="s">
        <v>2021</v>
      </c>
      <c r="E61" s="302">
        <v>36</v>
      </c>
      <c r="F61" s="72"/>
      <c r="G61" s="131">
        <v>213</v>
      </c>
      <c r="H61" s="131">
        <v>36</v>
      </c>
    </row>
    <row r="62" ht="27" customHeight="1" spans="1:8">
      <c r="A62" s="70">
        <v>53</v>
      </c>
      <c r="B62" s="302" t="s">
        <v>1227</v>
      </c>
      <c r="C62" s="72" t="s">
        <v>2022</v>
      </c>
      <c r="D62" s="72" t="s">
        <v>2023</v>
      </c>
      <c r="E62" s="302">
        <v>90</v>
      </c>
      <c r="F62" s="299"/>
      <c r="G62" s="131">
        <v>208</v>
      </c>
      <c r="H62" s="131">
        <v>90</v>
      </c>
    </row>
    <row r="63" ht="27" customHeight="1" spans="1:8">
      <c r="A63" s="70">
        <v>54</v>
      </c>
      <c r="B63" s="302" t="s">
        <v>1227</v>
      </c>
      <c r="C63" s="72" t="s">
        <v>1683</v>
      </c>
      <c r="D63" s="72" t="s">
        <v>2024</v>
      </c>
      <c r="E63" s="302">
        <v>900</v>
      </c>
      <c r="F63" s="299"/>
      <c r="G63" s="131">
        <v>214</v>
      </c>
      <c r="H63" s="131">
        <v>900</v>
      </c>
    </row>
    <row r="64" ht="27" customHeight="1" spans="1:8">
      <c r="A64" s="70">
        <v>55</v>
      </c>
      <c r="B64" s="302" t="s">
        <v>1227</v>
      </c>
      <c r="C64" s="72" t="s">
        <v>1683</v>
      </c>
      <c r="D64" s="72" t="s">
        <v>2025</v>
      </c>
      <c r="E64" s="302">
        <v>388.8</v>
      </c>
      <c r="F64" s="299"/>
      <c r="G64" s="131">
        <v>214</v>
      </c>
      <c r="H64" s="131">
        <v>388.8</v>
      </c>
    </row>
    <row r="65" ht="27" customHeight="1" spans="1:8">
      <c r="A65" s="70">
        <v>56</v>
      </c>
      <c r="B65" s="302" t="s">
        <v>1781</v>
      </c>
      <c r="C65" s="72" t="s">
        <v>2026</v>
      </c>
      <c r="D65" s="72" t="s">
        <v>2027</v>
      </c>
      <c r="E65" s="297">
        <v>560</v>
      </c>
      <c r="F65" s="299" t="s">
        <v>2028</v>
      </c>
      <c r="G65" s="131">
        <v>213</v>
      </c>
      <c r="H65" s="131">
        <v>560</v>
      </c>
    </row>
    <row r="66" ht="27" customHeight="1" spans="1:8">
      <c r="A66" s="70">
        <v>57</v>
      </c>
      <c r="B66" s="306" t="s">
        <v>1288</v>
      </c>
      <c r="C66" s="307" t="s">
        <v>1345</v>
      </c>
      <c r="D66" s="299" t="s">
        <v>2029</v>
      </c>
      <c r="E66" s="297">
        <v>12.92</v>
      </c>
      <c r="F66" s="299" t="s">
        <v>2028</v>
      </c>
      <c r="G66" s="131">
        <v>207</v>
      </c>
      <c r="H66" s="131">
        <v>12.92</v>
      </c>
    </row>
    <row r="67" ht="27" customHeight="1" spans="1:8">
      <c r="A67" s="70">
        <v>58</v>
      </c>
      <c r="B67" s="306" t="s">
        <v>1288</v>
      </c>
      <c r="C67" s="307" t="s">
        <v>1345</v>
      </c>
      <c r="D67" s="299" t="s">
        <v>2030</v>
      </c>
      <c r="E67" s="297">
        <v>3289.97</v>
      </c>
      <c r="F67" s="299" t="s">
        <v>2028</v>
      </c>
      <c r="G67" s="131">
        <v>207</v>
      </c>
      <c r="H67" s="131">
        <v>3289.97</v>
      </c>
    </row>
    <row r="68" ht="27" customHeight="1" spans="1:8">
      <c r="A68" s="70">
        <v>59</v>
      </c>
      <c r="B68" s="306" t="s">
        <v>1288</v>
      </c>
      <c r="C68" s="307" t="s">
        <v>1345</v>
      </c>
      <c r="D68" s="299" t="s">
        <v>2031</v>
      </c>
      <c r="E68" s="297">
        <v>10.29</v>
      </c>
      <c r="F68" s="299" t="s">
        <v>2028</v>
      </c>
      <c r="G68" s="131">
        <v>207</v>
      </c>
      <c r="H68" s="131">
        <v>10.29</v>
      </c>
    </row>
    <row r="69" ht="27" customHeight="1" spans="1:8">
      <c r="A69" s="70">
        <v>60</v>
      </c>
      <c r="B69" s="306" t="s">
        <v>1288</v>
      </c>
      <c r="C69" s="304" t="s">
        <v>1345</v>
      </c>
      <c r="D69" s="299" t="s">
        <v>2032</v>
      </c>
      <c r="E69" s="297">
        <v>61.57</v>
      </c>
      <c r="F69" s="299" t="s">
        <v>2028</v>
      </c>
      <c r="G69" s="131">
        <v>207</v>
      </c>
      <c r="H69" s="131">
        <v>61.57</v>
      </c>
    </row>
    <row r="70" ht="27" customHeight="1" spans="1:8">
      <c r="A70" s="70">
        <v>61</v>
      </c>
      <c r="B70" s="306" t="s">
        <v>1288</v>
      </c>
      <c r="C70" s="304" t="s">
        <v>1377</v>
      </c>
      <c r="D70" s="299" t="s">
        <v>2033</v>
      </c>
      <c r="E70" s="297">
        <v>6.08</v>
      </c>
      <c r="F70" s="299" t="s">
        <v>2028</v>
      </c>
      <c r="G70" s="131">
        <v>208</v>
      </c>
      <c r="H70" s="131">
        <v>6.08</v>
      </c>
    </row>
    <row r="71" ht="27" customHeight="1" spans="1:8">
      <c r="A71" s="70">
        <v>62</v>
      </c>
      <c r="B71" s="306" t="s">
        <v>1288</v>
      </c>
      <c r="C71" s="304" t="s">
        <v>2034</v>
      </c>
      <c r="D71" s="299" t="s">
        <v>1530</v>
      </c>
      <c r="E71" s="297">
        <v>800</v>
      </c>
      <c r="F71" s="299" t="s">
        <v>2028</v>
      </c>
      <c r="G71" s="131">
        <v>211</v>
      </c>
      <c r="H71" s="131">
        <v>800</v>
      </c>
    </row>
    <row r="72" ht="27" customHeight="1" spans="1:8">
      <c r="A72" s="70">
        <v>63</v>
      </c>
      <c r="B72" s="306" t="s">
        <v>1288</v>
      </c>
      <c r="C72" s="304" t="s">
        <v>1522</v>
      </c>
      <c r="D72" s="299" t="s">
        <v>2035</v>
      </c>
      <c r="E72" s="297">
        <v>1177.66</v>
      </c>
      <c r="F72" s="299" t="s">
        <v>2028</v>
      </c>
      <c r="G72" s="131">
        <v>211</v>
      </c>
      <c r="H72" s="131">
        <v>1177.66</v>
      </c>
    </row>
    <row r="73" ht="27" customHeight="1" spans="1:8">
      <c r="A73" s="70">
        <v>64</v>
      </c>
      <c r="B73" s="306" t="s">
        <v>1288</v>
      </c>
      <c r="C73" s="304" t="s">
        <v>2036</v>
      </c>
      <c r="D73" s="299" t="s">
        <v>2037</v>
      </c>
      <c r="E73" s="297">
        <v>409.62</v>
      </c>
      <c r="F73" s="299" t="s">
        <v>2028</v>
      </c>
      <c r="G73" s="131">
        <v>212</v>
      </c>
      <c r="H73" s="131">
        <v>409.62</v>
      </c>
    </row>
    <row r="74" ht="27" customHeight="1" spans="1:8">
      <c r="A74" s="70">
        <v>65</v>
      </c>
      <c r="B74" s="306" t="s">
        <v>1288</v>
      </c>
      <c r="C74" s="304" t="s">
        <v>1517</v>
      </c>
      <c r="D74" s="299" t="s">
        <v>2038</v>
      </c>
      <c r="E74" s="297">
        <v>114.5</v>
      </c>
      <c r="F74" s="299" t="s">
        <v>2028</v>
      </c>
      <c r="G74" s="131">
        <v>213</v>
      </c>
      <c r="H74" s="131">
        <v>114.5</v>
      </c>
    </row>
    <row r="75" ht="27" customHeight="1" spans="1:8">
      <c r="A75" s="70">
        <v>66</v>
      </c>
      <c r="B75" s="306" t="s">
        <v>1288</v>
      </c>
      <c r="C75" s="304" t="s">
        <v>1517</v>
      </c>
      <c r="D75" s="299" t="s">
        <v>2039</v>
      </c>
      <c r="E75" s="297">
        <v>1794.66</v>
      </c>
      <c r="F75" s="299" t="s">
        <v>2028</v>
      </c>
      <c r="G75" s="131">
        <v>213</v>
      </c>
      <c r="H75" s="131">
        <v>1794.66</v>
      </c>
    </row>
  </sheetData>
  <autoFilter ref="A5:F75">
    <extLst/>
  </autoFilter>
  <mergeCells count="9">
    <mergeCell ref="A1:F1"/>
    <mergeCell ref="D2:E2"/>
    <mergeCell ref="A5:B5"/>
    <mergeCell ref="A3:A4"/>
    <mergeCell ref="B3:B4"/>
    <mergeCell ref="C3:C4"/>
    <mergeCell ref="D3:D4"/>
    <mergeCell ref="E3:E4"/>
    <mergeCell ref="F3:F4"/>
  </mergeCells>
  <dataValidations count="2">
    <dataValidation type="list" allowBlank="1" showInputMessage="1" showErrorMessage="1" sqref="B14 C14 B15 B19 C19 B20 C20 B21 C21 B22 C22 B23 C23 B24 C24 B36 C36 B46 C46 B69 C69 B70 C70 B73 C73 B66:B68 B71:B72 B74:B75 C66:C68 C71:C72 C74:C75">
      <formula1>#REF!</formula1>
    </dataValidation>
    <dataValidation type="list" allowBlank="1" showInputMessage="1" showErrorMessage="1" sqref="C15 B16 B17 B18 C16:C17">
      <formula1/>
    </dataValidation>
  </dataValidations>
  <printOptions horizontalCentered="1"/>
  <pageMargins left="0.75" right="0.75" top="0.629166666666667" bottom="0.588888888888889" header="0.509027777777778" footer="0.279166666666667"/>
  <pageSetup paperSize="9" scale="82" orientation="portrait" horizontalDpi="600"/>
  <headerFooter>
    <oddFooter>&amp;C第 &amp;P 页，共 &amp;N 页</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V20"/>
  <sheetViews>
    <sheetView view="pageBreakPreview" zoomScaleNormal="100" zoomScaleSheetLayoutView="100" workbookViewId="0">
      <selection activeCell="A16" sqref="A16"/>
    </sheetView>
  </sheetViews>
  <sheetFormatPr defaultColWidth="9" defaultRowHeight="13.5"/>
  <cols>
    <col min="1" max="1" width="32.725" style="277" customWidth="1"/>
    <col min="2" max="4" width="15.8666666666667" style="278" customWidth="1"/>
    <col min="5" max="5" width="15.8666666666667" style="277" hidden="1" customWidth="1"/>
    <col min="6" max="6" width="14.5" style="277" hidden="1" customWidth="1"/>
    <col min="7" max="16384" width="9" style="277"/>
  </cols>
  <sheetData>
    <row r="1" ht="15.95" customHeight="1" spans="1:1">
      <c r="A1" s="279" t="s">
        <v>2040</v>
      </c>
    </row>
    <row r="2" s="275" customFormat="1" ht="24" spans="1:6">
      <c r="A2" s="232" t="s">
        <v>2041</v>
      </c>
      <c r="B2" s="232"/>
      <c r="C2" s="232"/>
      <c r="D2" s="232"/>
      <c r="E2" s="232"/>
      <c r="F2" s="232"/>
    </row>
    <row r="3" ht="21.95" customHeight="1" spans="1:4">
      <c r="A3" s="233"/>
      <c r="B3" s="234"/>
      <c r="C3" s="234"/>
      <c r="D3" s="278" t="s">
        <v>2042</v>
      </c>
    </row>
    <row r="4" ht="34" customHeight="1" spans="1:6">
      <c r="A4" s="236" t="s">
        <v>3</v>
      </c>
      <c r="B4" s="280" t="s">
        <v>4</v>
      </c>
      <c r="C4" s="280" t="s">
        <v>5</v>
      </c>
      <c r="D4" s="280" t="s">
        <v>6</v>
      </c>
      <c r="E4" s="281" t="s">
        <v>2043</v>
      </c>
      <c r="F4" s="282" t="s">
        <v>2044</v>
      </c>
    </row>
    <row r="5" s="276" customFormat="1" ht="27" customHeight="1" spans="1:6">
      <c r="A5" s="283" t="s">
        <v>2045</v>
      </c>
      <c r="B5" s="284">
        <f>SUM(B6:B10)</f>
        <v>141930</v>
      </c>
      <c r="C5" s="284">
        <f>SUM(C6:C10)</f>
        <v>10557.457</v>
      </c>
      <c r="D5" s="284">
        <f>SUM(D6:D10)</f>
        <v>152487.457</v>
      </c>
      <c r="E5" s="284">
        <f>SUM(E6:E10)</f>
        <v>157970</v>
      </c>
      <c r="F5" s="284">
        <f>B5-E5</f>
        <v>-16040</v>
      </c>
    </row>
    <row r="6" s="223" customFormat="1" ht="27" customHeight="1" spans="1:6">
      <c r="A6" s="247" t="s">
        <v>2046</v>
      </c>
      <c r="B6" s="285">
        <f>'6 基金收入'!B6</f>
        <v>94680</v>
      </c>
      <c r="C6" s="285">
        <f>D6-B6</f>
        <v>-53004.4</v>
      </c>
      <c r="D6" s="285">
        <f>'6 基金收入'!D6</f>
        <v>41675.6</v>
      </c>
      <c r="E6" s="286">
        <v>46928</v>
      </c>
      <c r="F6" s="287">
        <f>B6-E6</f>
        <v>47752</v>
      </c>
    </row>
    <row r="7" s="224" customFormat="1" ht="27" customHeight="1" spans="1:6">
      <c r="A7" s="263" t="s">
        <v>2047</v>
      </c>
      <c r="B7" s="287">
        <v>0</v>
      </c>
      <c r="C7" s="285">
        <f t="shared" ref="C7:C16" si="0">D7-B7</f>
        <v>67000</v>
      </c>
      <c r="D7" s="285">
        <f>'6 基金收入'!D16</f>
        <v>67000</v>
      </c>
      <c r="E7" s="286">
        <v>83883</v>
      </c>
      <c r="F7" s="287">
        <f>B7-E7</f>
        <v>-83883</v>
      </c>
    </row>
    <row r="8" s="224" customFormat="1" ht="27" customHeight="1" spans="1:6">
      <c r="A8" s="263" t="s">
        <v>2048</v>
      </c>
      <c r="B8" s="287">
        <f>'6 基金收入'!B17</f>
        <v>47250</v>
      </c>
      <c r="C8" s="285">
        <f t="shared" si="0"/>
        <v>-47250</v>
      </c>
      <c r="D8" s="285">
        <f>'6 基金收入'!D17</f>
        <v>0</v>
      </c>
      <c r="E8" s="286">
        <v>0</v>
      </c>
      <c r="F8" s="287">
        <f>B8-E8</f>
        <v>47250</v>
      </c>
    </row>
    <row r="9" s="224" customFormat="1" ht="27" customHeight="1" spans="1:6">
      <c r="A9" s="263" t="s">
        <v>2049</v>
      </c>
      <c r="B9" s="287"/>
      <c r="C9" s="285">
        <f t="shared" si="0"/>
        <v>26738.827</v>
      </c>
      <c r="D9" s="285">
        <f>'6 基金收入'!D18</f>
        <v>26738.827</v>
      </c>
      <c r="E9" s="286"/>
      <c r="F9" s="287"/>
    </row>
    <row r="10" s="224" customFormat="1" ht="27" customHeight="1" spans="1:6">
      <c r="A10" s="263" t="s">
        <v>2050</v>
      </c>
      <c r="B10" s="287">
        <f>'6 基金收入'!B19</f>
        <v>0</v>
      </c>
      <c r="C10" s="285">
        <f t="shared" si="0"/>
        <v>17073.03</v>
      </c>
      <c r="D10" s="285">
        <f>'6 基金收入'!D19</f>
        <v>17073.03</v>
      </c>
      <c r="E10" s="286">
        <v>27159</v>
      </c>
      <c r="F10" s="287">
        <f t="shared" ref="F10:F16" si="1">B10-E10</f>
        <v>-27159</v>
      </c>
    </row>
    <row r="11" s="223" customFormat="1" ht="27" customHeight="1" spans="1:256">
      <c r="A11" s="259" t="s">
        <v>2051</v>
      </c>
      <c r="B11" s="284">
        <f>SUM(B12:B16)</f>
        <v>141930.0085</v>
      </c>
      <c r="C11" s="284">
        <f ca="1">SUM(C12:C16)</f>
        <v>10557.4485</v>
      </c>
      <c r="D11" s="284">
        <f ca="1">SUM(D12:D16)</f>
        <v>152487.457</v>
      </c>
      <c r="E11" s="284">
        <f>SUM(E12:E15)</f>
        <v>133357</v>
      </c>
      <c r="F11" s="284">
        <f t="shared" si="1"/>
        <v>8573.0085</v>
      </c>
      <c r="G11" s="276"/>
      <c r="H11" s="276"/>
      <c r="I11" s="276"/>
      <c r="J11" s="276"/>
      <c r="K11" s="276"/>
      <c r="L11" s="276"/>
      <c r="M11" s="276"/>
      <c r="N11" s="276"/>
      <c r="O11" s="276"/>
      <c r="P11" s="276"/>
      <c r="Q11" s="276"/>
      <c r="R11" s="276"/>
      <c r="S11" s="276"/>
      <c r="T11" s="276"/>
      <c r="U11" s="276"/>
      <c r="V11" s="276"/>
      <c r="W11" s="276"/>
      <c r="X11" s="276"/>
      <c r="Y11" s="276"/>
      <c r="Z11" s="276"/>
      <c r="AA11" s="276"/>
      <c r="AB11" s="276"/>
      <c r="AC11" s="276"/>
      <c r="AD11" s="276"/>
      <c r="AE11" s="276"/>
      <c r="AF11" s="276"/>
      <c r="AG11" s="276"/>
      <c r="AH11" s="276"/>
      <c r="AI11" s="276"/>
      <c r="AJ11" s="276"/>
      <c r="AK11" s="276"/>
      <c r="AL11" s="276"/>
      <c r="AM11" s="276"/>
      <c r="AN11" s="276"/>
      <c r="AO11" s="276"/>
      <c r="AP11" s="276"/>
      <c r="AQ11" s="276"/>
      <c r="AR11" s="276"/>
      <c r="AS11" s="276"/>
      <c r="AT11" s="276"/>
      <c r="AU11" s="276"/>
      <c r="AV11" s="276"/>
      <c r="AW11" s="276"/>
      <c r="AX11" s="276"/>
      <c r="AY11" s="276"/>
      <c r="AZ11" s="276"/>
      <c r="BA11" s="276"/>
      <c r="BB11" s="276"/>
      <c r="BC11" s="276"/>
      <c r="BD11" s="276"/>
      <c r="BE11" s="276"/>
      <c r="BF11" s="276"/>
      <c r="BG11" s="276"/>
      <c r="BH11" s="276"/>
      <c r="BI11" s="276"/>
      <c r="BJ11" s="276"/>
      <c r="BK11" s="276"/>
      <c r="BL11" s="276"/>
      <c r="BM11" s="276"/>
      <c r="BN11" s="276"/>
      <c r="BO11" s="276"/>
      <c r="BP11" s="276"/>
      <c r="BQ11" s="276"/>
      <c r="BR11" s="276"/>
      <c r="BS11" s="276"/>
      <c r="BT11" s="276"/>
      <c r="BU11" s="276"/>
      <c r="BV11" s="276"/>
      <c r="BW11" s="276"/>
      <c r="BX11" s="276"/>
      <c r="BY11" s="276"/>
      <c r="BZ11" s="276"/>
      <c r="CA11" s="276"/>
      <c r="CB11" s="276"/>
      <c r="CC11" s="276"/>
      <c r="CD11" s="276"/>
      <c r="CE11" s="276"/>
      <c r="CF11" s="276"/>
      <c r="CG11" s="276"/>
      <c r="CH11" s="276"/>
      <c r="CI11" s="276"/>
      <c r="CJ11" s="276"/>
      <c r="CK11" s="276"/>
      <c r="CL11" s="276"/>
      <c r="CM11" s="276"/>
      <c r="CN11" s="276"/>
      <c r="CO11" s="276"/>
      <c r="CP11" s="276"/>
      <c r="CQ11" s="276"/>
      <c r="CR11" s="276"/>
      <c r="CS11" s="276"/>
      <c r="CT11" s="276"/>
      <c r="CU11" s="276"/>
      <c r="CV11" s="276"/>
      <c r="CW11" s="276"/>
      <c r="CX11" s="276"/>
      <c r="CY11" s="276"/>
      <c r="CZ11" s="276"/>
      <c r="DA11" s="276"/>
      <c r="DB11" s="276"/>
      <c r="DC11" s="276"/>
      <c r="DD11" s="276"/>
      <c r="DE11" s="276"/>
      <c r="DF11" s="276"/>
      <c r="DG11" s="276"/>
      <c r="DH11" s="276"/>
      <c r="DI11" s="276"/>
      <c r="DJ11" s="276"/>
      <c r="DK11" s="276"/>
      <c r="DL11" s="276"/>
      <c r="DM11" s="276"/>
      <c r="DN11" s="276"/>
      <c r="DO11" s="276"/>
      <c r="DP11" s="276"/>
      <c r="DQ11" s="276"/>
      <c r="DR11" s="276"/>
      <c r="DS11" s="276"/>
      <c r="DT11" s="276"/>
      <c r="DU11" s="276"/>
      <c r="DV11" s="276"/>
      <c r="DW11" s="276"/>
      <c r="DX11" s="276"/>
      <c r="DY11" s="276"/>
      <c r="DZ11" s="276"/>
      <c r="EA11" s="276"/>
      <c r="EB11" s="276"/>
      <c r="EC11" s="276"/>
      <c r="ED11" s="276"/>
      <c r="EE11" s="276"/>
      <c r="EF11" s="276"/>
      <c r="EG11" s="276"/>
      <c r="EH11" s="276"/>
      <c r="EI11" s="276"/>
      <c r="EJ11" s="276"/>
      <c r="EK11" s="276"/>
      <c r="EL11" s="276"/>
      <c r="EM11" s="276"/>
      <c r="EN11" s="276"/>
      <c r="EO11" s="276"/>
      <c r="EP11" s="276"/>
      <c r="EQ11" s="276"/>
      <c r="ER11" s="276"/>
      <c r="ES11" s="276"/>
      <c r="ET11" s="276"/>
      <c r="EU11" s="276"/>
      <c r="EV11" s="276"/>
      <c r="EW11" s="276"/>
      <c r="EX11" s="276"/>
      <c r="EY11" s="276"/>
      <c r="EZ11" s="276"/>
      <c r="FA11" s="276"/>
      <c r="FB11" s="276"/>
      <c r="FC11" s="276"/>
      <c r="FD11" s="276"/>
      <c r="FE11" s="276"/>
      <c r="FF11" s="276"/>
      <c r="FG11" s="276"/>
      <c r="FH11" s="276"/>
      <c r="FI11" s="276"/>
      <c r="FJ11" s="276"/>
      <c r="FK11" s="276"/>
      <c r="FL11" s="276"/>
      <c r="FM11" s="276"/>
      <c r="FN11" s="276"/>
      <c r="FO11" s="276"/>
      <c r="FP11" s="276"/>
      <c r="FQ11" s="276"/>
      <c r="FR11" s="276"/>
      <c r="FS11" s="276"/>
      <c r="FT11" s="276"/>
      <c r="FU11" s="276"/>
      <c r="FV11" s="276"/>
      <c r="FW11" s="276"/>
      <c r="FX11" s="276"/>
      <c r="FY11" s="276"/>
      <c r="FZ11" s="276"/>
      <c r="GA11" s="276"/>
      <c r="GB11" s="276"/>
      <c r="GC11" s="276"/>
      <c r="GD11" s="276"/>
      <c r="GE11" s="276"/>
      <c r="GF11" s="276"/>
      <c r="GG11" s="276"/>
      <c r="GH11" s="276"/>
      <c r="GI11" s="276"/>
      <c r="GJ11" s="276"/>
      <c r="GK11" s="276"/>
      <c r="GL11" s="276"/>
      <c r="GM11" s="276"/>
      <c r="GN11" s="276"/>
      <c r="GO11" s="276"/>
      <c r="GP11" s="276"/>
      <c r="GQ11" s="276"/>
      <c r="GR11" s="276"/>
      <c r="GS11" s="276"/>
      <c r="GT11" s="276"/>
      <c r="GU11" s="276"/>
      <c r="GV11" s="276"/>
      <c r="GW11" s="276"/>
      <c r="GX11" s="276"/>
      <c r="GY11" s="276"/>
      <c r="GZ11" s="276"/>
      <c r="HA11" s="276"/>
      <c r="HB11" s="276"/>
      <c r="HC11" s="276"/>
      <c r="HD11" s="276"/>
      <c r="HE11" s="276"/>
      <c r="HF11" s="276"/>
      <c r="HG11" s="276"/>
      <c r="HH11" s="276"/>
      <c r="HI11" s="276"/>
      <c r="HJ11" s="276"/>
      <c r="HK11" s="276"/>
      <c r="HL11" s="276"/>
      <c r="HM11" s="276"/>
      <c r="HN11" s="276"/>
      <c r="HO11" s="276"/>
      <c r="HP11" s="276"/>
      <c r="HQ11" s="276"/>
      <c r="HR11" s="276"/>
      <c r="HS11" s="276"/>
      <c r="HT11" s="276"/>
      <c r="HU11" s="276"/>
      <c r="HV11" s="276"/>
      <c r="HW11" s="276"/>
      <c r="HX11" s="276"/>
      <c r="HY11" s="276"/>
      <c r="HZ11" s="276"/>
      <c r="IA11" s="276"/>
      <c r="IB11" s="276"/>
      <c r="IC11" s="276"/>
      <c r="ID11" s="276"/>
      <c r="IE11" s="276"/>
      <c r="IF11" s="276"/>
      <c r="IG11" s="276"/>
      <c r="IH11" s="276"/>
      <c r="II11" s="276"/>
      <c r="IJ11" s="276"/>
      <c r="IK11" s="276"/>
      <c r="IL11" s="276"/>
      <c r="IM11" s="276"/>
      <c r="IN11" s="276"/>
      <c r="IO11" s="276"/>
      <c r="IP11" s="276"/>
      <c r="IQ11" s="276"/>
      <c r="IR11" s="276"/>
      <c r="IS11" s="276"/>
      <c r="IT11" s="276"/>
      <c r="IU11" s="276"/>
      <c r="IV11" s="276"/>
    </row>
    <row r="12" s="224" customFormat="1" ht="27" customHeight="1" spans="1:6">
      <c r="A12" s="263" t="s">
        <v>2052</v>
      </c>
      <c r="B12" s="287">
        <f>'7 基金支出'!B10</f>
        <v>28175.0085</v>
      </c>
      <c r="C12" s="285">
        <f t="shared" si="0"/>
        <v>65268.6215</v>
      </c>
      <c r="D12" s="285">
        <f>'7 基金支出'!D10</f>
        <v>93443.63</v>
      </c>
      <c r="E12" s="288">
        <v>106726</v>
      </c>
      <c r="F12" s="287">
        <f t="shared" si="1"/>
        <v>-78550.9915</v>
      </c>
    </row>
    <row r="13" s="224" customFormat="1" ht="27" customHeight="1" spans="1:6">
      <c r="A13" s="263" t="s">
        <v>2053</v>
      </c>
      <c r="B13" s="287">
        <f>'7 基金支出'!B11</f>
        <v>54900</v>
      </c>
      <c r="C13" s="285">
        <f t="shared" si="0"/>
        <v>-47249</v>
      </c>
      <c r="D13" s="285">
        <f>'7 基金支出'!D11</f>
        <v>7651</v>
      </c>
      <c r="E13" s="288">
        <v>2006</v>
      </c>
      <c r="F13" s="287">
        <f t="shared" si="1"/>
        <v>52894</v>
      </c>
    </row>
    <row r="14" s="224" customFormat="1" ht="27" customHeight="1" spans="1:6">
      <c r="A14" s="263" t="s">
        <v>2054</v>
      </c>
      <c r="B14" s="287">
        <v>0</v>
      </c>
      <c r="C14" s="285">
        <f t="shared" si="0"/>
        <v>254</v>
      </c>
      <c r="D14" s="285">
        <f>'7 基金支出'!D12</f>
        <v>254</v>
      </c>
      <c r="E14" s="288">
        <v>254</v>
      </c>
      <c r="F14" s="287">
        <f t="shared" si="1"/>
        <v>-254</v>
      </c>
    </row>
    <row r="15" s="224" customFormat="1" ht="27" customHeight="1" spans="1:6">
      <c r="A15" s="263" t="s">
        <v>2055</v>
      </c>
      <c r="B15" s="287">
        <f>'7 基金支出'!B13</f>
        <v>58855</v>
      </c>
      <c r="C15" s="285">
        <f t="shared" si="0"/>
        <v>-34455</v>
      </c>
      <c r="D15" s="285">
        <f>'7 基金支出'!D13</f>
        <v>24400</v>
      </c>
      <c r="E15" s="288">
        <v>24371</v>
      </c>
      <c r="F15" s="287">
        <f t="shared" si="1"/>
        <v>34484</v>
      </c>
    </row>
    <row r="16" s="224" customFormat="1" ht="30" customHeight="1" spans="1:6">
      <c r="A16" s="264" t="s">
        <v>2056</v>
      </c>
      <c r="B16" s="287">
        <f>'7 基金支出'!B14</f>
        <v>0</v>
      </c>
      <c r="C16" s="285">
        <f t="shared" si="0"/>
        <v>26738.827</v>
      </c>
      <c r="D16" s="285">
        <f>'7 基金支出'!D14</f>
        <v>26738.827</v>
      </c>
      <c r="E16" s="288"/>
      <c r="F16" s="287"/>
    </row>
    <row r="17" s="223" customFormat="1" ht="27" customHeight="1" spans="1:6">
      <c r="A17" s="289" t="s">
        <v>2057</v>
      </c>
      <c r="B17" s="290">
        <f>B5-B11</f>
        <v>-0.00849999999627471</v>
      </c>
      <c r="C17" s="290">
        <f ca="1">C5-C11</f>
        <v>0.0084999999980937</v>
      </c>
      <c r="D17" s="290">
        <f ca="1">D5-D11</f>
        <v>0</v>
      </c>
      <c r="E17" s="291">
        <f>E5-E11</f>
        <v>24613</v>
      </c>
      <c r="F17" s="284">
        <f>B17-E17</f>
        <v>-24613.0085</v>
      </c>
    </row>
    <row r="19" spans="2:4">
      <c r="B19" s="292"/>
      <c r="C19" s="292"/>
      <c r="D19" s="292"/>
    </row>
    <row r="20" spans="3:3">
      <c r="C20" s="293"/>
    </row>
  </sheetData>
  <mergeCells count="1">
    <mergeCell ref="A2:F2"/>
  </mergeCells>
  <printOptions horizontalCentered="1"/>
  <pageMargins left="0.751388888888889" right="0.751388888888889" top="0.904166666666667" bottom="0.904166666666667" header="0.507638888888889" footer="0.507638888888889"/>
  <pageSetup paperSize="9" firstPageNumber="10" orientation="landscape" useFirstPageNumber="1" horizontalDpi="600"/>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C196"/>
  <sheetViews>
    <sheetView workbookViewId="0">
      <selection activeCell="H26" sqref="H26"/>
    </sheetView>
  </sheetViews>
  <sheetFormatPr defaultColWidth="9" defaultRowHeight="13.5"/>
  <cols>
    <col min="1" max="1" width="32.725" style="227" customWidth="1"/>
    <col min="2" max="5" width="13" style="228" customWidth="1"/>
    <col min="6" max="6" width="12.625" style="228" hidden="1" customWidth="1"/>
    <col min="7" max="7" width="12.625" style="229" hidden="1" customWidth="1"/>
    <col min="8" max="8" width="12.6083333333333" style="229" customWidth="1"/>
    <col min="9" max="9" width="35.8583333333333" style="228" customWidth="1"/>
    <col min="10" max="10" width="9" style="230" customWidth="1"/>
    <col min="11" max="16383" width="9" style="230"/>
  </cols>
  <sheetData>
    <row r="1" ht="15.95" customHeight="1" spans="1:1">
      <c r="A1" s="231" t="s">
        <v>2058</v>
      </c>
    </row>
    <row r="2" s="220" customFormat="1" ht="24" spans="1:10">
      <c r="A2" s="232" t="s">
        <v>2059</v>
      </c>
      <c r="B2" s="232"/>
      <c r="C2" s="232"/>
      <c r="D2" s="232"/>
      <c r="E2" s="232"/>
      <c r="F2" s="232"/>
      <c r="G2" s="232"/>
      <c r="H2" s="232"/>
      <c r="I2" s="232"/>
      <c r="J2" s="270"/>
    </row>
    <row r="3" ht="21.95" customHeight="1" spans="1:9">
      <c r="A3" s="233"/>
      <c r="B3" s="234"/>
      <c r="C3" s="234"/>
      <c r="D3" s="234"/>
      <c r="E3" s="234"/>
      <c r="F3" s="234"/>
      <c r="H3" s="235"/>
      <c r="I3" s="271" t="s">
        <v>2042</v>
      </c>
    </row>
    <row r="4" s="221" customFormat="1" ht="30.75" customHeight="1" spans="1:9">
      <c r="A4" s="236" t="s">
        <v>70</v>
      </c>
      <c r="B4" s="237" t="s">
        <v>4</v>
      </c>
      <c r="C4" s="237" t="s">
        <v>5</v>
      </c>
      <c r="D4" s="237" t="s">
        <v>6</v>
      </c>
      <c r="E4" s="237" t="s">
        <v>2060</v>
      </c>
      <c r="F4" s="238" t="s">
        <v>2043</v>
      </c>
      <c r="G4" s="238" t="s">
        <v>2061</v>
      </c>
      <c r="H4" s="239" t="s">
        <v>74</v>
      </c>
      <c r="I4" s="237" t="s">
        <v>26</v>
      </c>
    </row>
    <row r="5" s="222" customFormat="1" ht="33" customHeight="1" spans="1:9">
      <c r="A5" s="236"/>
      <c r="B5" s="240"/>
      <c r="C5" s="240"/>
      <c r="D5" s="240"/>
      <c r="E5" s="240"/>
      <c r="F5" s="238"/>
      <c r="G5" s="238"/>
      <c r="H5" s="239"/>
      <c r="I5" s="240"/>
    </row>
    <row r="6" s="223" customFormat="1" ht="26.15" customHeight="1" spans="1:9">
      <c r="A6" s="241" t="s">
        <v>2062</v>
      </c>
      <c r="B6" s="242">
        <f>SUM(B7:B9,B12:B14)</f>
        <v>94680</v>
      </c>
      <c r="C6" s="242">
        <f>SUM(C7:C9,C12:C14)</f>
        <v>-53004.4</v>
      </c>
      <c r="D6" s="242">
        <f>SUM(D7:D9,D12:D14)</f>
        <v>41675.6</v>
      </c>
      <c r="E6" s="243">
        <f>D6/B6*100</f>
        <v>44.0173215040135</v>
      </c>
      <c r="F6" s="244">
        <f>SUM(F7:F9,F12:F14)</f>
        <v>46928</v>
      </c>
      <c r="G6" s="245">
        <f>SUM(G7:G9,G12:G14)</f>
        <v>-5252.4</v>
      </c>
      <c r="H6" s="246">
        <f>G6/F6*100</f>
        <v>-11.1924650528469</v>
      </c>
      <c r="I6" s="244"/>
    </row>
    <row r="7" s="224" customFormat="1" ht="26.15" customHeight="1" spans="1:9">
      <c r="A7" s="247" t="s">
        <v>2063</v>
      </c>
      <c r="B7" s="248">
        <v>500</v>
      </c>
      <c r="C7" s="249">
        <f>D7-B7</f>
        <v>835.84</v>
      </c>
      <c r="D7" s="248">
        <f>632+703.84</f>
        <v>1335.84</v>
      </c>
      <c r="E7" s="250">
        <f t="shared" ref="E7:E19" si="0">D7/B7*100</f>
        <v>267.168</v>
      </c>
      <c r="F7" s="251">
        <v>326</v>
      </c>
      <c r="G7" s="252">
        <f t="shared" ref="G7:G14" si="1">D7-F7</f>
        <v>1009.84</v>
      </c>
      <c r="H7" s="253">
        <f t="shared" ref="H7:H19" si="2">G7/F7*100</f>
        <v>309.766871165644</v>
      </c>
      <c r="I7" s="251"/>
    </row>
    <row r="8" s="224" customFormat="1" ht="26.15" customHeight="1" spans="1:10">
      <c r="A8" s="254" t="s">
        <v>2064</v>
      </c>
      <c r="B8" s="248">
        <v>20</v>
      </c>
      <c r="C8" s="249">
        <f t="shared" ref="C8:C14" si="3">D8-B8</f>
        <v>56.18</v>
      </c>
      <c r="D8" s="248">
        <f>38.6+37.58</f>
        <v>76.18</v>
      </c>
      <c r="E8" s="250">
        <f t="shared" si="0"/>
        <v>380.9</v>
      </c>
      <c r="F8" s="251">
        <v>62</v>
      </c>
      <c r="G8" s="252">
        <f t="shared" si="1"/>
        <v>14.18</v>
      </c>
      <c r="H8" s="253">
        <f t="shared" si="2"/>
        <v>22.8709677419355</v>
      </c>
      <c r="I8" s="251"/>
      <c r="J8" s="272"/>
    </row>
    <row r="9" s="224" customFormat="1" ht="26.15" customHeight="1" spans="1:9">
      <c r="A9" s="255" t="s">
        <v>2065</v>
      </c>
      <c r="B9" s="248">
        <f>B10+B11</f>
        <v>90480</v>
      </c>
      <c r="C9" s="248">
        <f>C10+C11</f>
        <v>-53093.42</v>
      </c>
      <c r="D9" s="248">
        <f>D10+D11</f>
        <v>37386.58</v>
      </c>
      <c r="E9" s="250">
        <f t="shared" si="0"/>
        <v>41.3202696728559</v>
      </c>
      <c r="F9" s="251">
        <f>F10+F11</f>
        <v>43902</v>
      </c>
      <c r="G9" s="252">
        <f t="shared" si="1"/>
        <v>-6515.42</v>
      </c>
      <c r="H9" s="253">
        <f t="shared" si="2"/>
        <v>-14.8408272971619</v>
      </c>
      <c r="I9" s="251"/>
    </row>
    <row r="10" s="224" customFormat="1" ht="26.15" customHeight="1" spans="1:9">
      <c r="A10" s="255" t="s">
        <v>2066</v>
      </c>
      <c r="B10" s="248">
        <v>75480</v>
      </c>
      <c r="C10" s="249">
        <f t="shared" si="3"/>
        <v>-40793.42</v>
      </c>
      <c r="D10" s="248">
        <f>30028-2000-703.84-37.58+7400</f>
        <v>34686.58</v>
      </c>
      <c r="E10" s="250">
        <f t="shared" si="0"/>
        <v>45.9546634870164</v>
      </c>
      <c r="F10" s="251">
        <v>23818</v>
      </c>
      <c r="G10" s="252">
        <f t="shared" si="1"/>
        <v>10868.58</v>
      </c>
      <c r="H10" s="253">
        <f t="shared" si="2"/>
        <v>45.6317910823747</v>
      </c>
      <c r="I10" s="251"/>
    </row>
    <row r="11" s="225" customFormat="1" ht="27" spans="1:9">
      <c r="A11" s="256" t="s">
        <v>2067</v>
      </c>
      <c r="B11" s="248">
        <v>15000</v>
      </c>
      <c r="C11" s="249">
        <f t="shared" si="3"/>
        <v>-12300</v>
      </c>
      <c r="D11" s="248">
        <v>2700</v>
      </c>
      <c r="E11" s="250">
        <f t="shared" si="0"/>
        <v>18</v>
      </c>
      <c r="F11" s="251">
        <v>20084</v>
      </c>
      <c r="G11" s="252">
        <f t="shared" si="1"/>
        <v>-17384</v>
      </c>
      <c r="H11" s="253">
        <f t="shared" si="2"/>
        <v>-86.5564628560048</v>
      </c>
      <c r="I11" s="251" t="s">
        <v>2068</v>
      </c>
    </row>
    <row r="12" s="224" customFormat="1" ht="26.15" customHeight="1" spans="1:9">
      <c r="A12" s="257" t="s">
        <v>2069</v>
      </c>
      <c r="B12" s="249">
        <v>2500</v>
      </c>
      <c r="C12" s="249">
        <f t="shared" si="3"/>
        <v>-837</v>
      </c>
      <c r="D12" s="248">
        <v>1663</v>
      </c>
      <c r="E12" s="250">
        <f t="shared" si="0"/>
        <v>66.52</v>
      </c>
      <c r="F12" s="258">
        <v>1318</v>
      </c>
      <c r="G12" s="252">
        <f t="shared" si="1"/>
        <v>345</v>
      </c>
      <c r="H12" s="253">
        <f t="shared" si="2"/>
        <v>26.1760242792109</v>
      </c>
      <c r="I12" s="258"/>
    </row>
    <row r="13" s="224" customFormat="1" ht="26.15" customHeight="1" spans="1:9">
      <c r="A13" s="257" t="s">
        <v>2070</v>
      </c>
      <c r="B13" s="249">
        <v>700</v>
      </c>
      <c r="C13" s="249">
        <f t="shared" si="3"/>
        <v>-36</v>
      </c>
      <c r="D13" s="248">
        <v>664</v>
      </c>
      <c r="E13" s="250">
        <f t="shared" si="0"/>
        <v>94.8571428571429</v>
      </c>
      <c r="F13" s="258">
        <v>918</v>
      </c>
      <c r="G13" s="252">
        <f t="shared" si="1"/>
        <v>-254</v>
      </c>
      <c r="H13" s="253">
        <f t="shared" si="2"/>
        <v>-27.6688453159041</v>
      </c>
      <c r="I13" s="258"/>
    </row>
    <row r="14" s="224" customFormat="1" ht="26.15" customHeight="1" spans="1:9">
      <c r="A14" s="257" t="s">
        <v>2071</v>
      </c>
      <c r="B14" s="249">
        <v>480</v>
      </c>
      <c r="C14" s="249">
        <f t="shared" si="3"/>
        <v>70</v>
      </c>
      <c r="D14" s="248">
        <v>550</v>
      </c>
      <c r="E14" s="250">
        <f t="shared" si="0"/>
        <v>114.583333333333</v>
      </c>
      <c r="F14" s="258">
        <v>402</v>
      </c>
      <c r="G14" s="252">
        <f t="shared" si="1"/>
        <v>148</v>
      </c>
      <c r="H14" s="253">
        <f t="shared" si="2"/>
        <v>36.81592039801</v>
      </c>
      <c r="I14" s="258"/>
    </row>
    <row r="15" s="224" customFormat="1" ht="26.15" customHeight="1" spans="1:9">
      <c r="A15" s="259" t="s">
        <v>2072</v>
      </c>
      <c r="B15" s="260">
        <f>SUM(B16:B19)</f>
        <v>47250</v>
      </c>
      <c r="C15" s="260">
        <f>SUM(C16:C19)</f>
        <v>63561.857</v>
      </c>
      <c r="D15" s="260">
        <f>SUM(D16:D19)</f>
        <v>110811.857</v>
      </c>
      <c r="E15" s="243">
        <f t="shared" si="0"/>
        <v>234.522448677249</v>
      </c>
      <c r="F15" s="261">
        <f>F16+F17+F19</f>
        <v>111042</v>
      </c>
      <c r="G15" s="262">
        <f>G16+G17+G19</f>
        <v>-26968.97</v>
      </c>
      <c r="H15" s="246">
        <f t="shared" si="2"/>
        <v>-24.2871796257272</v>
      </c>
      <c r="I15" s="261"/>
    </row>
    <row r="16" s="224" customFormat="1" ht="26.15" customHeight="1" spans="1:9">
      <c r="A16" s="263" t="s">
        <v>2073</v>
      </c>
      <c r="B16" s="249">
        <v>0</v>
      </c>
      <c r="C16" s="249">
        <f>D16-B16</f>
        <v>67000</v>
      </c>
      <c r="D16" s="249">
        <v>67000</v>
      </c>
      <c r="E16" s="250"/>
      <c r="F16" s="249">
        <v>83883</v>
      </c>
      <c r="G16" s="252">
        <f>D16-F16</f>
        <v>-16883</v>
      </c>
      <c r="H16" s="253">
        <f t="shared" si="2"/>
        <v>-20.1268433413207</v>
      </c>
      <c r="I16" s="258"/>
    </row>
    <row r="17" s="224" customFormat="1" ht="26.15" customHeight="1" spans="1:9">
      <c r="A17" s="263" t="s">
        <v>2074</v>
      </c>
      <c r="B17" s="249">
        <v>47250</v>
      </c>
      <c r="C17" s="249">
        <f>D17-B17</f>
        <v>-47250</v>
      </c>
      <c r="D17" s="249">
        <v>0</v>
      </c>
      <c r="E17" s="250">
        <f t="shared" si="0"/>
        <v>0</v>
      </c>
      <c r="F17" s="249">
        <v>0</v>
      </c>
      <c r="G17" s="252">
        <f>D17-F17</f>
        <v>0</v>
      </c>
      <c r="H17" s="253"/>
      <c r="I17" s="258" t="s">
        <v>2075</v>
      </c>
    </row>
    <row r="18" s="226" customFormat="1" ht="33" customHeight="1" spans="1:16383">
      <c r="A18" s="264" t="s">
        <v>2076</v>
      </c>
      <c r="B18" s="249">
        <v>0</v>
      </c>
      <c r="C18" s="249">
        <f>D18-B18</f>
        <v>26738.827</v>
      </c>
      <c r="D18" s="249">
        <v>26738.827</v>
      </c>
      <c r="E18" s="250"/>
      <c r="F18" s="249"/>
      <c r="G18" s="265"/>
      <c r="H18" s="266"/>
      <c r="I18" s="258" t="s">
        <v>2077</v>
      </c>
      <c r="J18" s="273"/>
      <c r="K18" s="273"/>
      <c r="L18" s="273"/>
      <c r="M18" s="273"/>
      <c r="N18" s="273"/>
      <c r="O18" s="273"/>
      <c r="P18" s="273"/>
      <c r="Q18" s="273"/>
      <c r="R18" s="273"/>
      <c r="S18" s="273"/>
      <c r="T18" s="273"/>
      <c r="U18" s="273"/>
      <c r="V18" s="273"/>
      <c r="W18" s="273"/>
      <c r="X18" s="273"/>
      <c r="Y18" s="273"/>
      <c r="Z18" s="273"/>
      <c r="AA18" s="273"/>
      <c r="AB18" s="273"/>
      <c r="AC18" s="273"/>
      <c r="AD18" s="273"/>
      <c r="AE18" s="273"/>
      <c r="AF18" s="273"/>
      <c r="AG18" s="273"/>
      <c r="AH18" s="273"/>
      <c r="AI18" s="273"/>
      <c r="AJ18" s="273"/>
      <c r="AK18" s="273"/>
      <c r="AL18" s="273"/>
      <c r="AM18" s="273"/>
      <c r="AN18" s="273"/>
      <c r="AO18" s="273"/>
      <c r="AP18" s="273"/>
      <c r="AQ18" s="273"/>
      <c r="AR18" s="273"/>
      <c r="AS18" s="273"/>
      <c r="AT18" s="273"/>
      <c r="AU18" s="273"/>
      <c r="AV18" s="273"/>
      <c r="AW18" s="273"/>
      <c r="AX18" s="273"/>
      <c r="AY18" s="273"/>
      <c r="AZ18" s="273"/>
      <c r="BA18" s="273"/>
      <c r="BB18" s="273"/>
      <c r="BC18" s="273"/>
      <c r="BD18" s="273"/>
      <c r="BE18" s="273"/>
      <c r="BF18" s="273"/>
      <c r="BG18" s="273"/>
      <c r="BH18" s="273"/>
      <c r="BI18" s="273"/>
      <c r="BJ18" s="273"/>
      <c r="BK18" s="273"/>
      <c r="BL18" s="273"/>
      <c r="BM18" s="273"/>
      <c r="BN18" s="273"/>
      <c r="BO18" s="273"/>
      <c r="BP18" s="273"/>
      <c r="BQ18" s="273"/>
      <c r="BR18" s="273"/>
      <c r="BS18" s="273"/>
      <c r="BT18" s="273"/>
      <c r="BU18" s="273"/>
      <c r="BV18" s="273"/>
      <c r="BW18" s="273"/>
      <c r="BX18" s="273"/>
      <c r="BY18" s="273"/>
      <c r="BZ18" s="273"/>
      <c r="CA18" s="273"/>
      <c r="CB18" s="273"/>
      <c r="CC18" s="273"/>
      <c r="CD18" s="273"/>
      <c r="CE18" s="273"/>
      <c r="CF18" s="273"/>
      <c r="CG18" s="273"/>
      <c r="CH18" s="273"/>
      <c r="CI18" s="273"/>
      <c r="CJ18" s="273"/>
      <c r="CK18" s="273"/>
      <c r="CL18" s="273"/>
      <c r="CM18" s="273"/>
      <c r="CN18" s="273"/>
      <c r="CO18" s="273"/>
      <c r="CP18" s="273"/>
      <c r="CQ18" s="273"/>
      <c r="CR18" s="273"/>
      <c r="CS18" s="273"/>
      <c r="CT18" s="273"/>
      <c r="CU18" s="273"/>
      <c r="CV18" s="273"/>
      <c r="CW18" s="273"/>
      <c r="CX18" s="273"/>
      <c r="CY18" s="273"/>
      <c r="CZ18" s="273"/>
      <c r="DA18" s="273"/>
      <c r="DB18" s="273"/>
      <c r="DC18" s="273"/>
      <c r="DD18" s="273"/>
      <c r="DE18" s="273"/>
      <c r="DF18" s="273"/>
      <c r="DG18" s="273"/>
      <c r="DH18" s="273"/>
      <c r="DI18" s="273"/>
      <c r="DJ18" s="273"/>
      <c r="DK18" s="273"/>
      <c r="DL18" s="273"/>
      <c r="DM18" s="273"/>
      <c r="DN18" s="273"/>
      <c r="DO18" s="273"/>
      <c r="DP18" s="273"/>
      <c r="DQ18" s="273"/>
      <c r="DR18" s="273"/>
      <c r="DS18" s="273"/>
      <c r="DT18" s="273"/>
      <c r="DU18" s="273"/>
      <c r="DV18" s="273"/>
      <c r="DW18" s="273"/>
      <c r="DX18" s="273"/>
      <c r="DY18" s="273"/>
      <c r="DZ18" s="273"/>
      <c r="EA18" s="273"/>
      <c r="EB18" s="273"/>
      <c r="EC18" s="273"/>
      <c r="ED18" s="273"/>
      <c r="EE18" s="273"/>
      <c r="EF18" s="273"/>
      <c r="EG18" s="273"/>
      <c r="EH18" s="273"/>
      <c r="EI18" s="273"/>
      <c r="EJ18" s="273"/>
      <c r="EK18" s="273"/>
      <c r="EL18" s="273"/>
      <c r="EM18" s="273"/>
      <c r="EN18" s="273"/>
      <c r="EO18" s="273"/>
      <c r="EP18" s="273"/>
      <c r="EQ18" s="273"/>
      <c r="ER18" s="273"/>
      <c r="ES18" s="273"/>
      <c r="ET18" s="273"/>
      <c r="EU18" s="273"/>
      <c r="EV18" s="273"/>
      <c r="EW18" s="273"/>
      <c r="EX18" s="273"/>
      <c r="EY18" s="273"/>
      <c r="EZ18" s="273"/>
      <c r="FA18" s="273"/>
      <c r="FB18" s="273"/>
      <c r="FC18" s="273"/>
      <c r="FD18" s="273"/>
      <c r="FE18" s="273"/>
      <c r="FF18" s="273"/>
      <c r="FG18" s="273"/>
      <c r="FH18" s="273"/>
      <c r="FI18" s="273"/>
      <c r="FJ18" s="273"/>
      <c r="FK18" s="273"/>
      <c r="FL18" s="273"/>
      <c r="FM18" s="273"/>
      <c r="FN18" s="273"/>
      <c r="FO18" s="273"/>
      <c r="FP18" s="273"/>
      <c r="FQ18" s="273"/>
      <c r="FR18" s="273"/>
      <c r="FS18" s="273"/>
      <c r="FT18" s="273"/>
      <c r="FU18" s="273"/>
      <c r="FV18" s="273"/>
      <c r="FW18" s="273"/>
      <c r="FX18" s="273"/>
      <c r="FY18" s="273"/>
      <c r="FZ18" s="273"/>
      <c r="GA18" s="273"/>
      <c r="GB18" s="273"/>
      <c r="GC18" s="273"/>
      <c r="GD18" s="273"/>
      <c r="GE18" s="273"/>
      <c r="GF18" s="273"/>
      <c r="GG18" s="273"/>
      <c r="GH18" s="273"/>
      <c r="GI18" s="273"/>
      <c r="GJ18" s="273"/>
      <c r="GK18" s="273"/>
      <c r="GL18" s="273"/>
      <c r="GM18" s="273"/>
      <c r="GN18" s="273"/>
      <c r="GO18" s="273"/>
      <c r="GP18" s="273"/>
      <c r="GQ18" s="273"/>
      <c r="GR18" s="273"/>
      <c r="GS18" s="273"/>
      <c r="GT18" s="273"/>
      <c r="GU18" s="273"/>
      <c r="GV18" s="273"/>
      <c r="GW18" s="273"/>
      <c r="GX18" s="273"/>
      <c r="GY18" s="273"/>
      <c r="GZ18" s="273"/>
      <c r="HA18" s="273"/>
      <c r="HB18" s="273"/>
      <c r="HC18" s="273"/>
      <c r="HD18" s="273"/>
      <c r="HE18" s="273"/>
      <c r="HF18" s="273"/>
      <c r="HG18" s="273"/>
      <c r="HH18" s="273"/>
      <c r="HI18" s="273"/>
      <c r="HJ18" s="273"/>
      <c r="HK18" s="273"/>
      <c r="HL18" s="273"/>
      <c r="HM18" s="273"/>
      <c r="HN18" s="273"/>
      <c r="HO18" s="273"/>
      <c r="HP18" s="273"/>
      <c r="HQ18" s="273"/>
      <c r="HR18" s="273"/>
      <c r="HS18" s="273"/>
      <c r="HT18" s="273"/>
      <c r="HU18" s="273"/>
      <c r="HV18" s="273"/>
      <c r="HW18" s="273"/>
      <c r="HX18" s="273"/>
      <c r="HY18" s="273"/>
      <c r="HZ18" s="273"/>
      <c r="IA18" s="273"/>
      <c r="IB18" s="273"/>
      <c r="IC18" s="273"/>
      <c r="ID18" s="273"/>
      <c r="IE18" s="273"/>
      <c r="IF18" s="273"/>
      <c r="IG18" s="273"/>
      <c r="IH18" s="273"/>
      <c r="II18" s="273"/>
      <c r="IJ18" s="273"/>
      <c r="IK18" s="273"/>
      <c r="IL18" s="273"/>
      <c r="IM18" s="273"/>
      <c r="IN18" s="273"/>
      <c r="IO18" s="273"/>
      <c r="IP18" s="273"/>
      <c r="IQ18" s="273"/>
      <c r="IR18" s="273"/>
      <c r="IS18" s="273"/>
      <c r="IT18" s="273"/>
      <c r="IU18" s="273"/>
      <c r="IV18" s="273"/>
      <c r="IW18" s="273"/>
      <c r="IX18" s="273"/>
      <c r="IY18" s="273"/>
      <c r="IZ18" s="273"/>
      <c r="JA18" s="273"/>
      <c r="JB18" s="273"/>
      <c r="JC18" s="273"/>
      <c r="JD18" s="273"/>
      <c r="JE18" s="273"/>
      <c r="JF18" s="273"/>
      <c r="JG18" s="273"/>
      <c r="JH18" s="273"/>
      <c r="JI18" s="273"/>
      <c r="JJ18" s="273"/>
      <c r="JK18" s="273"/>
      <c r="JL18" s="273"/>
      <c r="JM18" s="273"/>
      <c r="JN18" s="273"/>
      <c r="JO18" s="273"/>
      <c r="JP18" s="273"/>
      <c r="JQ18" s="273"/>
      <c r="JR18" s="273"/>
      <c r="JS18" s="273"/>
      <c r="JT18" s="273"/>
      <c r="JU18" s="273"/>
      <c r="JV18" s="273"/>
      <c r="JW18" s="273"/>
      <c r="JX18" s="273"/>
      <c r="JY18" s="273"/>
      <c r="JZ18" s="273"/>
      <c r="KA18" s="273"/>
      <c r="KB18" s="273"/>
      <c r="KC18" s="273"/>
      <c r="KD18" s="273"/>
      <c r="KE18" s="273"/>
      <c r="KF18" s="273"/>
      <c r="KG18" s="273"/>
      <c r="KH18" s="273"/>
      <c r="KI18" s="273"/>
      <c r="KJ18" s="273"/>
      <c r="KK18" s="273"/>
      <c r="KL18" s="273"/>
      <c r="KM18" s="273"/>
      <c r="KN18" s="273"/>
      <c r="KO18" s="273"/>
      <c r="KP18" s="273"/>
      <c r="KQ18" s="273"/>
      <c r="KR18" s="273"/>
      <c r="KS18" s="273"/>
      <c r="KT18" s="273"/>
      <c r="KU18" s="273"/>
      <c r="KV18" s="273"/>
      <c r="KW18" s="273"/>
      <c r="KX18" s="273"/>
      <c r="KY18" s="273"/>
      <c r="KZ18" s="273"/>
      <c r="LA18" s="273"/>
      <c r="LB18" s="273"/>
      <c r="LC18" s="273"/>
      <c r="LD18" s="273"/>
      <c r="LE18" s="273"/>
      <c r="LF18" s="273"/>
      <c r="LG18" s="273"/>
      <c r="LH18" s="273"/>
      <c r="LI18" s="273"/>
      <c r="LJ18" s="273"/>
      <c r="LK18" s="273"/>
      <c r="LL18" s="273"/>
      <c r="LM18" s="273"/>
      <c r="LN18" s="273"/>
      <c r="LO18" s="273"/>
      <c r="LP18" s="273"/>
      <c r="LQ18" s="273"/>
      <c r="LR18" s="273"/>
      <c r="LS18" s="273"/>
      <c r="LT18" s="273"/>
      <c r="LU18" s="273"/>
      <c r="LV18" s="273"/>
      <c r="LW18" s="273"/>
      <c r="LX18" s="273"/>
      <c r="LY18" s="273"/>
      <c r="LZ18" s="273"/>
      <c r="MA18" s="273"/>
      <c r="MB18" s="273"/>
      <c r="MC18" s="273"/>
      <c r="MD18" s="273"/>
      <c r="ME18" s="273"/>
      <c r="MF18" s="273"/>
      <c r="MG18" s="273"/>
      <c r="MH18" s="273"/>
      <c r="MI18" s="273"/>
      <c r="MJ18" s="273"/>
      <c r="MK18" s="273"/>
      <c r="ML18" s="273"/>
      <c r="MM18" s="273"/>
      <c r="MN18" s="273"/>
      <c r="MO18" s="273"/>
      <c r="MP18" s="273"/>
      <c r="MQ18" s="273"/>
      <c r="MR18" s="273"/>
      <c r="MS18" s="273"/>
      <c r="MT18" s="273"/>
      <c r="MU18" s="273"/>
      <c r="MV18" s="273"/>
      <c r="MW18" s="273"/>
      <c r="MX18" s="273"/>
      <c r="MY18" s="273"/>
      <c r="MZ18" s="273"/>
      <c r="NA18" s="273"/>
      <c r="NB18" s="273"/>
      <c r="NC18" s="273"/>
      <c r="ND18" s="273"/>
      <c r="NE18" s="273"/>
      <c r="NF18" s="273"/>
      <c r="NG18" s="273"/>
      <c r="NH18" s="273"/>
      <c r="NI18" s="273"/>
      <c r="NJ18" s="273"/>
      <c r="NK18" s="273"/>
      <c r="NL18" s="273"/>
      <c r="NM18" s="273"/>
      <c r="NN18" s="273"/>
      <c r="NO18" s="273"/>
      <c r="NP18" s="273"/>
      <c r="NQ18" s="273"/>
      <c r="NR18" s="273"/>
      <c r="NS18" s="273"/>
      <c r="NT18" s="273"/>
      <c r="NU18" s="273"/>
      <c r="NV18" s="273"/>
      <c r="NW18" s="273"/>
      <c r="NX18" s="273"/>
      <c r="NY18" s="273"/>
      <c r="NZ18" s="273"/>
      <c r="OA18" s="273"/>
      <c r="OB18" s="273"/>
      <c r="OC18" s="273"/>
      <c r="OD18" s="273"/>
      <c r="OE18" s="273"/>
      <c r="OF18" s="273"/>
      <c r="OG18" s="273"/>
      <c r="OH18" s="273"/>
      <c r="OI18" s="273"/>
      <c r="OJ18" s="273"/>
      <c r="OK18" s="273"/>
      <c r="OL18" s="273"/>
      <c r="OM18" s="273"/>
      <c r="ON18" s="273"/>
      <c r="OO18" s="273"/>
      <c r="OP18" s="273"/>
      <c r="OQ18" s="273"/>
      <c r="OR18" s="273"/>
      <c r="OS18" s="273"/>
      <c r="OT18" s="273"/>
      <c r="OU18" s="273"/>
      <c r="OV18" s="273"/>
      <c r="OW18" s="273"/>
      <c r="OX18" s="273"/>
      <c r="OY18" s="273"/>
      <c r="OZ18" s="273"/>
      <c r="PA18" s="273"/>
      <c r="PB18" s="273"/>
      <c r="PC18" s="273"/>
      <c r="PD18" s="273"/>
      <c r="PE18" s="273"/>
      <c r="PF18" s="273"/>
      <c r="PG18" s="273"/>
      <c r="PH18" s="273"/>
      <c r="PI18" s="273"/>
      <c r="PJ18" s="273"/>
      <c r="PK18" s="273"/>
      <c r="PL18" s="273"/>
      <c r="PM18" s="273"/>
      <c r="PN18" s="273"/>
      <c r="PO18" s="273"/>
      <c r="PP18" s="273"/>
      <c r="PQ18" s="273"/>
      <c r="PR18" s="273"/>
      <c r="PS18" s="273"/>
      <c r="PT18" s="273"/>
      <c r="PU18" s="273"/>
      <c r="PV18" s="273"/>
      <c r="PW18" s="273"/>
      <c r="PX18" s="273"/>
      <c r="PY18" s="273"/>
      <c r="PZ18" s="273"/>
      <c r="QA18" s="273"/>
      <c r="QB18" s="273"/>
      <c r="QC18" s="273"/>
      <c r="QD18" s="273"/>
      <c r="QE18" s="273"/>
      <c r="QF18" s="273"/>
      <c r="QG18" s="273"/>
      <c r="QH18" s="273"/>
      <c r="QI18" s="273"/>
      <c r="QJ18" s="273"/>
      <c r="QK18" s="273"/>
      <c r="QL18" s="273"/>
      <c r="QM18" s="273"/>
      <c r="QN18" s="273"/>
      <c r="QO18" s="273"/>
      <c r="QP18" s="273"/>
      <c r="QQ18" s="273"/>
      <c r="QR18" s="273"/>
      <c r="QS18" s="273"/>
      <c r="QT18" s="273"/>
      <c r="QU18" s="273"/>
      <c r="QV18" s="273"/>
      <c r="QW18" s="273"/>
      <c r="QX18" s="273"/>
      <c r="QY18" s="273"/>
      <c r="QZ18" s="273"/>
      <c r="RA18" s="273"/>
      <c r="RB18" s="273"/>
      <c r="RC18" s="273"/>
      <c r="RD18" s="273"/>
      <c r="RE18" s="273"/>
      <c r="RF18" s="273"/>
      <c r="RG18" s="273"/>
      <c r="RH18" s="273"/>
      <c r="RI18" s="273"/>
      <c r="RJ18" s="273"/>
      <c r="RK18" s="273"/>
      <c r="RL18" s="273"/>
      <c r="RM18" s="273"/>
      <c r="RN18" s="273"/>
      <c r="RO18" s="273"/>
      <c r="RP18" s="273"/>
      <c r="RQ18" s="273"/>
      <c r="RR18" s="273"/>
      <c r="RS18" s="273"/>
      <c r="RT18" s="273"/>
      <c r="RU18" s="273"/>
      <c r="RV18" s="273"/>
      <c r="RW18" s="273"/>
      <c r="RX18" s="273"/>
      <c r="RY18" s="273"/>
      <c r="RZ18" s="273"/>
      <c r="SA18" s="273"/>
      <c r="SB18" s="273"/>
      <c r="SC18" s="273"/>
      <c r="SD18" s="273"/>
      <c r="SE18" s="273"/>
      <c r="SF18" s="273"/>
      <c r="SG18" s="273"/>
      <c r="SH18" s="273"/>
      <c r="SI18" s="273"/>
      <c r="SJ18" s="273"/>
      <c r="SK18" s="273"/>
      <c r="SL18" s="273"/>
      <c r="SM18" s="273"/>
      <c r="SN18" s="273"/>
      <c r="SO18" s="273"/>
      <c r="SP18" s="273"/>
      <c r="SQ18" s="273"/>
      <c r="SR18" s="273"/>
      <c r="SS18" s="273"/>
      <c r="ST18" s="273"/>
      <c r="SU18" s="273"/>
      <c r="SV18" s="273"/>
      <c r="SW18" s="273"/>
      <c r="SX18" s="273"/>
      <c r="SY18" s="273"/>
      <c r="SZ18" s="273"/>
      <c r="TA18" s="273"/>
      <c r="TB18" s="273"/>
      <c r="TC18" s="273"/>
      <c r="TD18" s="273"/>
      <c r="TE18" s="273"/>
      <c r="TF18" s="273"/>
      <c r="TG18" s="273"/>
      <c r="TH18" s="273"/>
      <c r="TI18" s="273"/>
      <c r="TJ18" s="273"/>
      <c r="TK18" s="273"/>
      <c r="TL18" s="273"/>
      <c r="TM18" s="273"/>
      <c r="TN18" s="273"/>
      <c r="TO18" s="273"/>
      <c r="TP18" s="273"/>
      <c r="TQ18" s="273"/>
      <c r="TR18" s="273"/>
      <c r="TS18" s="273"/>
      <c r="TT18" s="273"/>
      <c r="TU18" s="273"/>
      <c r="TV18" s="273"/>
      <c r="TW18" s="273"/>
      <c r="TX18" s="273"/>
      <c r="TY18" s="273"/>
      <c r="TZ18" s="273"/>
      <c r="UA18" s="273"/>
      <c r="UB18" s="273"/>
      <c r="UC18" s="273"/>
      <c r="UD18" s="273"/>
      <c r="UE18" s="273"/>
      <c r="UF18" s="273"/>
      <c r="UG18" s="273"/>
      <c r="UH18" s="273"/>
      <c r="UI18" s="273"/>
      <c r="UJ18" s="273"/>
      <c r="UK18" s="273"/>
      <c r="UL18" s="273"/>
      <c r="UM18" s="273"/>
      <c r="UN18" s="273"/>
      <c r="UO18" s="273"/>
      <c r="UP18" s="273"/>
      <c r="UQ18" s="273"/>
      <c r="UR18" s="273"/>
      <c r="US18" s="273"/>
      <c r="UT18" s="273"/>
      <c r="UU18" s="273"/>
      <c r="UV18" s="273"/>
      <c r="UW18" s="273"/>
      <c r="UX18" s="273"/>
      <c r="UY18" s="273"/>
      <c r="UZ18" s="273"/>
      <c r="VA18" s="273"/>
      <c r="VB18" s="273"/>
      <c r="VC18" s="273"/>
      <c r="VD18" s="273"/>
      <c r="VE18" s="273"/>
      <c r="VF18" s="273"/>
      <c r="VG18" s="273"/>
      <c r="VH18" s="273"/>
      <c r="VI18" s="273"/>
      <c r="VJ18" s="273"/>
      <c r="VK18" s="273"/>
      <c r="VL18" s="273"/>
      <c r="VM18" s="273"/>
      <c r="VN18" s="273"/>
      <c r="VO18" s="273"/>
      <c r="VP18" s="273"/>
      <c r="VQ18" s="273"/>
      <c r="VR18" s="273"/>
      <c r="VS18" s="273"/>
      <c r="VT18" s="273"/>
      <c r="VU18" s="273"/>
      <c r="VV18" s="273"/>
      <c r="VW18" s="273"/>
      <c r="VX18" s="273"/>
      <c r="VY18" s="273"/>
      <c r="VZ18" s="273"/>
      <c r="WA18" s="273"/>
      <c r="WB18" s="273"/>
      <c r="WC18" s="273"/>
      <c r="WD18" s="273"/>
      <c r="WE18" s="273"/>
      <c r="WF18" s="273"/>
      <c r="WG18" s="273"/>
      <c r="WH18" s="273"/>
      <c r="WI18" s="273"/>
      <c r="WJ18" s="273"/>
      <c r="WK18" s="273"/>
      <c r="WL18" s="273"/>
      <c r="WM18" s="273"/>
      <c r="WN18" s="273"/>
      <c r="WO18" s="273"/>
      <c r="WP18" s="273"/>
      <c r="WQ18" s="273"/>
      <c r="WR18" s="273"/>
      <c r="WS18" s="273"/>
      <c r="WT18" s="273"/>
      <c r="WU18" s="273"/>
      <c r="WV18" s="273"/>
      <c r="WW18" s="273"/>
      <c r="WX18" s="273"/>
      <c r="WY18" s="273"/>
      <c r="WZ18" s="273"/>
      <c r="XA18" s="273"/>
      <c r="XB18" s="273"/>
      <c r="XC18" s="273"/>
      <c r="XD18" s="273"/>
      <c r="XE18" s="273"/>
      <c r="XF18" s="273"/>
      <c r="XG18" s="273"/>
      <c r="XH18" s="273"/>
      <c r="XI18" s="273"/>
      <c r="XJ18" s="273"/>
      <c r="XK18" s="273"/>
      <c r="XL18" s="273"/>
      <c r="XM18" s="273"/>
      <c r="XN18" s="273"/>
      <c r="XO18" s="273"/>
      <c r="XP18" s="273"/>
      <c r="XQ18" s="273"/>
      <c r="XR18" s="273"/>
      <c r="XS18" s="273"/>
      <c r="XT18" s="273"/>
      <c r="XU18" s="273"/>
      <c r="XV18" s="273"/>
      <c r="XW18" s="273"/>
      <c r="XX18" s="273"/>
      <c r="XY18" s="273"/>
      <c r="XZ18" s="273"/>
      <c r="YA18" s="273"/>
      <c r="YB18" s="273"/>
      <c r="YC18" s="273"/>
      <c r="YD18" s="273"/>
      <c r="YE18" s="273"/>
      <c r="YF18" s="273"/>
      <c r="YG18" s="273"/>
      <c r="YH18" s="273"/>
      <c r="YI18" s="273"/>
      <c r="YJ18" s="273"/>
      <c r="YK18" s="273"/>
      <c r="YL18" s="273"/>
      <c r="YM18" s="273"/>
      <c r="YN18" s="273"/>
      <c r="YO18" s="273"/>
      <c r="YP18" s="273"/>
      <c r="YQ18" s="273"/>
      <c r="YR18" s="273"/>
      <c r="YS18" s="273"/>
      <c r="YT18" s="273"/>
      <c r="YU18" s="273"/>
      <c r="YV18" s="273"/>
      <c r="YW18" s="273"/>
      <c r="YX18" s="273"/>
      <c r="YY18" s="273"/>
      <c r="YZ18" s="273"/>
      <c r="ZA18" s="273"/>
      <c r="ZB18" s="273"/>
      <c r="ZC18" s="273"/>
      <c r="ZD18" s="273"/>
      <c r="ZE18" s="273"/>
      <c r="ZF18" s="273"/>
      <c r="ZG18" s="273"/>
      <c r="ZH18" s="273"/>
      <c r="ZI18" s="273"/>
      <c r="ZJ18" s="273"/>
      <c r="ZK18" s="273"/>
      <c r="ZL18" s="273"/>
      <c r="ZM18" s="273"/>
      <c r="ZN18" s="273"/>
      <c r="ZO18" s="273"/>
      <c r="ZP18" s="273"/>
      <c r="ZQ18" s="273"/>
      <c r="ZR18" s="273"/>
      <c r="ZS18" s="273"/>
      <c r="ZT18" s="273"/>
      <c r="ZU18" s="273"/>
      <c r="ZV18" s="273"/>
      <c r="ZW18" s="273"/>
      <c r="ZX18" s="273"/>
      <c r="ZY18" s="273"/>
      <c r="ZZ18" s="273"/>
      <c r="AAA18" s="273"/>
      <c r="AAB18" s="273"/>
      <c r="AAC18" s="273"/>
      <c r="AAD18" s="273"/>
      <c r="AAE18" s="273"/>
      <c r="AAF18" s="273"/>
      <c r="AAG18" s="273"/>
      <c r="AAH18" s="273"/>
      <c r="AAI18" s="273"/>
      <c r="AAJ18" s="273"/>
      <c r="AAK18" s="273"/>
      <c r="AAL18" s="273"/>
      <c r="AAM18" s="273"/>
      <c r="AAN18" s="273"/>
      <c r="AAO18" s="273"/>
      <c r="AAP18" s="273"/>
      <c r="AAQ18" s="273"/>
      <c r="AAR18" s="273"/>
      <c r="AAS18" s="273"/>
      <c r="AAT18" s="273"/>
      <c r="AAU18" s="273"/>
      <c r="AAV18" s="273"/>
      <c r="AAW18" s="273"/>
      <c r="AAX18" s="273"/>
      <c r="AAY18" s="273"/>
      <c r="AAZ18" s="273"/>
      <c r="ABA18" s="273"/>
      <c r="ABB18" s="273"/>
      <c r="ABC18" s="273"/>
      <c r="ABD18" s="273"/>
      <c r="ABE18" s="273"/>
      <c r="ABF18" s="273"/>
      <c r="ABG18" s="273"/>
      <c r="ABH18" s="273"/>
      <c r="ABI18" s="273"/>
      <c r="ABJ18" s="273"/>
      <c r="ABK18" s="273"/>
      <c r="ABL18" s="273"/>
      <c r="ABM18" s="273"/>
      <c r="ABN18" s="273"/>
      <c r="ABO18" s="273"/>
      <c r="ABP18" s="273"/>
      <c r="ABQ18" s="273"/>
      <c r="ABR18" s="273"/>
      <c r="ABS18" s="273"/>
      <c r="ABT18" s="273"/>
      <c r="ABU18" s="273"/>
      <c r="ABV18" s="273"/>
      <c r="ABW18" s="273"/>
      <c r="ABX18" s="273"/>
      <c r="ABY18" s="273"/>
      <c r="ABZ18" s="273"/>
      <c r="ACA18" s="273"/>
      <c r="ACB18" s="273"/>
      <c r="ACC18" s="273"/>
      <c r="ACD18" s="273"/>
      <c r="ACE18" s="273"/>
      <c r="ACF18" s="273"/>
      <c r="ACG18" s="273"/>
      <c r="ACH18" s="273"/>
      <c r="ACI18" s="273"/>
      <c r="ACJ18" s="273"/>
      <c r="ACK18" s="273"/>
      <c r="ACL18" s="273"/>
      <c r="ACM18" s="273"/>
      <c r="ACN18" s="273"/>
      <c r="ACO18" s="273"/>
      <c r="ACP18" s="273"/>
      <c r="ACQ18" s="273"/>
      <c r="ACR18" s="273"/>
      <c r="ACS18" s="273"/>
      <c r="ACT18" s="273"/>
      <c r="ACU18" s="273"/>
      <c r="ACV18" s="273"/>
      <c r="ACW18" s="273"/>
      <c r="ACX18" s="273"/>
      <c r="ACY18" s="273"/>
      <c r="ACZ18" s="273"/>
      <c r="ADA18" s="273"/>
      <c r="ADB18" s="273"/>
      <c r="ADC18" s="273"/>
      <c r="ADD18" s="273"/>
      <c r="ADE18" s="273"/>
      <c r="ADF18" s="273"/>
      <c r="ADG18" s="273"/>
      <c r="ADH18" s="273"/>
      <c r="ADI18" s="273"/>
      <c r="ADJ18" s="273"/>
      <c r="ADK18" s="273"/>
      <c r="ADL18" s="273"/>
      <c r="ADM18" s="273"/>
      <c r="ADN18" s="273"/>
      <c r="ADO18" s="273"/>
      <c r="ADP18" s="273"/>
      <c r="ADQ18" s="273"/>
      <c r="ADR18" s="273"/>
      <c r="ADS18" s="273"/>
      <c r="ADT18" s="273"/>
      <c r="ADU18" s="273"/>
      <c r="ADV18" s="273"/>
      <c r="ADW18" s="273"/>
      <c r="ADX18" s="273"/>
      <c r="ADY18" s="273"/>
      <c r="ADZ18" s="273"/>
      <c r="AEA18" s="273"/>
      <c r="AEB18" s="273"/>
      <c r="AEC18" s="273"/>
      <c r="AED18" s="273"/>
      <c r="AEE18" s="273"/>
      <c r="AEF18" s="273"/>
      <c r="AEG18" s="273"/>
      <c r="AEH18" s="273"/>
      <c r="AEI18" s="273"/>
      <c r="AEJ18" s="273"/>
      <c r="AEK18" s="273"/>
      <c r="AEL18" s="273"/>
      <c r="AEM18" s="273"/>
      <c r="AEN18" s="273"/>
      <c r="AEO18" s="273"/>
      <c r="AEP18" s="273"/>
      <c r="AEQ18" s="273"/>
      <c r="AER18" s="273"/>
      <c r="AES18" s="273"/>
      <c r="AET18" s="273"/>
      <c r="AEU18" s="273"/>
      <c r="AEV18" s="273"/>
      <c r="AEW18" s="273"/>
      <c r="AEX18" s="273"/>
      <c r="AEY18" s="273"/>
      <c r="AEZ18" s="273"/>
      <c r="AFA18" s="273"/>
      <c r="AFB18" s="273"/>
      <c r="AFC18" s="273"/>
      <c r="AFD18" s="273"/>
      <c r="AFE18" s="273"/>
      <c r="AFF18" s="273"/>
      <c r="AFG18" s="273"/>
      <c r="AFH18" s="273"/>
      <c r="AFI18" s="273"/>
      <c r="AFJ18" s="273"/>
      <c r="AFK18" s="273"/>
      <c r="AFL18" s="273"/>
      <c r="AFM18" s="273"/>
      <c r="AFN18" s="273"/>
      <c r="AFO18" s="273"/>
      <c r="AFP18" s="273"/>
      <c r="AFQ18" s="273"/>
      <c r="AFR18" s="273"/>
      <c r="AFS18" s="273"/>
      <c r="AFT18" s="273"/>
      <c r="AFU18" s="273"/>
      <c r="AFV18" s="273"/>
      <c r="AFW18" s="273"/>
      <c r="AFX18" s="273"/>
      <c r="AFY18" s="273"/>
      <c r="AFZ18" s="273"/>
      <c r="AGA18" s="273"/>
      <c r="AGB18" s="273"/>
      <c r="AGC18" s="273"/>
      <c r="AGD18" s="273"/>
      <c r="AGE18" s="273"/>
      <c r="AGF18" s="273"/>
      <c r="AGG18" s="273"/>
      <c r="AGH18" s="273"/>
      <c r="AGI18" s="273"/>
      <c r="AGJ18" s="273"/>
      <c r="AGK18" s="273"/>
      <c r="AGL18" s="273"/>
      <c r="AGM18" s="273"/>
      <c r="AGN18" s="273"/>
      <c r="AGO18" s="273"/>
      <c r="AGP18" s="273"/>
      <c r="AGQ18" s="273"/>
      <c r="AGR18" s="273"/>
      <c r="AGS18" s="273"/>
      <c r="AGT18" s="273"/>
      <c r="AGU18" s="273"/>
      <c r="AGV18" s="273"/>
      <c r="AGW18" s="273"/>
      <c r="AGX18" s="273"/>
      <c r="AGY18" s="273"/>
      <c r="AGZ18" s="273"/>
      <c r="AHA18" s="273"/>
      <c r="AHB18" s="273"/>
      <c r="AHC18" s="273"/>
      <c r="AHD18" s="273"/>
      <c r="AHE18" s="273"/>
      <c r="AHF18" s="273"/>
      <c r="AHG18" s="273"/>
      <c r="AHH18" s="273"/>
      <c r="AHI18" s="273"/>
      <c r="AHJ18" s="273"/>
      <c r="AHK18" s="273"/>
      <c r="AHL18" s="273"/>
      <c r="AHM18" s="273"/>
      <c r="AHN18" s="273"/>
      <c r="AHO18" s="273"/>
      <c r="AHP18" s="273"/>
      <c r="AHQ18" s="273"/>
      <c r="AHR18" s="273"/>
      <c r="AHS18" s="273"/>
      <c r="AHT18" s="273"/>
      <c r="AHU18" s="273"/>
      <c r="AHV18" s="273"/>
      <c r="AHW18" s="273"/>
      <c r="AHX18" s="273"/>
      <c r="AHY18" s="273"/>
      <c r="AHZ18" s="273"/>
      <c r="AIA18" s="273"/>
      <c r="AIB18" s="273"/>
      <c r="AIC18" s="273"/>
      <c r="AID18" s="273"/>
      <c r="AIE18" s="273"/>
      <c r="AIF18" s="273"/>
      <c r="AIG18" s="273"/>
      <c r="AIH18" s="273"/>
      <c r="AII18" s="273"/>
      <c r="AIJ18" s="273"/>
      <c r="AIK18" s="273"/>
      <c r="AIL18" s="273"/>
      <c r="AIM18" s="273"/>
      <c r="AIN18" s="273"/>
      <c r="AIO18" s="273"/>
      <c r="AIP18" s="273"/>
      <c r="AIQ18" s="273"/>
      <c r="AIR18" s="273"/>
      <c r="AIS18" s="273"/>
      <c r="AIT18" s="273"/>
      <c r="AIU18" s="273"/>
      <c r="AIV18" s="273"/>
      <c r="AIW18" s="273"/>
      <c r="AIX18" s="273"/>
      <c r="AIY18" s="273"/>
      <c r="AIZ18" s="273"/>
      <c r="AJA18" s="273"/>
      <c r="AJB18" s="273"/>
      <c r="AJC18" s="273"/>
      <c r="AJD18" s="273"/>
      <c r="AJE18" s="273"/>
      <c r="AJF18" s="273"/>
      <c r="AJG18" s="273"/>
      <c r="AJH18" s="273"/>
      <c r="AJI18" s="273"/>
      <c r="AJJ18" s="273"/>
      <c r="AJK18" s="273"/>
      <c r="AJL18" s="273"/>
      <c r="AJM18" s="273"/>
      <c r="AJN18" s="273"/>
      <c r="AJO18" s="273"/>
      <c r="AJP18" s="273"/>
      <c r="AJQ18" s="273"/>
      <c r="AJR18" s="273"/>
      <c r="AJS18" s="273"/>
      <c r="AJT18" s="273"/>
      <c r="AJU18" s="273"/>
      <c r="AJV18" s="273"/>
      <c r="AJW18" s="273"/>
      <c r="AJX18" s="273"/>
      <c r="AJY18" s="273"/>
      <c r="AJZ18" s="273"/>
      <c r="AKA18" s="273"/>
      <c r="AKB18" s="273"/>
      <c r="AKC18" s="273"/>
      <c r="AKD18" s="273"/>
      <c r="AKE18" s="273"/>
      <c r="AKF18" s="273"/>
      <c r="AKG18" s="273"/>
      <c r="AKH18" s="273"/>
      <c r="AKI18" s="273"/>
      <c r="AKJ18" s="273"/>
      <c r="AKK18" s="273"/>
      <c r="AKL18" s="273"/>
      <c r="AKM18" s="273"/>
      <c r="AKN18" s="273"/>
      <c r="AKO18" s="273"/>
      <c r="AKP18" s="273"/>
      <c r="AKQ18" s="273"/>
      <c r="AKR18" s="273"/>
      <c r="AKS18" s="273"/>
      <c r="AKT18" s="273"/>
      <c r="AKU18" s="273"/>
      <c r="AKV18" s="273"/>
      <c r="AKW18" s="273"/>
      <c r="AKX18" s="273"/>
      <c r="AKY18" s="273"/>
      <c r="AKZ18" s="273"/>
      <c r="ALA18" s="273"/>
      <c r="ALB18" s="273"/>
      <c r="ALC18" s="273"/>
      <c r="ALD18" s="273"/>
      <c r="ALE18" s="273"/>
      <c r="ALF18" s="273"/>
      <c r="ALG18" s="273"/>
      <c r="ALH18" s="273"/>
      <c r="ALI18" s="273"/>
      <c r="ALJ18" s="273"/>
      <c r="ALK18" s="273"/>
      <c r="ALL18" s="273"/>
      <c r="ALM18" s="273"/>
      <c r="ALN18" s="273"/>
      <c r="ALO18" s="273"/>
      <c r="ALP18" s="273"/>
      <c r="ALQ18" s="273"/>
      <c r="ALR18" s="273"/>
      <c r="ALS18" s="273"/>
      <c r="ALT18" s="273"/>
      <c r="ALU18" s="273"/>
      <c r="ALV18" s="273"/>
      <c r="ALW18" s="273"/>
      <c r="ALX18" s="273"/>
      <c r="ALY18" s="273"/>
      <c r="ALZ18" s="273"/>
      <c r="AMA18" s="273"/>
      <c r="AMB18" s="273"/>
      <c r="AMC18" s="273"/>
      <c r="AMD18" s="273"/>
      <c r="AME18" s="273"/>
      <c r="AMF18" s="273"/>
      <c r="AMG18" s="273"/>
      <c r="AMH18" s="273"/>
      <c r="AMI18" s="273"/>
      <c r="AMJ18" s="273"/>
      <c r="AMK18" s="273"/>
      <c r="AML18" s="273"/>
      <c r="AMM18" s="273"/>
      <c r="AMN18" s="273"/>
      <c r="AMO18" s="273"/>
      <c r="AMP18" s="273"/>
      <c r="AMQ18" s="273"/>
      <c r="AMR18" s="273"/>
      <c r="AMS18" s="273"/>
      <c r="AMT18" s="273"/>
      <c r="AMU18" s="273"/>
      <c r="AMV18" s="273"/>
      <c r="AMW18" s="273"/>
      <c r="AMX18" s="273"/>
      <c r="AMY18" s="273"/>
      <c r="AMZ18" s="273"/>
      <c r="ANA18" s="273"/>
      <c r="ANB18" s="273"/>
      <c r="ANC18" s="273"/>
      <c r="AND18" s="273"/>
      <c r="ANE18" s="273"/>
      <c r="ANF18" s="273"/>
      <c r="ANG18" s="273"/>
      <c r="ANH18" s="273"/>
      <c r="ANI18" s="273"/>
      <c r="ANJ18" s="273"/>
      <c r="ANK18" s="273"/>
      <c r="ANL18" s="273"/>
      <c r="ANM18" s="273"/>
      <c r="ANN18" s="273"/>
      <c r="ANO18" s="273"/>
      <c r="ANP18" s="273"/>
      <c r="ANQ18" s="273"/>
      <c r="ANR18" s="273"/>
      <c r="ANS18" s="273"/>
      <c r="ANT18" s="273"/>
      <c r="ANU18" s="273"/>
      <c r="ANV18" s="273"/>
      <c r="ANW18" s="273"/>
      <c r="ANX18" s="273"/>
      <c r="ANY18" s="273"/>
      <c r="ANZ18" s="273"/>
      <c r="AOA18" s="273"/>
      <c r="AOB18" s="273"/>
      <c r="AOC18" s="273"/>
      <c r="AOD18" s="273"/>
      <c r="AOE18" s="273"/>
      <c r="AOF18" s="273"/>
      <c r="AOG18" s="273"/>
      <c r="AOH18" s="273"/>
      <c r="AOI18" s="273"/>
      <c r="AOJ18" s="273"/>
      <c r="AOK18" s="273"/>
      <c r="AOL18" s="273"/>
      <c r="AOM18" s="273"/>
      <c r="AON18" s="273"/>
      <c r="AOO18" s="273"/>
      <c r="AOP18" s="273"/>
      <c r="AOQ18" s="273"/>
      <c r="AOR18" s="273"/>
      <c r="AOS18" s="273"/>
      <c r="AOT18" s="273"/>
      <c r="AOU18" s="273"/>
      <c r="AOV18" s="273"/>
      <c r="AOW18" s="273"/>
      <c r="AOX18" s="273"/>
      <c r="AOY18" s="273"/>
      <c r="AOZ18" s="273"/>
      <c r="APA18" s="273"/>
      <c r="APB18" s="273"/>
      <c r="APC18" s="273"/>
      <c r="APD18" s="273"/>
      <c r="APE18" s="273"/>
      <c r="APF18" s="273"/>
      <c r="APG18" s="273"/>
      <c r="APH18" s="273"/>
      <c r="API18" s="273"/>
      <c r="APJ18" s="273"/>
      <c r="APK18" s="273"/>
      <c r="APL18" s="273"/>
      <c r="APM18" s="273"/>
      <c r="APN18" s="273"/>
      <c r="APO18" s="273"/>
      <c r="APP18" s="273"/>
      <c r="APQ18" s="273"/>
      <c r="APR18" s="273"/>
      <c r="APS18" s="273"/>
      <c r="APT18" s="273"/>
      <c r="APU18" s="273"/>
      <c r="APV18" s="273"/>
      <c r="APW18" s="273"/>
      <c r="APX18" s="273"/>
      <c r="APY18" s="273"/>
      <c r="APZ18" s="273"/>
      <c r="AQA18" s="273"/>
      <c r="AQB18" s="273"/>
      <c r="AQC18" s="273"/>
      <c r="AQD18" s="273"/>
      <c r="AQE18" s="273"/>
      <c r="AQF18" s="273"/>
      <c r="AQG18" s="273"/>
      <c r="AQH18" s="273"/>
      <c r="AQI18" s="273"/>
      <c r="AQJ18" s="273"/>
      <c r="AQK18" s="273"/>
      <c r="AQL18" s="273"/>
      <c r="AQM18" s="273"/>
      <c r="AQN18" s="273"/>
      <c r="AQO18" s="273"/>
      <c r="AQP18" s="273"/>
      <c r="AQQ18" s="273"/>
      <c r="AQR18" s="273"/>
      <c r="AQS18" s="273"/>
      <c r="AQT18" s="273"/>
      <c r="AQU18" s="273"/>
      <c r="AQV18" s="273"/>
      <c r="AQW18" s="273"/>
      <c r="AQX18" s="273"/>
      <c r="AQY18" s="273"/>
      <c r="AQZ18" s="273"/>
      <c r="ARA18" s="273"/>
      <c r="ARB18" s="273"/>
      <c r="ARC18" s="273"/>
      <c r="ARD18" s="273"/>
      <c r="ARE18" s="273"/>
      <c r="ARF18" s="273"/>
      <c r="ARG18" s="273"/>
      <c r="ARH18" s="273"/>
      <c r="ARI18" s="273"/>
      <c r="ARJ18" s="273"/>
      <c r="ARK18" s="273"/>
      <c r="ARL18" s="273"/>
      <c r="ARM18" s="273"/>
      <c r="ARN18" s="273"/>
      <c r="ARO18" s="273"/>
      <c r="ARP18" s="273"/>
      <c r="ARQ18" s="273"/>
      <c r="ARR18" s="273"/>
      <c r="ARS18" s="273"/>
      <c r="ART18" s="273"/>
      <c r="ARU18" s="273"/>
      <c r="ARV18" s="273"/>
      <c r="ARW18" s="273"/>
      <c r="ARX18" s="273"/>
      <c r="ARY18" s="273"/>
      <c r="ARZ18" s="273"/>
      <c r="ASA18" s="273"/>
      <c r="ASB18" s="273"/>
      <c r="ASC18" s="273"/>
      <c r="ASD18" s="273"/>
      <c r="ASE18" s="273"/>
      <c r="ASF18" s="273"/>
      <c r="ASG18" s="273"/>
      <c r="ASH18" s="273"/>
      <c r="ASI18" s="273"/>
      <c r="ASJ18" s="273"/>
      <c r="ASK18" s="273"/>
      <c r="ASL18" s="273"/>
      <c r="ASM18" s="273"/>
      <c r="ASN18" s="273"/>
      <c r="ASO18" s="273"/>
      <c r="ASP18" s="273"/>
      <c r="ASQ18" s="273"/>
      <c r="ASR18" s="273"/>
      <c r="ASS18" s="273"/>
      <c r="AST18" s="273"/>
      <c r="ASU18" s="273"/>
      <c r="ASV18" s="273"/>
      <c r="ASW18" s="273"/>
      <c r="ASX18" s="273"/>
      <c r="ASY18" s="273"/>
      <c r="ASZ18" s="273"/>
      <c r="ATA18" s="273"/>
      <c r="ATB18" s="273"/>
      <c r="ATC18" s="273"/>
      <c r="ATD18" s="273"/>
      <c r="ATE18" s="273"/>
      <c r="ATF18" s="273"/>
      <c r="ATG18" s="273"/>
      <c r="ATH18" s="273"/>
      <c r="ATI18" s="273"/>
      <c r="ATJ18" s="273"/>
      <c r="ATK18" s="273"/>
      <c r="ATL18" s="273"/>
      <c r="ATM18" s="273"/>
      <c r="ATN18" s="273"/>
      <c r="ATO18" s="273"/>
      <c r="ATP18" s="273"/>
      <c r="ATQ18" s="273"/>
      <c r="ATR18" s="273"/>
      <c r="ATS18" s="273"/>
      <c r="ATT18" s="273"/>
      <c r="ATU18" s="273"/>
      <c r="ATV18" s="273"/>
      <c r="ATW18" s="273"/>
      <c r="ATX18" s="273"/>
      <c r="ATY18" s="273"/>
      <c r="ATZ18" s="273"/>
      <c r="AUA18" s="273"/>
      <c r="AUB18" s="273"/>
      <c r="AUC18" s="273"/>
      <c r="AUD18" s="273"/>
      <c r="AUE18" s="273"/>
      <c r="AUF18" s="273"/>
      <c r="AUG18" s="273"/>
      <c r="AUH18" s="273"/>
      <c r="AUI18" s="273"/>
      <c r="AUJ18" s="273"/>
      <c r="AUK18" s="273"/>
      <c r="AUL18" s="273"/>
      <c r="AUM18" s="273"/>
      <c r="AUN18" s="273"/>
      <c r="AUO18" s="273"/>
      <c r="AUP18" s="273"/>
      <c r="AUQ18" s="273"/>
      <c r="AUR18" s="273"/>
      <c r="AUS18" s="273"/>
      <c r="AUT18" s="273"/>
      <c r="AUU18" s="273"/>
      <c r="AUV18" s="273"/>
      <c r="AUW18" s="273"/>
      <c r="AUX18" s="273"/>
      <c r="AUY18" s="273"/>
      <c r="AUZ18" s="273"/>
      <c r="AVA18" s="273"/>
      <c r="AVB18" s="273"/>
      <c r="AVC18" s="273"/>
      <c r="AVD18" s="273"/>
      <c r="AVE18" s="273"/>
      <c r="AVF18" s="273"/>
      <c r="AVG18" s="273"/>
      <c r="AVH18" s="273"/>
      <c r="AVI18" s="273"/>
      <c r="AVJ18" s="273"/>
      <c r="AVK18" s="273"/>
      <c r="AVL18" s="273"/>
      <c r="AVM18" s="273"/>
      <c r="AVN18" s="273"/>
      <c r="AVO18" s="273"/>
      <c r="AVP18" s="273"/>
      <c r="AVQ18" s="273"/>
      <c r="AVR18" s="273"/>
      <c r="AVS18" s="273"/>
      <c r="AVT18" s="273"/>
      <c r="AVU18" s="273"/>
      <c r="AVV18" s="273"/>
      <c r="AVW18" s="273"/>
      <c r="AVX18" s="273"/>
      <c r="AVY18" s="273"/>
      <c r="AVZ18" s="273"/>
      <c r="AWA18" s="273"/>
      <c r="AWB18" s="273"/>
      <c r="AWC18" s="273"/>
      <c r="AWD18" s="273"/>
      <c r="AWE18" s="273"/>
      <c r="AWF18" s="273"/>
      <c r="AWG18" s="273"/>
      <c r="AWH18" s="273"/>
      <c r="AWI18" s="273"/>
      <c r="AWJ18" s="273"/>
      <c r="AWK18" s="273"/>
      <c r="AWL18" s="273"/>
      <c r="AWM18" s="273"/>
      <c r="AWN18" s="273"/>
      <c r="AWO18" s="273"/>
      <c r="AWP18" s="273"/>
      <c r="AWQ18" s="273"/>
      <c r="AWR18" s="273"/>
      <c r="AWS18" s="273"/>
      <c r="AWT18" s="273"/>
      <c r="AWU18" s="273"/>
      <c r="AWV18" s="273"/>
      <c r="AWW18" s="273"/>
      <c r="AWX18" s="273"/>
      <c r="AWY18" s="273"/>
      <c r="AWZ18" s="273"/>
      <c r="AXA18" s="273"/>
      <c r="AXB18" s="273"/>
      <c r="AXC18" s="273"/>
      <c r="AXD18" s="273"/>
      <c r="AXE18" s="273"/>
      <c r="AXF18" s="273"/>
      <c r="AXG18" s="273"/>
      <c r="AXH18" s="273"/>
      <c r="AXI18" s="273"/>
      <c r="AXJ18" s="273"/>
      <c r="AXK18" s="273"/>
      <c r="AXL18" s="273"/>
      <c r="AXM18" s="273"/>
      <c r="AXN18" s="273"/>
      <c r="AXO18" s="273"/>
      <c r="AXP18" s="273"/>
      <c r="AXQ18" s="273"/>
      <c r="AXR18" s="273"/>
      <c r="AXS18" s="273"/>
      <c r="AXT18" s="273"/>
      <c r="AXU18" s="273"/>
      <c r="AXV18" s="273"/>
      <c r="AXW18" s="273"/>
      <c r="AXX18" s="273"/>
      <c r="AXY18" s="273"/>
      <c r="AXZ18" s="273"/>
      <c r="AYA18" s="273"/>
      <c r="AYB18" s="273"/>
      <c r="AYC18" s="273"/>
      <c r="AYD18" s="273"/>
      <c r="AYE18" s="273"/>
      <c r="AYF18" s="273"/>
      <c r="AYG18" s="273"/>
      <c r="AYH18" s="273"/>
      <c r="AYI18" s="273"/>
      <c r="AYJ18" s="273"/>
      <c r="AYK18" s="273"/>
      <c r="AYL18" s="273"/>
      <c r="AYM18" s="273"/>
      <c r="AYN18" s="273"/>
      <c r="AYO18" s="273"/>
      <c r="AYP18" s="273"/>
      <c r="AYQ18" s="273"/>
      <c r="AYR18" s="273"/>
      <c r="AYS18" s="273"/>
      <c r="AYT18" s="273"/>
      <c r="AYU18" s="273"/>
      <c r="AYV18" s="273"/>
      <c r="AYW18" s="273"/>
      <c r="AYX18" s="273"/>
      <c r="AYY18" s="273"/>
      <c r="AYZ18" s="273"/>
      <c r="AZA18" s="273"/>
      <c r="AZB18" s="273"/>
      <c r="AZC18" s="273"/>
      <c r="AZD18" s="273"/>
      <c r="AZE18" s="273"/>
      <c r="AZF18" s="273"/>
      <c r="AZG18" s="273"/>
      <c r="AZH18" s="273"/>
      <c r="AZI18" s="273"/>
      <c r="AZJ18" s="273"/>
      <c r="AZK18" s="273"/>
      <c r="AZL18" s="273"/>
      <c r="AZM18" s="273"/>
      <c r="AZN18" s="273"/>
      <c r="AZO18" s="273"/>
      <c r="AZP18" s="273"/>
      <c r="AZQ18" s="273"/>
      <c r="AZR18" s="273"/>
      <c r="AZS18" s="273"/>
      <c r="AZT18" s="273"/>
      <c r="AZU18" s="273"/>
      <c r="AZV18" s="273"/>
      <c r="AZW18" s="273"/>
      <c r="AZX18" s="273"/>
      <c r="AZY18" s="273"/>
      <c r="AZZ18" s="273"/>
      <c r="BAA18" s="273"/>
      <c r="BAB18" s="273"/>
      <c r="BAC18" s="273"/>
      <c r="BAD18" s="273"/>
      <c r="BAE18" s="273"/>
      <c r="BAF18" s="273"/>
      <c r="BAG18" s="273"/>
      <c r="BAH18" s="273"/>
      <c r="BAI18" s="273"/>
      <c r="BAJ18" s="273"/>
      <c r="BAK18" s="273"/>
      <c r="BAL18" s="273"/>
      <c r="BAM18" s="273"/>
      <c r="BAN18" s="273"/>
      <c r="BAO18" s="273"/>
      <c r="BAP18" s="273"/>
      <c r="BAQ18" s="273"/>
      <c r="BAR18" s="273"/>
      <c r="BAS18" s="273"/>
      <c r="BAT18" s="273"/>
      <c r="BAU18" s="273"/>
      <c r="BAV18" s="273"/>
      <c r="BAW18" s="273"/>
      <c r="BAX18" s="273"/>
      <c r="BAY18" s="273"/>
      <c r="BAZ18" s="273"/>
      <c r="BBA18" s="273"/>
      <c r="BBB18" s="273"/>
      <c r="BBC18" s="273"/>
      <c r="BBD18" s="273"/>
      <c r="BBE18" s="273"/>
      <c r="BBF18" s="273"/>
      <c r="BBG18" s="273"/>
      <c r="BBH18" s="273"/>
      <c r="BBI18" s="273"/>
      <c r="BBJ18" s="273"/>
      <c r="BBK18" s="273"/>
      <c r="BBL18" s="273"/>
      <c r="BBM18" s="273"/>
      <c r="BBN18" s="273"/>
      <c r="BBO18" s="273"/>
      <c r="BBP18" s="273"/>
      <c r="BBQ18" s="273"/>
      <c r="BBR18" s="273"/>
      <c r="BBS18" s="273"/>
      <c r="BBT18" s="273"/>
      <c r="BBU18" s="273"/>
      <c r="BBV18" s="273"/>
      <c r="BBW18" s="273"/>
      <c r="BBX18" s="273"/>
      <c r="BBY18" s="273"/>
      <c r="BBZ18" s="273"/>
      <c r="BCA18" s="273"/>
      <c r="BCB18" s="273"/>
      <c r="BCC18" s="273"/>
      <c r="BCD18" s="273"/>
      <c r="BCE18" s="273"/>
      <c r="BCF18" s="273"/>
      <c r="BCG18" s="273"/>
      <c r="BCH18" s="273"/>
      <c r="BCI18" s="273"/>
      <c r="BCJ18" s="273"/>
      <c r="BCK18" s="273"/>
      <c r="BCL18" s="273"/>
      <c r="BCM18" s="273"/>
      <c r="BCN18" s="273"/>
      <c r="BCO18" s="273"/>
      <c r="BCP18" s="273"/>
      <c r="BCQ18" s="273"/>
      <c r="BCR18" s="273"/>
      <c r="BCS18" s="273"/>
      <c r="BCT18" s="273"/>
      <c r="BCU18" s="273"/>
      <c r="BCV18" s="273"/>
      <c r="BCW18" s="273"/>
      <c r="BCX18" s="273"/>
      <c r="BCY18" s="273"/>
      <c r="BCZ18" s="273"/>
      <c r="BDA18" s="273"/>
      <c r="BDB18" s="273"/>
      <c r="BDC18" s="273"/>
      <c r="BDD18" s="273"/>
      <c r="BDE18" s="273"/>
      <c r="BDF18" s="273"/>
      <c r="BDG18" s="273"/>
      <c r="BDH18" s="273"/>
      <c r="BDI18" s="273"/>
      <c r="BDJ18" s="273"/>
      <c r="BDK18" s="273"/>
      <c r="BDL18" s="273"/>
      <c r="BDM18" s="273"/>
      <c r="BDN18" s="273"/>
      <c r="BDO18" s="273"/>
      <c r="BDP18" s="273"/>
      <c r="BDQ18" s="273"/>
      <c r="BDR18" s="273"/>
      <c r="BDS18" s="273"/>
      <c r="BDT18" s="273"/>
      <c r="BDU18" s="273"/>
      <c r="BDV18" s="273"/>
      <c r="BDW18" s="273"/>
      <c r="BDX18" s="273"/>
      <c r="BDY18" s="273"/>
      <c r="BDZ18" s="273"/>
      <c r="BEA18" s="273"/>
      <c r="BEB18" s="273"/>
      <c r="BEC18" s="273"/>
      <c r="BED18" s="273"/>
      <c r="BEE18" s="273"/>
      <c r="BEF18" s="273"/>
      <c r="BEG18" s="273"/>
      <c r="BEH18" s="273"/>
      <c r="BEI18" s="273"/>
      <c r="BEJ18" s="273"/>
      <c r="BEK18" s="273"/>
      <c r="BEL18" s="273"/>
      <c r="BEM18" s="273"/>
      <c r="BEN18" s="273"/>
      <c r="BEO18" s="273"/>
      <c r="BEP18" s="273"/>
      <c r="BEQ18" s="273"/>
      <c r="BER18" s="273"/>
      <c r="BES18" s="273"/>
      <c r="BET18" s="273"/>
      <c r="BEU18" s="273"/>
      <c r="BEV18" s="273"/>
      <c r="BEW18" s="273"/>
      <c r="BEX18" s="273"/>
      <c r="BEY18" s="273"/>
      <c r="BEZ18" s="273"/>
      <c r="BFA18" s="273"/>
      <c r="BFB18" s="273"/>
      <c r="BFC18" s="273"/>
      <c r="BFD18" s="273"/>
      <c r="BFE18" s="273"/>
      <c r="BFF18" s="273"/>
      <c r="BFG18" s="273"/>
      <c r="BFH18" s="273"/>
      <c r="BFI18" s="273"/>
      <c r="BFJ18" s="273"/>
      <c r="BFK18" s="273"/>
      <c r="BFL18" s="273"/>
      <c r="BFM18" s="273"/>
      <c r="BFN18" s="273"/>
      <c r="BFO18" s="273"/>
      <c r="BFP18" s="273"/>
      <c r="BFQ18" s="273"/>
      <c r="BFR18" s="273"/>
      <c r="BFS18" s="273"/>
      <c r="BFT18" s="273"/>
      <c r="BFU18" s="273"/>
      <c r="BFV18" s="273"/>
      <c r="BFW18" s="273"/>
      <c r="BFX18" s="273"/>
      <c r="BFY18" s="273"/>
      <c r="BFZ18" s="273"/>
      <c r="BGA18" s="273"/>
      <c r="BGB18" s="273"/>
      <c r="BGC18" s="273"/>
      <c r="BGD18" s="273"/>
      <c r="BGE18" s="273"/>
      <c r="BGF18" s="273"/>
      <c r="BGG18" s="273"/>
      <c r="BGH18" s="273"/>
      <c r="BGI18" s="273"/>
      <c r="BGJ18" s="273"/>
      <c r="BGK18" s="273"/>
      <c r="BGL18" s="273"/>
      <c r="BGM18" s="273"/>
      <c r="BGN18" s="273"/>
      <c r="BGO18" s="273"/>
      <c r="BGP18" s="273"/>
      <c r="BGQ18" s="273"/>
      <c r="BGR18" s="273"/>
      <c r="BGS18" s="273"/>
      <c r="BGT18" s="273"/>
      <c r="BGU18" s="273"/>
      <c r="BGV18" s="273"/>
      <c r="BGW18" s="273"/>
      <c r="BGX18" s="273"/>
      <c r="BGY18" s="273"/>
      <c r="BGZ18" s="273"/>
      <c r="BHA18" s="273"/>
      <c r="BHB18" s="273"/>
      <c r="BHC18" s="273"/>
      <c r="BHD18" s="273"/>
      <c r="BHE18" s="273"/>
      <c r="BHF18" s="273"/>
      <c r="BHG18" s="273"/>
      <c r="BHH18" s="273"/>
      <c r="BHI18" s="273"/>
      <c r="BHJ18" s="273"/>
      <c r="BHK18" s="273"/>
      <c r="BHL18" s="273"/>
      <c r="BHM18" s="273"/>
      <c r="BHN18" s="273"/>
      <c r="BHO18" s="273"/>
      <c r="BHP18" s="273"/>
      <c r="BHQ18" s="273"/>
      <c r="BHR18" s="273"/>
      <c r="BHS18" s="273"/>
      <c r="BHT18" s="273"/>
      <c r="BHU18" s="273"/>
      <c r="BHV18" s="273"/>
      <c r="BHW18" s="273"/>
      <c r="BHX18" s="273"/>
      <c r="BHY18" s="273"/>
      <c r="BHZ18" s="273"/>
      <c r="BIA18" s="273"/>
      <c r="BIB18" s="273"/>
      <c r="BIC18" s="273"/>
      <c r="BID18" s="273"/>
      <c r="BIE18" s="273"/>
      <c r="BIF18" s="273"/>
      <c r="BIG18" s="273"/>
      <c r="BIH18" s="273"/>
      <c r="BII18" s="273"/>
      <c r="BIJ18" s="273"/>
      <c r="BIK18" s="273"/>
      <c r="BIL18" s="273"/>
      <c r="BIM18" s="273"/>
      <c r="BIN18" s="273"/>
      <c r="BIO18" s="273"/>
      <c r="BIP18" s="273"/>
      <c r="BIQ18" s="273"/>
      <c r="BIR18" s="273"/>
      <c r="BIS18" s="273"/>
      <c r="BIT18" s="273"/>
      <c r="BIU18" s="273"/>
      <c r="BIV18" s="273"/>
      <c r="BIW18" s="273"/>
      <c r="BIX18" s="273"/>
      <c r="BIY18" s="273"/>
      <c r="BIZ18" s="273"/>
      <c r="BJA18" s="273"/>
      <c r="BJB18" s="273"/>
      <c r="BJC18" s="273"/>
      <c r="BJD18" s="273"/>
      <c r="BJE18" s="273"/>
      <c r="BJF18" s="273"/>
      <c r="BJG18" s="273"/>
      <c r="BJH18" s="273"/>
      <c r="BJI18" s="273"/>
      <c r="BJJ18" s="273"/>
      <c r="BJK18" s="273"/>
      <c r="BJL18" s="273"/>
      <c r="BJM18" s="273"/>
      <c r="BJN18" s="273"/>
      <c r="BJO18" s="273"/>
      <c r="BJP18" s="273"/>
      <c r="BJQ18" s="273"/>
      <c r="BJR18" s="273"/>
      <c r="BJS18" s="273"/>
      <c r="BJT18" s="273"/>
      <c r="BJU18" s="273"/>
      <c r="BJV18" s="273"/>
      <c r="BJW18" s="273"/>
      <c r="BJX18" s="273"/>
      <c r="BJY18" s="273"/>
      <c r="BJZ18" s="273"/>
      <c r="BKA18" s="273"/>
      <c r="BKB18" s="273"/>
      <c r="BKC18" s="273"/>
      <c r="BKD18" s="273"/>
      <c r="BKE18" s="273"/>
      <c r="BKF18" s="273"/>
      <c r="BKG18" s="273"/>
      <c r="BKH18" s="273"/>
      <c r="BKI18" s="273"/>
      <c r="BKJ18" s="273"/>
      <c r="BKK18" s="273"/>
      <c r="BKL18" s="273"/>
      <c r="BKM18" s="273"/>
      <c r="BKN18" s="273"/>
      <c r="BKO18" s="273"/>
      <c r="BKP18" s="273"/>
      <c r="BKQ18" s="273"/>
      <c r="BKR18" s="273"/>
      <c r="BKS18" s="273"/>
      <c r="BKT18" s="273"/>
      <c r="BKU18" s="273"/>
      <c r="BKV18" s="273"/>
      <c r="BKW18" s="273"/>
      <c r="BKX18" s="273"/>
      <c r="BKY18" s="273"/>
      <c r="BKZ18" s="273"/>
      <c r="BLA18" s="273"/>
      <c r="BLB18" s="273"/>
      <c r="BLC18" s="273"/>
      <c r="BLD18" s="273"/>
      <c r="BLE18" s="273"/>
      <c r="BLF18" s="273"/>
      <c r="BLG18" s="273"/>
      <c r="BLH18" s="273"/>
      <c r="BLI18" s="273"/>
      <c r="BLJ18" s="273"/>
      <c r="BLK18" s="273"/>
      <c r="BLL18" s="273"/>
      <c r="BLM18" s="273"/>
      <c r="BLN18" s="273"/>
      <c r="BLO18" s="273"/>
      <c r="BLP18" s="273"/>
      <c r="BLQ18" s="273"/>
      <c r="BLR18" s="273"/>
      <c r="BLS18" s="273"/>
      <c r="BLT18" s="273"/>
      <c r="BLU18" s="273"/>
      <c r="BLV18" s="273"/>
      <c r="BLW18" s="273"/>
      <c r="BLX18" s="273"/>
      <c r="BLY18" s="273"/>
      <c r="BLZ18" s="273"/>
      <c r="BMA18" s="273"/>
      <c r="BMB18" s="273"/>
      <c r="BMC18" s="273"/>
      <c r="BMD18" s="273"/>
      <c r="BME18" s="273"/>
      <c r="BMF18" s="273"/>
      <c r="BMG18" s="273"/>
      <c r="BMH18" s="273"/>
      <c r="BMI18" s="273"/>
      <c r="BMJ18" s="273"/>
      <c r="BMK18" s="273"/>
      <c r="BML18" s="273"/>
      <c r="BMM18" s="273"/>
      <c r="BMN18" s="273"/>
      <c r="BMO18" s="273"/>
      <c r="BMP18" s="273"/>
      <c r="BMQ18" s="273"/>
      <c r="BMR18" s="273"/>
      <c r="BMS18" s="273"/>
      <c r="BMT18" s="273"/>
      <c r="BMU18" s="273"/>
      <c r="BMV18" s="273"/>
      <c r="BMW18" s="273"/>
      <c r="BMX18" s="273"/>
      <c r="BMY18" s="273"/>
      <c r="BMZ18" s="273"/>
      <c r="BNA18" s="273"/>
      <c r="BNB18" s="273"/>
      <c r="BNC18" s="273"/>
      <c r="BND18" s="273"/>
      <c r="BNE18" s="273"/>
      <c r="BNF18" s="273"/>
      <c r="BNG18" s="273"/>
      <c r="BNH18" s="273"/>
      <c r="BNI18" s="273"/>
      <c r="BNJ18" s="273"/>
      <c r="BNK18" s="273"/>
      <c r="BNL18" s="273"/>
      <c r="BNM18" s="273"/>
      <c r="BNN18" s="273"/>
      <c r="BNO18" s="273"/>
      <c r="BNP18" s="273"/>
      <c r="BNQ18" s="273"/>
      <c r="BNR18" s="273"/>
      <c r="BNS18" s="273"/>
      <c r="BNT18" s="273"/>
      <c r="BNU18" s="273"/>
      <c r="BNV18" s="273"/>
      <c r="BNW18" s="273"/>
      <c r="BNX18" s="273"/>
      <c r="BNY18" s="273"/>
      <c r="BNZ18" s="273"/>
      <c r="BOA18" s="273"/>
      <c r="BOB18" s="273"/>
      <c r="BOC18" s="273"/>
      <c r="BOD18" s="273"/>
      <c r="BOE18" s="273"/>
      <c r="BOF18" s="273"/>
      <c r="BOG18" s="273"/>
      <c r="BOH18" s="273"/>
      <c r="BOI18" s="273"/>
      <c r="BOJ18" s="273"/>
      <c r="BOK18" s="273"/>
      <c r="BOL18" s="273"/>
      <c r="BOM18" s="273"/>
      <c r="BON18" s="273"/>
      <c r="BOO18" s="273"/>
      <c r="BOP18" s="273"/>
      <c r="BOQ18" s="273"/>
      <c r="BOR18" s="273"/>
      <c r="BOS18" s="273"/>
      <c r="BOT18" s="273"/>
      <c r="BOU18" s="273"/>
      <c r="BOV18" s="273"/>
      <c r="BOW18" s="273"/>
      <c r="BOX18" s="273"/>
      <c r="BOY18" s="273"/>
      <c r="BOZ18" s="273"/>
      <c r="BPA18" s="273"/>
      <c r="BPB18" s="273"/>
      <c r="BPC18" s="273"/>
      <c r="BPD18" s="273"/>
      <c r="BPE18" s="273"/>
      <c r="BPF18" s="273"/>
      <c r="BPG18" s="273"/>
      <c r="BPH18" s="273"/>
      <c r="BPI18" s="273"/>
      <c r="BPJ18" s="273"/>
      <c r="BPK18" s="273"/>
      <c r="BPL18" s="273"/>
      <c r="BPM18" s="273"/>
      <c r="BPN18" s="273"/>
      <c r="BPO18" s="273"/>
      <c r="BPP18" s="273"/>
      <c r="BPQ18" s="273"/>
      <c r="BPR18" s="273"/>
      <c r="BPS18" s="273"/>
      <c r="BPT18" s="273"/>
      <c r="BPU18" s="273"/>
      <c r="BPV18" s="273"/>
      <c r="BPW18" s="273"/>
      <c r="BPX18" s="273"/>
      <c r="BPY18" s="273"/>
      <c r="BPZ18" s="273"/>
      <c r="BQA18" s="273"/>
      <c r="BQB18" s="273"/>
      <c r="BQC18" s="273"/>
      <c r="BQD18" s="273"/>
      <c r="BQE18" s="273"/>
      <c r="BQF18" s="273"/>
      <c r="BQG18" s="273"/>
      <c r="BQH18" s="273"/>
      <c r="BQI18" s="273"/>
      <c r="BQJ18" s="273"/>
      <c r="BQK18" s="273"/>
      <c r="BQL18" s="273"/>
      <c r="BQM18" s="273"/>
      <c r="BQN18" s="273"/>
      <c r="BQO18" s="273"/>
      <c r="BQP18" s="273"/>
      <c r="BQQ18" s="273"/>
      <c r="BQR18" s="273"/>
      <c r="BQS18" s="273"/>
      <c r="BQT18" s="273"/>
      <c r="BQU18" s="273"/>
      <c r="BQV18" s="273"/>
      <c r="BQW18" s="273"/>
      <c r="BQX18" s="273"/>
      <c r="BQY18" s="273"/>
      <c r="BQZ18" s="273"/>
      <c r="BRA18" s="273"/>
      <c r="BRB18" s="273"/>
      <c r="BRC18" s="273"/>
      <c r="BRD18" s="273"/>
      <c r="BRE18" s="273"/>
      <c r="BRF18" s="273"/>
      <c r="BRG18" s="273"/>
      <c r="BRH18" s="273"/>
      <c r="BRI18" s="273"/>
      <c r="BRJ18" s="273"/>
      <c r="BRK18" s="273"/>
      <c r="BRL18" s="273"/>
      <c r="BRM18" s="273"/>
      <c r="BRN18" s="273"/>
      <c r="BRO18" s="273"/>
      <c r="BRP18" s="273"/>
      <c r="BRQ18" s="273"/>
      <c r="BRR18" s="273"/>
      <c r="BRS18" s="273"/>
      <c r="BRT18" s="273"/>
      <c r="BRU18" s="273"/>
      <c r="BRV18" s="273"/>
      <c r="BRW18" s="273"/>
      <c r="BRX18" s="273"/>
      <c r="BRY18" s="273"/>
      <c r="BRZ18" s="273"/>
      <c r="BSA18" s="273"/>
      <c r="BSB18" s="273"/>
      <c r="BSC18" s="273"/>
      <c r="BSD18" s="273"/>
      <c r="BSE18" s="273"/>
      <c r="BSF18" s="273"/>
      <c r="BSG18" s="273"/>
      <c r="BSH18" s="273"/>
      <c r="BSI18" s="273"/>
      <c r="BSJ18" s="273"/>
      <c r="BSK18" s="273"/>
      <c r="BSL18" s="273"/>
      <c r="BSM18" s="273"/>
      <c r="BSN18" s="273"/>
      <c r="BSO18" s="273"/>
      <c r="BSP18" s="273"/>
      <c r="BSQ18" s="273"/>
      <c r="BSR18" s="273"/>
      <c r="BSS18" s="273"/>
      <c r="BST18" s="273"/>
      <c r="BSU18" s="273"/>
      <c r="BSV18" s="273"/>
      <c r="BSW18" s="273"/>
      <c r="BSX18" s="273"/>
      <c r="BSY18" s="273"/>
      <c r="BSZ18" s="273"/>
      <c r="BTA18" s="273"/>
      <c r="BTB18" s="273"/>
      <c r="BTC18" s="273"/>
      <c r="BTD18" s="273"/>
      <c r="BTE18" s="273"/>
      <c r="BTF18" s="273"/>
      <c r="BTG18" s="273"/>
      <c r="BTH18" s="273"/>
      <c r="BTI18" s="273"/>
      <c r="BTJ18" s="273"/>
      <c r="BTK18" s="273"/>
      <c r="BTL18" s="273"/>
      <c r="BTM18" s="273"/>
      <c r="BTN18" s="273"/>
      <c r="BTO18" s="273"/>
      <c r="BTP18" s="273"/>
      <c r="BTQ18" s="273"/>
      <c r="BTR18" s="273"/>
      <c r="BTS18" s="273"/>
      <c r="BTT18" s="273"/>
      <c r="BTU18" s="273"/>
      <c r="BTV18" s="273"/>
      <c r="BTW18" s="273"/>
      <c r="BTX18" s="273"/>
      <c r="BTY18" s="273"/>
      <c r="BTZ18" s="273"/>
      <c r="BUA18" s="273"/>
      <c r="BUB18" s="273"/>
      <c r="BUC18" s="273"/>
      <c r="BUD18" s="273"/>
      <c r="BUE18" s="273"/>
      <c r="BUF18" s="273"/>
      <c r="BUG18" s="273"/>
      <c r="BUH18" s="273"/>
      <c r="BUI18" s="273"/>
      <c r="BUJ18" s="273"/>
      <c r="BUK18" s="273"/>
      <c r="BUL18" s="273"/>
      <c r="BUM18" s="273"/>
      <c r="BUN18" s="273"/>
      <c r="BUO18" s="273"/>
      <c r="BUP18" s="273"/>
      <c r="BUQ18" s="273"/>
      <c r="BUR18" s="273"/>
      <c r="BUS18" s="273"/>
      <c r="BUT18" s="273"/>
      <c r="BUU18" s="273"/>
      <c r="BUV18" s="273"/>
      <c r="BUW18" s="273"/>
      <c r="BUX18" s="273"/>
      <c r="BUY18" s="273"/>
      <c r="BUZ18" s="273"/>
      <c r="BVA18" s="273"/>
      <c r="BVB18" s="273"/>
      <c r="BVC18" s="273"/>
      <c r="BVD18" s="273"/>
      <c r="BVE18" s="273"/>
      <c r="BVF18" s="273"/>
      <c r="BVG18" s="273"/>
      <c r="BVH18" s="273"/>
      <c r="BVI18" s="273"/>
      <c r="BVJ18" s="273"/>
      <c r="BVK18" s="273"/>
      <c r="BVL18" s="273"/>
      <c r="BVM18" s="273"/>
      <c r="BVN18" s="273"/>
      <c r="BVO18" s="273"/>
      <c r="BVP18" s="273"/>
      <c r="BVQ18" s="273"/>
      <c r="BVR18" s="273"/>
      <c r="BVS18" s="273"/>
      <c r="BVT18" s="273"/>
      <c r="BVU18" s="273"/>
      <c r="BVV18" s="273"/>
      <c r="BVW18" s="273"/>
      <c r="BVX18" s="273"/>
      <c r="BVY18" s="273"/>
      <c r="BVZ18" s="273"/>
      <c r="BWA18" s="273"/>
      <c r="BWB18" s="273"/>
      <c r="BWC18" s="273"/>
      <c r="BWD18" s="273"/>
      <c r="BWE18" s="273"/>
      <c r="BWF18" s="273"/>
      <c r="BWG18" s="273"/>
      <c r="BWH18" s="273"/>
      <c r="BWI18" s="273"/>
      <c r="BWJ18" s="273"/>
      <c r="BWK18" s="273"/>
      <c r="BWL18" s="273"/>
      <c r="BWM18" s="273"/>
      <c r="BWN18" s="273"/>
      <c r="BWO18" s="273"/>
      <c r="BWP18" s="273"/>
      <c r="BWQ18" s="273"/>
      <c r="BWR18" s="273"/>
      <c r="BWS18" s="273"/>
      <c r="BWT18" s="273"/>
      <c r="BWU18" s="273"/>
      <c r="BWV18" s="273"/>
      <c r="BWW18" s="273"/>
      <c r="BWX18" s="273"/>
      <c r="BWY18" s="273"/>
      <c r="BWZ18" s="273"/>
      <c r="BXA18" s="273"/>
      <c r="BXB18" s="273"/>
      <c r="BXC18" s="273"/>
      <c r="BXD18" s="273"/>
      <c r="BXE18" s="273"/>
      <c r="BXF18" s="273"/>
      <c r="BXG18" s="273"/>
      <c r="BXH18" s="273"/>
      <c r="BXI18" s="273"/>
      <c r="BXJ18" s="273"/>
      <c r="BXK18" s="273"/>
      <c r="BXL18" s="273"/>
      <c r="BXM18" s="273"/>
      <c r="BXN18" s="273"/>
      <c r="BXO18" s="273"/>
      <c r="BXP18" s="273"/>
      <c r="BXQ18" s="273"/>
      <c r="BXR18" s="273"/>
      <c r="BXS18" s="273"/>
      <c r="BXT18" s="273"/>
      <c r="BXU18" s="273"/>
      <c r="BXV18" s="273"/>
      <c r="BXW18" s="273"/>
      <c r="BXX18" s="273"/>
      <c r="BXY18" s="273"/>
      <c r="BXZ18" s="273"/>
      <c r="BYA18" s="273"/>
      <c r="BYB18" s="273"/>
      <c r="BYC18" s="273"/>
      <c r="BYD18" s="273"/>
      <c r="BYE18" s="273"/>
      <c r="BYF18" s="273"/>
      <c r="BYG18" s="273"/>
      <c r="BYH18" s="273"/>
      <c r="BYI18" s="273"/>
      <c r="BYJ18" s="273"/>
      <c r="BYK18" s="273"/>
      <c r="BYL18" s="273"/>
      <c r="BYM18" s="273"/>
      <c r="BYN18" s="273"/>
      <c r="BYO18" s="273"/>
      <c r="BYP18" s="273"/>
      <c r="BYQ18" s="273"/>
      <c r="BYR18" s="273"/>
      <c r="BYS18" s="273"/>
      <c r="BYT18" s="273"/>
      <c r="BYU18" s="273"/>
      <c r="BYV18" s="273"/>
      <c r="BYW18" s="273"/>
      <c r="BYX18" s="273"/>
      <c r="BYY18" s="273"/>
      <c r="BYZ18" s="273"/>
      <c r="BZA18" s="273"/>
      <c r="BZB18" s="273"/>
      <c r="BZC18" s="273"/>
      <c r="BZD18" s="273"/>
      <c r="BZE18" s="273"/>
      <c r="BZF18" s="273"/>
      <c r="BZG18" s="273"/>
      <c r="BZH18" s="273"/>
      <c r="BZI18" s="273"/>
      <c r="BZJ18" s="273"/>
      <c r="BZK18" s="273"/>
      <c r="BZL18" s="273"/>
      <c r="BZM18" s="273"/>
      <c r="BZN18" s="273"/>
      <c r="BZO18" s="273"/>
      <c r="BZP18" s="273"/>
      <c r="BZQ18" s="273"/>
      <c r="BZR18" s="273"/>
      <c r="BZS18" s="273"/>
      <c r="BZT18" s="273"/>
      <c r="BZU18" s="273"/>
      <c r="BZV18" s="273"/>
      <c r="BZW18" s="273"/>
      <c r="BZX18" s="273"/>
      <c r="BZY18" s="273"/>
      <c r="BZZ18" s="273"/>
      <c r="CAA18" s="273"/>
      <c r="CAB18" s="273"/>
      <c r="CAC18" s="273"/>
      <c r="CAD18" s="273"/>
      <c r="CAE18" s="273"/>
      <c r="CAF18" s="273"/>
      <c r="CAG18" s="273"/>
      <c r="CAH18" s="273"/>
      <c r="CAI18" s="273"/>
      <c r="CAJ18" s="273"/>
      <c r="CAK18" s="273"/>
      <c r="CAL18" s="273"/>
      <c r="CAM18" s="273"/>
      <c r="CAN18" s="273"/>
      <c r="CAO18" s="273"/>
      <c r="CAP18" s="273"/>
      <c r="CAQ18" s="273"/>
      <c r="CAR18" s="273"/>
      <c r="CAS18" s="273"/>
      <c r="CAT18" s="273"/>
      <c r="CAU18" s="273"/>
      <c r="CAV18" s="273"/>
      <c r="CAW18" s="273"/>
      <c r="CAX18" s="273"/>
      <c r="CAY18" s="273"/>
      <c r="CAZ18" s="273"/>
      <c r="CBA18" s="273"/>
      <c r="CBB18" s="273"/>
      <c r="CBC18" s="273"/>
      <c r="CBD18" s="273"/>
      <c r="CBE18" s="273"/>
      <c r="CBF18" s="273"/>
      <c r="CBG18" s="273"/>
      <c r="CBH18" s="273"/>
      <c r="CBI18" s="273"/>
      <c r="CBJ18" s="273"/>
      <c r="CBK18" s="273"/>
      <c r="CBL18" s="273"/>
      <c r="CBM18" s="273"/>
      <c r="CBN18" s="273"/>
      <c r="CBO18" s="273"/>
      <c r="CBP18" s="273"/>
      <c r="CBQ18" s="273"/>
      <c r="CBR18" s="273"/>
      <c r="CBS18" s="273"/>
      <c r="CBT18" s="273"/>
      <c r="CBU18" s="273"/>
      <c r="CBV18" s="273"/>
      <c r="CBW18" s="273"/>
      <c r="CBX18" s="273"/>
      <c r="CBY18" s="273"/>
      <c r="CBZ18" s="273"/>
      <c r="CCA18" s="273"/>
      <c r="CCB18" s="273"/>
      <c r="CCC18" s="273"/>
      <c r="CCD18" s="273"/>
      <c r="CCE18" s="273"/>
      <c r="CCF18" s="273"/>
      <c r="CCG18" s="273"/>
      <c r="CCH18" s="273"/>
      <c r="CCI18" s="273"/>
      <c r="CCJ18" s="273"/>
      <c r="CCK18" s="273"/>
      <c r="CCL18" s="273"/>
      <c r="CCM18" s="273"/>
      <c r="CCN18" s="273"/>
      <c r="CCO18" s="273"/>
      <c r="CCP18" s="273"/>
      <c r="CCQ18" s="273"/>
      <c r="CCR18" s="273"/>
      <c r="CCS18" s="273"/>
      <c r="CCT18" s="273"/>
      <c r="CCU18" s="273"/>
      <c r="CCV18" s="273"/>
      <c r="CCW18" s="273"/>
      <c r="CCX18" s="273"/>
      <c r="CCY18" s="273"/>
      <c r="CCZ18" s="273"/>
      <c r="CDA18" s="273"/>
      <c r="CDB18" s="273"/>
      <c r="CDC18" s="273"/>
      <c r="CDD18" s="273"/>
      <c r="CDE18" s="273"/>
      <c r="CDF18" s="273"/>
      <c r="CDG18" s="273"/>
      <c r="CDH18" s="273"/>
      <c r="CDI18" s="273"/>
      <c r="CDJ18" s="273"/>
      <c r="CDK18" s="273"/>
      <c r="CDL18" s="273"/>
      <c r="CDM18" s="273"/>
      <c r="CDN18" s="273"/>
      <c r="CDO18" s="273"/>
      <c r="CDP18" s="273"/>
      <c r="CDQ18" s="273"/>
      <c r="CDR18" s="273"/>
      <c r="CDS18" s="273"/>
      <c r="CDT18" s="273"/>
      <c r="CDU18" s="273"/>
      <c r="CDV18" s="273"/>
      <c r="CDW18" s="273"/>
      <c r="CDX18" s="273"/>
      <c r="CDY18" s="273"/>
      <c r="CDZ18" s="273"/>
      <c r="CEA18" s="273"/>
      <c r="CEB18" s="273"/>
      <c r="CEC18" s="273"/>
      <c r="CED18" s="273"/>
      <c r="CEE18" s="273"/>
      <c r="CEF18" s="273"/>
      <c r="CEG18" s="273"/>
      <c r="CEH18" s="273"/>
      <c r="CEI18" s="273"/>
      <c r="CEJ18" s="273"/>
      <c r="CEK18" s="273"/>
      <c r="CEL18" s="273"/>
      <c r="CEM18" s="273"/>
      <c r="CEN18" s="273"/>
      <c r="CEO18" s="273"/>
      <c r="CEP18" s="273"/>
      <c r="CEQ18" s="273"/>
      <c r="CER18" s="273"/>
      <c r="CES18" s="273"/>
      <c r="CET18" s="273"/>
      <c r="CEU18" s="273"/>
      <c r="CEV18" s="273"/>
      <c r="CEW18" s="273"/>
      <c r="CEX18" s="273"/>
      <c r="CEY18" s="273"/>
      <c r="CEZ18" s="273"/>
      <c r="CFA18" s="273"/>
      <c r="CFB18" s="273"/>
      <c r="CFC18" s="273"/>
      <c r="CFD18" s="273"/>
      <c r="CFE18" s="273"/>
      <c r="CFF18" s="273"/>
      <c r="CFG18" s="273"/>
      <c r="CFH18" s="273"/>
      <c r="CFI18" s="273"/>
      <c r="CFJ18" s="273"/>
      <c r="CFK18" s="273"/>
      <c r="CFL18" s="273"/>
      <c r="CFM18" s="273"/>
      <c r="CFN18" s="273"/>
      <c r="CFO18" s="273"/>
      <c r="CFP18" s="273"/>
      <c r="CFQ18" s="273"/>
      <c r="CFR18" s="273"/>
      <c r="CFS18" s="273"/>
      <c r="CFT18" s="273"/>
      <c r="CFU18" s="273"/>
      <c r="CFV18" s="273"/>
      <c r="CFW18" s="273"/>
      <c r="CFX18" s="273"/>
      <c r="CFY18" s="273"/>
      <c r="CFZ18" s="273"/>
      <c r="CGA18" s="273"/>
      <c r="CGB18" s="273"/>
      <c r="CGC18" s="273"/>
      <c r="CGD18" s="273"/>
      <c r="CGE18" s="273"/>
      <c r="CGF18" s="273"/>
      <c r="CGG18" s="273"/>
      <c r="CGH18" s="273"/>
      <c r="CGI18" s="273"/>
      <c r="CGJ18" s="273"/>
      <c r="CGK18" s="273"/>
      <c r="CGL18" s="273"/>
      <c r="CGM18" s="273"/>
      <c r="CGN18" s="273"/>
      <c r="CGO18" s="273"/>
      <c r="CGP18" s="273"/>
      <c r="CGQ18" s="273"/>
      <c r="CGR18" s="273"/>
      <c r="CGS18" s="273"/>
      <c r="CGT18" s="273"/>
      <c r="CGU18" s="273"/>
      <c r="CGV18" s="273"/>
      <c r="CGW18" s="273"/>
      <c r="CGX18" s="273"/>
      <c r="CGY18" s="273"/>
      <c r="CGZ18" s="273"/>
      <c r="CHA18" s="273"/>
      <c r="CHB18" s="273"/>
      <c r="CHC18" s="273"/>
      <c r="CHD18" s="273"/>
      <c r="CHE18" s="273"/>
      <c r="CHF18" s="273"/>
      <c r="CHG18" s="273"/>
      <c r="CHH18" s="273"/>
      <c r="CHI18" s="273"/>
      <c r="CHJ18" s="273"/>
      <c r="CHK18" s="273"/>
      <c r="CHL18" s="273"/>
      <c r="CHM18" s="273"/>
      <c r="CHN18" s="273"/>
      <c r="CHO18" s="273"/>
      <c r="CHP18" s="273"/>
      <c r="CHQ18" s="273"/>
      <c r="CHR18" s="273"/>
      <c r="CHS18" s="273"/>
      <c r="CHT18" s="273"/>
      <c r="CHU18" s="273"/>
      <c r="CHV18" s="273"/>
      <c r="CHW18" s="273"/>
      <c r="CHX18" s="273"/>
      <c r="CHY18" s="273"/>
      <c r="CHZ18" s="273"/>
      <c r="CIA18" s="273"/>
      <c r="CIB18" s="273"/>
      <c r="CIC18" s="273"/>
      <c r="CID18" s="273"/>
      <c r="CIE18" s="273"/>
      <c r="CIF18" s="273"/>
      <c r="CIG18" s="273"/>
      <c r="CIH18" s="273"/>
      <c r="CII18" s="273"/>
      <c r="CIJ18" s="273"/>
      <c r="CIK18" s="273"/>
      <c r="CIL18" s="273"/>
      <c r="CIM18" s="273"/>
      <c r="CIN18" s="273"/>
      <c r="CIO18" s="273"/>
      <c r="CIP18" s="273"/>
      <c r="CIQ18" s="273"/>
      <c r="CIR18" s="273"/>
      <c r="CIS18" s="273"/>
      <c r="CIT18" s="273"/>
      <c r="CIU18" s="273"/>
      <c r="CIV18" s="273"/>
      <c r="CIW18" s="273"/>
      <c r="CIX18" s="273"/>
      <c r="CIY18" s="273"/>
      <c r="CIZ18" s="273"/>
      <c r="CJA18" s="273"/>
      <c r="CJB18" s="273"/>
      <c r="CJC18" s="273"/>
      <c r="CJD18" s="273"/>
      <c r="CJE18" s="273"/>
      <c r="CJF18" s="273"/>
      <c r="CJG18" s="273"/>
      <c r="CJH18" s="273"/>
      <c r="CJI18" s="273"/>
      <c r="CJJ18" s="273"/>
      <c r="CJK18" s="273"/>
      <c r="CJL18" s="273"/>
      <c r="CJM18" s="273"/>
      <c r="CJN18" s="273"/>
      <c r="CJO18" s="273"/>
      <c r="CJP18" s="273"/>
      <c r="CJQ18" s="273"/>
      <c r="CJR18" s="273"/>
      <c r="CJS18" s="273"/>
      <c r="CJT18" s="273"/>
      <c r="CJU18" s="273"/>
      <c r="CJV18" s="273"/>
      <c r="CJW18" s="273"/>
      <c r="CJX18" s="273"/>
      <c r="CJY18" s="273"/>
      <c r="CJZ18" s="273"/>
      <c r="CKA18" s="273"/>
      <c r="CKB18" s="273"/>
      <c r="CKC18" s="273"/>
      <c r="CKD18" s="273"/>
      <c r="CKE18" s="273"/>
      <c r="CKF18" s="273"/>
      <c r="CKG18" s="273"/>
      <c r="CKH18" s="273"/>
      <c r="CKI18" s="273"/>
      <c r="CKJ18" s="273"/>
      <c r="CKK18" s="273"/>
      <c r="CKL18" s="273"/>
      <c r="CKM18" s="273"/>
      <c r="CKN18" s="273"/>
      <c r="CKO18" s="273"/>
      <c r="CKP18" s="273"/>
      <c r="CKQ18" s="273"/>
      <c r="CKR18" s="273"/>
      <c r="CKS18" s="273"/>
      <c r="CKT18" s="273"/>
      <c r="CKU18" s="273"/>
      <c r="CKV18" s="273"/>
      <c r="CKW18" s="273"/>
      <c r="CKX18" s="273"/>
      <c r="CKY18" s="273"/>
      <c r="CKZ18" s="273"/>
      <c r="CLA18" s="273"/>
      <c r="CLB18" s="273"/>
      <c r="CLC18" s="273"/>
      <c r="CLD18" s="273"/>
      <c r="CLE18" s="273"/>
      <c r="CLF18" s="273"/>
      <c r="CLG18" s="273"/>
      <c r="CLH18" s="273"/>
      <c r="CLI18" s="273"/>
      <c r="CLJ18" s="273"/>
      <c r="CLK18" s="273"/>
      <c r="CLL18" s="273"/>
      <c r="CLM18" s="273"/>
      <c r="CLN18" s="273"/>
      <c r="CLO18" s="273"/>
      <c r="CLP18" s="273"/>
      <c r="CLQ18" s="273"/>
      <c r="CLR18" s="273"/>
      <c r="CLS18" s="273"/>
      <c r="CLT18" s="273"/>
      <c r="CLU18" s="273"/>
      <c r="CLV18" s="273"/>
      <c r="CLW18" s="273"/>
      <c r="CLX18" s="273"/>
      <c r="CLY18" s="273"/>
      <c r="CLZ18" s="273"/>
      <c r="CMA18" s="273"/>
      <c r="CMB18" s="273"/>
      <c r="CMC18" s="273"/>
      <c r="CMD18" s="273"/>
      <c r="CME18" s="273"/>
      <c r="CMF18" s="273"/>
      <c r="CMG18" s="273"/>
      <c r="CMH18" s="273"/>
      <c r="CMI18" s="273"/>
      <c r="CMJ18" s="273"/>
      <c r="CMK18" s="273"/>
      <c r="CML18" s="273"/>
      <c r="CMM18" s="273"/>
      <c r="CMN18" s="273"/>
      <c r="CMO18" s="273"/>
      <c r="CMP18" s="273"/>
      <c r="CMQ18" s="273"/>
      <c r="CMR18" s="273"/>
      <c r="CMS18" s="273"/>
      <c r="CMT18" s="273"/>
      <c r="CMU18" s="273"/>
      <c r="CMV18" s="273"/>
      <c r="CMW18" s="273"/>
      <c r="CMX18" s="273"/>
      <c r="CMY18" s="273"/>
      <c r="CMZ18" s="273"/>
      <c r="CNA18" s="273"/>
      <c r="CNB18" s="273"/>
      <c r="CNC18" s="273"/>
      <c r="CND18" s="273"/>
      <c r="CNE18" s="273"/>
      <c r="CNF18" s="273"/>
      <c r="CNG18" s="273"/>
      <c r="CNH18" s="273"/>
      <c r="CNI18" s="273"/>
      <c r="CNJ18" s="273"/>
      <c r="CNK18" s="273"/>
      <c r="CNL18" s="273"/>
      <c r="CNM18" s="273"/>
      <c r="CNN18" s="273"/>
      <c r="CNO18" s="273"/>
      <c r="CNP18" s="273"/>
      <c r="CNQ18" s="273"/>
      <c r="CNR18" s="273"/>
      <c r="CNS18" s="273"/>
      <c r="CNT18" s="273"/>
      <c r="CNU18" s="273"/>
      <c r="CNV18" s="273"/>
      <c r="CNW18" s="273"/>
      <c r="CNX18" s="273"/>
      <c r="CNY18" s="273"/>
      <c r="CNZ18" s="273"/>
      <c r="COA18" s="273"/>
      <c r="COB18" s="273"/>
      <c r="COC18" s="273"/>
      <c r="COD18" s="273"/>
      <c r="COE18" s="273"/>
      <c r="COF18" s="273"/>
      <c r="COG18" s="273"/>
      <c r="COH18" s="273"/>
      <c r="COI18" s="273"/>
      <c r="COJ18" s="273"/>
      <c r="COK18" s="273"/>
      <c r="COL18" s="273"/>
      <c r="COM18" s="273"/>
      <c r="CON18" s="273"/>
      <c r="COO18" s="273"/>
      <c r="COP18" s="273"/>
      <c r="COQ18" s="273"/>
      <c r="COR18" s="273"/>
      <c r="COS18" s="273"/>
      <c r="COT18" s="273"/>
      <c r="COU18" s="273"/>
      <c r="COV18" s="273"/>
      <c r="COW18" s="273"/>
      <c r="COX18" s="273"/>
      <c r="COY18" s="273"/>
      <c r="COZ18" s="273"/>
      <c r="CPA18" s="273"/>
      <c r="CPB18" s="273"/>
      <c r="CPC18" s="273"/>
      <c r="CPD18" s="273"/>
      <c r="CPE18" s="273"/>
      <c r="CPF18" s="273"/>
      <c r="CPG18" s="273"/>
      <c r="CPH18" s="273"/>
      <c r="CPI18" s="273"/>
      <c r="CPJ18" s="273"/>
      <c r="CPK18" s="273"/>
      <c r="CPL18" s="273"/>
      <c r="CPM18" s="273"/>
      <c r="CPN18" s="273"/>
      <c r="CPO18" s="273"/>
      <c r="CPP18" s="273"/>
      <c r="CPQ18" s="273"/>
      <c r="CPR18" s="273"/>
      <c r="CPS18" s="273"/>
      <c r="CPT18" s="273"/>
      <c r="CPU18" s="273"/>
      <c r="CPV18" s="273"/>
      <c r="CPW18" s="273"/>
      <c r="CPX18" s="273"/>
      <c r="CPY18" s="273"/>
      <c r="CPZ18" s="273"/>
      <c r="CQA18" s="273"/>
      <c r="CQB18" s="273"/>
      <c r="CQC18" s="273"/>
      <c r="CQD18" s="273"/>
      <c r="CQE18" s="273"/>
      <c r="CQF18" s="273"/>
      <c r="CQG18" s="273"/>
      <c r="CQH18" s="273"/>
      <c r="CQI18" s="273"/>
      <c r="CQJ18" s="273"/>
      <c r="CQK18" s="273"/>
      <c r="CQL18" s="273"/>
      <c r="CQM18" s="273"/>
      <c r="CQN18" s="273"/>
      <c r="CQO18" s="273"/>
      <c r="CQP18" s="273"/>
      <c r="CQQ18" s="273"/>
      <c r="CQR18" s="273"/>
      <c r="CQS18" s="273"/>
      <c r="CQT18" s="273"/>
      <c r="CQU18" s="273"/>
      <c r="CQV18" s="273"/>
      <c r="CQW18" s="273"/>
      <c r="CQX18" s="273"/>
      <c r="CQY18" s="273"/>
      <c r="CQZ18" s="273"/>
      <c r="CRA18" s="273"/>
      <c r="CRB18" s="273"/>
      <c r="CRC18" s="273"/>
      <c r="CRD18" s="273"/>
      <c r="CRE18" s="273"/>
      <c r="CRF18" s="273"/>
      <c r="CRG18" s="273"/>
      <c r="CRH18" s="273"/>
      <c r="CRI18" s="273"/>
      <c r="CRJ18" s="273"/>
      <c r="CRK18" s="273"/>
      <c r="CRL18" s="273"/>
      <c r="CRM18" s="273"/>
      <c r="CRN18" s="273"/>
      <c r="CRO18" s="273"/>
      <c r="CRP18" s="273"/>
      <c r="CRQ18" s="273"/>
      <c r="CRR18" s="273"/>
      <c r="CRS18" s="273"/>
      <c r="CRT18" s="273"/>
      <c r="CRU18" s="273"/>
      <c r="CRV18" s="273"/>
      <c r="CRW18" s="273"/>
      <c r="CRX18" s="273"/>
      <c r="CRY18" s="273"/>
      <c r="CRZ18" s="273"/>
      <c r="CSA18" s="273"/>
      <c r="CSB18" s="273"/>
      <c r="CSC18" s="273"/>
      <c r="CSD18" s="273"/>
      <c r="CSE18" s="273"/>
      <c r="CSF18" s="273"/>
      <c r="CSG18" s="273"/>
      <c r="CSH18" s="273"/>
      <c r="CSI18" s="273"/>
      <c r="CSJ18" s="273"/>
      <c r="CSK18" s="273"/>
      <c r="CSL18" s="273"/>
      <c r="CSM18" s="273"/>
      <c r="CSN18" s="273"/>
      <c r="CSO18" s="273"/>
      <c r="CSP18" s="273"/>
      <c r="CSQ18" s="273"/>
      <c r="CSR18" s="273"/>
      <c r="CSS18" s="273"/>
      <c r="CST18" s="273"/>
      <c r="CSU18" s="273"/>
      <c r="CSV18" s="273"/>
      <c r="CSW18" s="273"/>
      <c r="CSX18" s="273"/>
      <c r="CSY18" s="273"/>
      <c r="CSZ18" s="273"/>
      <c r="CTA18" s="273"/>
      <c r="CTB18" s="273"/>
      <c r="CTC18" s="273"/>
      <c r="CTD18" s="273"/>
      <c r="CTE18" s="273"/>
      <c r="CTF18" s="273"/>
      <c r="CTG18" s="273"/>
      <c r="CTH18" s="273"/>
      <c r="CTI18" s="273"/>
      <c r="CTJ18" s="273"/>
      <c r="CTK18" s="273"/>
      <c r="CTL18" s="273"/>
      <c r="CTM18" s="273"/>
      <c r="CTN18" s="273"/>
      <c r="CTO18" s="273"/>
      <c r="CTP18" s="273"/>
      <c r="CTQ18" s="273"/>
      <c r="CTR18" s="273"/>
      <c r="CTS18" s="273"/>
      <c r="CTT18" s="273"/>
      <c r="CTU18" s="273"/>
      <c r="CTV18" s="273"/>
      <c r="CTW18" s="273"/>
      <c r="CTX18" s="273"/>
      <c r="CTY18" s="273"/>
      <c r="CTZ18" s="273"/>
      <c r="CUA18" s="273"/>
      <c r="CUB18" s="273"/>
      <c r="CUC18" s="273"/>
      <c r="CUD18" s="273"/>
      <c r="CUE18" s="273"/>
      <c r="CUF18" s="273"/>
      <c r="CUG18" s="273"/>
      <c r="CUH18" s="273"/>
      <c r="CUI18" s="273"/>
      <c r="CUJ18" s="273"/>
      <c r="CUK18" s="273"/>
      <c r="CUL18" s="273"/>
      <c r="CUM18" s="273"/>
      <c r="CUN18" s="273"/>
      <c r="CUO18" s="273"/>
      <c r="CUP18" s="273"/>
      <c r="CUQ18" s="273"/>
      <c r="CUR18" s="273"/>
      <c r="CUS18" s="273"/>
      <c r="CUT18" s="273"/>
      <c r="CUU18" s="273"/>
      <c r="CUV18" s="273"/>
      <c r="CUW18" s="273"/>
      <c r="CUX18" s="273"/>
      <c r="CUY18" s="273"/>
      <c r="CUZ18" s="273"/>
      <c r="CVA18" s="273"/>
      <c r="CVB18" s="273"/>
      <c r="CVC18" s="273"/>
      <c r="CVD18" s="273"/>
      <c r="CVE18" s="273"/>
      <c r="CVF18" s="273"/>
      <c r="CVG18" s="273"/>
      <c r="CVH18" s="273"/>
      <c r="CVI18" s="273"/>
      <c r="CVJ18" s="273"/>
      <c r="CVK18" s="273"/>
      <c r="CVL18" s="273"/>
      <c r="CVM18" s="273"/>
      <c r="CVN18" s="273"/>
      <c r="CVO18" s="273"/>
      <c r="CVP18" s="273"/>
      <c r="CVQ18" s="273"/>
      <c r="CVR18" s="273"/>
      <c r="CVS18" s="273"/>
      <c r="CVT18" s="273"/>
      <c r="CVU18" s="273"/>
      <c r="CVV18" s="273"/>
      <c r="CVW18" s="273"/>
      <c r="CVX18" s="273"/>
      <c r="CVY18" s="273"/>
      <c r="CVZ18" s="273"/>
      <c r="CWA18" s="273"/>
      <c r="CWB18" s="273"/>
      <c r="CWC18" s="273"/>
      <c r="CWD18" s="273"/>
      <c r="CWE18" s="273"/>
      <c r="CWF18" s="273"/>
      <c r="CWG18" s="273"/>
      <c r="CWH18" s="273"/>
      <c r="CWI18" s="273"/>
      <c r="CWJ18" s="273"/>
      <c r="CWK18" s="273"/>
      <c r="CWL18" s="273"/>
      <c r="CWM18" s="273"/>
      <c r="CWN18" s="273"/>
      <c r="CWO18" s="273"/>
      <c r="CWP18" s="273"/>
      <c r="CWQ18" s="273"/>
      <c r="CWR18" s="273"/>
      <c r="CWS18" s="273"/>
      <c r="CWT18" s="273"/>
      <c r="CWU18" s="273"/>
      <c r="CWV18" s="273"/>
      <c r="CWW18" s="273"/>
      <c r="CWX18" s="273"/>
      <c r="CWY18" s="273"/>
      <c r="CWZ18" s="273"/>
      <c r="CXA18" s="273"/>
      <c r="CXB18" s="273"/>
      <c r="CXC18" s="273"/>
      <c r="CXD18" s="273"/>
      <c r="CXE18" s="273"/>
      <c r="CXF18" s="273"/>
      <c r="CXG18" s="273"/>
      <c r="CXH18" s="273"/>
      <c r="CXI18" s="273"/>
      <c r="CXJ18" s="273"/>
      <c r="CXK18" s="273"/>
      <c r="CXL18" s="273"/>
      <c r="CXM18" s="273"/>
      <c r="CXN18" s="273"/>
      <c r="CXO18" s="273"/>
      <c r="CXP18" s="273"/>
      <c r="CXQ18" s="273"/>
      <c r="CXR18" s="273"/>
      <c r="CXS18" s="273"/>
      <c r="CXT18" s="273"/>
      <c r="CXU18" s="273"/>
      <c r="CXV18" s="273"/>
      <c r="CXW18" s="273"/>
      <c r="CXX18" s="273"/>
      <c r="CXY18" s="273"/>
      <c r="CXZ18" s="273"/>
      <c r="CYA18" s="273"/>
      <c r="CYB18" s="273"/>
      <c r="CYC18" s="273"/>
      <c r="CYD18" s="273"/>
      <c r="CYE18" s="273"/>
      <c r="CYF18" s="273"/>
      <c r="CYG18" s="273"/>
      <c r="CYH18" s="273"/>
      <c r="CYI18" s="273"/>
      <c r="CYJ18" s="273"/>
      <c r="CYK18" s="273"/>
      <c r="CYL18" s="273"/>
      <c r="CYM18" s="273"/>
      <c r="CYN18" s="273"/>
      <c r="CYO18" s="273"/>
      <c r="CYP18" s="273"/>
      <c r="CYQ18" s="273"/>
      <c r="CYR18" s="273"/>
      <c r="CYS18" s="273"/>
      <c r="CYT18" s="273"/>
      <c r="CYU18" s="273"/>
      <c r="CYV18" s="273"/>
      <c r="CYW18" s="273"/>
      <c r="CYX18" s="273"/>
      <c r="CYY18" s="273"/>
      <c r="CYZ18" s="273"/>
      <c r="CZA18" s="273"/>
      <c r="CZB18" s="273"/>
      <c r="CZC18" s="273"/>
      <c r="CZD18" s="273"/>
      <c r="CZE18" s="273"/>
      <c r="CZF18" s="273"/>
      <c r="CZG18" s="273"/>
      <c r="CZH18" s="273"/>
      <c r="CZI18" s="273"/>
      <c r="CZJ18" s="273"/>
      <c r="CZK18" s="273"/>
      <c r="CZL18" s="273"/>
      <c r="CZM18" s="273"/>
      <c r="CZN18" s="273"/>
      <c r="CZO18" s="273"/>
      <c r="CZP18" s="273"/>
      <c r="CZQ18" s="273"/>
      <c r="CZR18" s="273"/>
      <c r="CZS18" s="273"/>
      <c r="CZT18" s="273"/>
      <c r="CZU18" s="273"/>
      <c r="CZV18" s="273"/>
      <c r="CZW18" s="273"/>
      <c r="CZX18" s="273"/>
      <c r="CZY18" s="273"/>
      <c r="CZZ18" s="273"/>
      <c r="DAA18" s="273"/>
      <c r="DAB18" s="273"/>
      <c r="DAC18" s="273"/>
      <c r="DAD18" s="273"/>
      <c r="DAE18" s="273"/>
      <c r="DAF18" s="273"/>
      <c r="DAG18" s="273"/>
      <c r="DAH18" s="273"/>
      <c r="DAI18" s="273"/>
      <c r="DAJ18" s="273"/>
      <c r="DAK18" s="273"/>
      <c r="DAL18" s="273"/>
      <c r="DAM18" s="273"/>
      <c r="DAN18" s="273"/>
      <c r="DAO18" s="273"/>
      <c r="DAP18" s="273"/>
      <c r="DAQ18" s="273"/>
      <c r="DAR18" s="273"/>
      <c r="DAS18" s="273"/>
      <c r="DAT18" s="273"/>
      <c r="DAU18" s="273"/>
      <c r="DAV18" s="273"/>
      <c r="DAW18" s="273"/>
      <c r="DAX18" s="273"/>
      <c r="DAY18" s="273"/>
      <c r="DAZ18" s="273"/>
      <c r="DBA18" s="273"/>
      <c r="DBB18" s="273"/>
      <c r="DBC18" s="273"/>
      <c r="DBD18" s="273"/>
      <c r="DBE18" s="273"/>
      <c r="DBF18" s="273"/>
      <c r="DBG18" s="273"/>
      <c r="DBH18" s="273"/>
      <c r="DBI18" s="273"/>
      <c r="DBJ18" s="273"/>
      <c r="DBK18" s="273"/>
      <c r="DBL18" s="273"/>
      <c r="DBM18" s="273"/>
      <c r="DBN18" s="273"/>
      <c r="DBO18" s="273"/>
      <c r="DBP18" s="273"/>
      <c r="DBQ18" s="273"/>
      <c r="DBR18" s="273"/>
      <c r="DBS18" s="273"/>
      <c r="DBT18" s="273"/>
      <c r="DBU18" s="273"/>
      <c r="DBV18" s="273"/>
      <c r="DBW18" s="273"/>
      <c r="DBX18" s="273"/>
      <c r="DBY18" s="273"/>
      <c r="DBZ18" s="273"/>
      <c r="DCA18" s="273"/>
      <c r="DCB18" s="273"/>
      <c r="DCC18" s="273"/>
      <c r="DCD18" s="273"/>
      <c r="DCE18" s="273"/>
      <c r="DCF18" s="273"/>
      <c r="DCG18" s="273"/>
      <c r="DCH18" s="273"/>
      <c r="DCI18" s="273"/>
      <c r="DCJ18" s="273"/>
      <c r="DCK18" s="273"/>
      <c r="DCL18" s="273"/>
      <c r="DCM18" s="273"/>
      <c r="DCN18" s="273"/>
      <c r="DCO18" s="273"/>
      <c r="DCP18" s="273"/>
      <c r="DCQ18" s="273"/>
      <c r="DCR18" s="273"/>
      <c r="DCS18" s="273"/>
      <c r="DCT18" s="273"/>
      <c r="DCU18" s="273"/>
      <c r="DCV18" s="273"/>
      <c r="DCW18" s="273"/>
      <c r="DCX18" s="273"/>
      <c r="DCY18" s="273"/>
      <c r="DCZ18" s="273"/>
      <c r="DDA18" s="273"/>
      <c r="DDB18" s="273"/>
      <c r="DDC18" s="273"/>
      <c r="DDD18" s="273"/>
      <c r="DDE18" s="273"/>
      <c r="DDF18" s="273"/>
      <c r="DDG18" s="273"/>
      <c r="DDH18" s="273"/>
      <c r="DDI18" s="273"/>
      <c r="DDJ18" s="273"/>
      <c r="DDK18" s="273"/>
      <c r="DDL18" s="273"/>
      <c r="DDM18" s="273"/>
      <c r="DDN18" s="273"/>
      <c r="DDO18" s="273"/>
      <c r="DDP18" s="273"/>
      <c r="DDQ18" s="273"/>
      <c r="DDR18" s="273"/>
      <c r="DDS18" s="273"/>
      <c r="DDT18" s="273"/>
      <c r="DDU18" s="273"/>
      <c r="DDV18" s="273"/>
      <c r="DDW18" s="273"/>
      <c r="DDX18" s="273"/>
      <c r="DDY18" s="273"/>
      <c r="DDZ18" s="273"/>
      <c r="DEA18" s="273"/>
      <c r="DEB18" s="273"/>
      <c r="DEC18" s="273"/>
      <c r="DED18" s="273"/>
      <c r="DEE18" s="273"/>
      <c r="DEF18" s="273"/>
      <c r="DEG18" s="273"/>
      <c r="DEH18" s="273"/>
      <c r="DEI18" s="273"/>
      <c r="DEJ18" s="273"/>
      <c r="DEK18" s="273"/>
      <c r="DEL18" s="273"/>
      <c r="DEM18" s="273"/>
      <c r="DEN18" s="273"/>
      <c r="DEO18" s="273"/>
      <c r="DEP18" s="273"/>
      <c r="DEQ18" s="273"/>
      <c r="DER18" s="273"/>
      <c r="DES18" s="273"/>
      <c r="DET18" s="273"/>
      <c r="DEU18" s="273"/>
      <c r="DEV18" s="273"/>
      <c r="DEW18" s="273"/>
      <c r="DEX18" s="273"/>
      <c r="DEY18" s="273"/>
      <c r="DEZ18" s="273"/>
      <c r="DFA18" s="273"/>
      <c r="DFB18" s="273"/>
      <c r="DFC18" s="273"/>
      <c r="DFD18" s="273"/>
      <c r="DFE18" s="273"/>
      <c r="DFF18" s="273"/>
      <c r="DFG18" s="273"/>
      <c r="DFH18" s="273"/>
      <c r="DFI18" s="273"/>
      <c r="DFJ18" s="273"/>
      <c r="DFK18" s="273"/>
      <c r="DFL18" s="273"/>
      <c r="DFM18" s="273"/>
      <c r="DFN18" s="273"/>
      <c r="DFO18" s="273"/>
      <c r="DFP18" s="273"/>
      <c r="DFQ18" s="273"/>
      <c r="DFR18" s="273"/>
      <c r="DFS18" s="273"/>
      <c r="DFT18" s="273"/>
      <c r="DFU18" s="273"/>
      <c r="DFV18" s="273"/>
      <c r="DFW18" s="273"/>
      <c r="DFX18" s="273"/>
      <c r="DFY18" s="273"/>
      <c r="DFZ18" s="273"/>
      <c r="DGA18" s="273"/>
      <c r="DGB18" s="273"/>
      <c r="DGC18" s="273"/>
      <c r="DGD18" s="273"/>
      <c r="DGE18" s="273"/>
      <c r="DGF18" s="273"/>
      <c r="DGG18" s="273"/>
      <c r="DGH18" s="273"/>
      <c r="DGI18" s="273"/>
      <c r="DGJ18" s="273"/>
      <c r="DGK18" s="273"/>
      <c r="DGL18" s="273"/>
      <c r="DGM18" s="273"/>
      <c r="DGN18" s="273"/>
      <c r="DGO18" s="273"/>
      <c r="DGP18" s="273"/>
      <c r="DGQ18" s="273"/>
      <c r="DGR18" s="273"/>
      <c r="DGS18" s="273"/>
      <c r="DGT18" s="273"/>
      <c r="DGU18" s="273"/>
      <c r="DGV18" s="273"/>
      <c r="DGW18" s="273"/>
      <c r="DGX18" s="273"/>
      <c r="DGY18" s="273"/>
      <c r="DGZ18" s="273"/>
      <c r="DHA18" s="273"/>
      <c r="DHB18" s="273"/>
      <c r="DHC18" s="273"/>
      <c r="DHD18" s="273"/>
      <c r="DHE18" s="273"/>
      <c r="DHF18" s="273"/>
      <c r="DHG18" s="273"/>
      <c r="DHH18" s="273"/>
      <c r="DHI18" s="273"/>
      <c r="DHJ18" s="273"/>
      <c r="DHK18" s="273"/>
      <c r="DHL18" s="273"/>
      <c r="DHM18" s="273"/>
      <c r="DHN18" s="273"/>
      <c r="DHO18" s="273"/>
      <c r="DHP18" s="273"/>
      <c r="DHQ18" s="273"/>
      <c r="DHR18" s="273"/>
      <c r="DHS18" s="273"/>
      <c r="DHT18" s="273"/>
      <c r="DHU18" s="273"/>
      <c r="DHV18" s="273"/>
      <c r="DHW18" s="273"/>
      <c r="DHX18" s="273"/>
      <c r="DHY18" s="273"/>
      <c r="DHZ18" s="273"/>
      <c r="DIA18" s="273"/>
      <c r="DIB18" s="273"/>
      <c r="DIC18" s="273"/>
      <c r="DID18" s="273"/>
      <c r="DIE18" s="273"/>
      <c r="DIF18" s="273"/>
      <c r="DIG18" s="273"/>
      <c r="DIH18" s="273"/>
      <c r="DII18" s="273"/>
      <c r="DIJ18" s="273"/>
      <c r="DIK18" s="273"/>
      <c r="DIL18" s="273"/>
      <c r="DIM18" s="273"/>
      <c r="DIN18" s="273"/>
      <c r="DIO18" s="273"/>
      <c r="DIP18" s="273"/>
      <c r="DIQ18" s="273"/>
      <c r="DIR18" s="273"/>
      <c r="DIS18" s="273"/>
      <c r="DIT18" s="273"/>
      <c r="DIU18" s="273"/>
      <c r="DIV18" s="273"/>
      <c r="DIW18" s="273"/>
      <c r="DIX18" s="273"/>
      <c r="DIY18" s="273"/>
      <c r="DIZ18" s="273"/>
      <c r="DJA18" s="273"/>
      <c r="DJB18" s="273"/>
      <c r="DJC18" s="273"/>
      <c r="DJD18" s="273"/>
      <c r="DJE18" s="273"/>
      <c r="DJF18" s="273"/>
      <c r="DJG18" s="273"/>
      <c r="DJH18" s="273"/>
      <c r="DJI18" s="273"/>
      <c r="DJJ18" s="273"/>
      <c r="DJK18" s="273"/>
      <c r="DJL18" s="273"/>
      <c r="DJM18" s="273"/>
      <c r="DJN18" s="273"/>
      <c r="DJO18" s="273"/>
      <c r="DJP18" s="273"/>
      <c r="DJQ18" s="273"/>
      <c r="DJR18" s="273"/>
      <c r="DJS18" s="273"/>
      <c r="DJT18" s="273"/>
      <c r="DJU18" s="273"/>
      <c r="DJV18" s="273"/>
      <c r="DJW18" s="273"/>
      <c r="DJX18" s="273"/>
      <c r="DJY18" s="273"/>
      <c r="DJZ18" s="273"/>
      <c r="DKA18" s="273"/>
      <c r="DKB18" s="273"/>
      <c r="DKC18" s="273"/>
      <c r="DKD18" s="273"/>
      <c r="DKE18" s="273"/>
      <c r="DKF18" s="273"/>
      <c r="DKG18" s="273"/>
      <c r="DKH18" s="273"/>
      <c r="DKI18" s="273"/>
      <c r="DKJ18" s="273"/>
      <c r="DKK18" s="273"/>
      <c r="DKL18" s="273"/>
      <c r="DKM18" s="273"/>
      <c r="DKN18" s="273"/>
      <c r="DKO18" s="273"/>
      <c r="DKP18" s="273"/>
      <c r="DKQ18" s="273"/>
      <c r="DKR18" s="273"/>
      <c r="DKS18" s="273"/>
      <c r="DKT18" s="273"/>
      <c r="DKU18" s="273"/>
      <c r="DKV18" s="273"/>
      <c r="DKW18" s="273"/>
      <c r="DKX18" s="273"/>
      <c r="DKY18" s="273"/>
      <c r="DKZ18" s="273"/>
      <c r="DLA18" s="273"/>
      <c r="DLB18" s="273"/>
      <c r="DLC18" s="273"/>
      <c r="DLD18" s="273"/>
      <c r="DLE18" s="273"/>
      <c r="DLF18" s="273"/>
      <c r="DLG18" s="273"/>
      <c r="DLH18" s="273"/>
      <c r="DLI18" s="273"/>
      <c r="DLJ18" s="273"/>
      <c r="DLK18" s="273"/>
      <c r="DLL18" s="273"/>
      <c r="DLM18" s="273"/>
      <c r="DLN18" s="273"/>
      <c r="DLO18" s="273"/>
      <c r="DLP18" s="273"/>
      <c r="DLQ18" s="273"/>
      <c r="DLR18" s="273"/>
      <c r="DLS18" s="273"/>
      <c r="DLT18" s="273"/>
      <c r="DLU18" s="273"/>
      <c r="DLV18" s="273"/>
      <c r="DLW18" s="273"/>
      <c r="DLX18" s="273"/>
      <c r="DLY18" s="273"/>
      <c r="DLZ18" s="273"/>
      <c r="DMA18" s="273"/>
      <c r="DMB18" s="273"/>
      <c r="DMC18" s="273"/>
      <c r="DMD18" s="273"/>
      <c r="DME18" s="273"/>
      <c r="DMF18" s="273"/>
      <c r="DMG18" s="273"/>
      <c r="DMH18" s="273"/>
      <c r="DMI18" s="273"/>
      <c r="DMJ18" s="273"/>
      <c r="DMK18" s="273"/>
      <c r="DML18" s="273"/>
      <c r="DMM18" s="273"/>
      <c r="DMN18" s="273"/>
      <c r="DMO18" s="273"/>
      <c r="DMP18" s="273"/>
      <c r="DMQ18" s="273"/>
      <c r="DMR18" s="273"/>
      <c r="DMS18" s="273"/>
      <c r="DMT18" s="273"/>
      <c r="DMU18" s="273"/>
      <c r="DMV18" s="273"/>
      <c r="DMW18" s="273"/>
      <c r="DMX18" s="273"/>
      <c r="DMY18" s="273"/>
      <c r="DMZ18" s="273"/>
      <c r="DNA18" s="273"/>
      <c r="DNB18" s="273"/>
      <c r="DNC18" s="273"/>
      <c r="DND18" s="273"/>
      <c r="DNE18" s="273"/>
      <c r="DNF18" s="273"/>
      <c r="DNG18" s="273"/>
      <c r="DNH18" s="273"/>
      <c r="DNI18" s="273"/>
      <c r="DNJ18" s="273"/>
      <c r="DNK18" s="273"/>
      <c r="DNL18" s="273"/>
      <c r="DNM18" s="273"/>
      <c r="DNN18" s="273"/>
      <c r="DNO18" s="273"/>
      <c r="DNP18" s="273"/>
      <c r="DNQ18" s="273"/>
      <c r="DNR18" s="273"/>
      <c r="DNS18" s="273"/>
      <c r="DNT18" s="273"/>
      <c r="DNU18" s="273"/>
      <c r="DNV18" s="273"/>
      <c r="DNW18" s="273"/>
      <c r="DNX18" s="273"/>
      <c r="DNY18" s="273"/>
      <c r="DNZ18" s="273"/>
      <c r="DOA18" s="273"/>
      <c r="DOB18" s="273"/>
      <c r="DOC18" s="273"/>
      <c r="DOD18" s="273"/>
      <c r="DOE18" s="273"/>
      <c r="DOF18" s="273"/>
      <c r="DOG18" s="273"/>
      <c r="DOH18" s="273"/>
      <c r="DOI18" s="273"/>
      <c r="DOJ18" s="273"/>
      <c r="DOK18" s="273"/>
      <c r="DOL18" s="273"/>
      <c r="DOM18" s="273"/>
      <c r="DON18" s="273"/>
      <c r="DOO18" s="273"/>
      <c r="DOP18" s="273"/>
      <c r="DOQ18" s="273"/>
      <c r="DOR18" s="273"/>
      <c r="DOS18" s="273"/>
      <c r="DOT18" s="273"/>
      <c r="DOU18" s="273"/>
      <c r="DOV18" s="273"/>
      <c r="DOW18" s="273"/>
      <c r="DOX18" s="273"/>
      <c r="DOY18" s="273"/>
      <c r="DOZ18" s="273"/>
      <c r="DPA18" s="273"/>
      <c r="DPB18" s="273"/>
      <c r="DPC18" s="273"/>
      <c r="DPD18" s="273"/>
      <c r="DPE18" s="273"/>
      <c r="DPF18" s="273"/>
      <c r="DPG18" s="273"/>
      <c r="DPH18" s="273"/>
      <c r="DPI18" s="273"/>
      <c r="DPJ18" s="273"/>
      <c r="DPK18" s="273"/>
      <c r="DPL18" s="273"/>
      <c r="DPM18" s="273"/>
      <c r="DPN18" s="273"/>
      <c r="DPO18" s="273"/>
      <c r="DPP18" s="273"/>
      <c r="DPQ18" s="273"/>
      <c r="DPR18" s="273"/>
      <c r="DPS18" s="273"/>
      <c r="DPT18" s="273"/>
      <c r="DPU18" s="273"/>
      <c r="DPV18" s="273"/>
      <c r="DPW18" s="273"/>
      <c r="DPX18" s="273"/>
      <c r="DPY18" s="273"/>
      <c r="DPZ18" s="273"/>
      <c r="DQA18" s="273"/>
      <c r="DQB18" s="273"/>
      <c r="DQC18" s="273"/>
      <c r="DQD18" s="273"/>
      <c r="DQE18" s="273"/>
      <c r="DQF18" s="273"/>
      <c r="DQG18" s="273"/>
      <c r="DQH18" s="273"/>
      <c r="DQI18" s="273"/>
      <c r="DQJ18" s="273"/>
      <c r="DQK18" s="273"/>
      <c r="DQL18" s="273"/>
      <c r="DQM18" s="273"/>
      <c r="DQN18" s="273"/>
      <c r="DQO18" s="273"/>
      <c r="DQP18" s="273"/>
      <c r="DQQ18" s="273"/>
      <c r="DQR18" s="273"/>
      <c r="DQS18" s="273"/>
      <c r="DQT18" s="273"/>
      <c r="DQU18" s="273"/>
      <c r="DQV18" s="273"/>
      <c r="DQW18" s="273"/>
      <c r="DQX18" s="273"/>
      <c r="DQY18" s="273"/>
      <c r="DQZ18" s="273"/>
      <c r="DRA18" s="273"/>
      <c r="DRB18" s="273"/>
      <c r="DRC18" s="273"/>
      <c r="DRD18" s="273"/>
      <c r="DRE18" s="273"/>
      <c r="DRF18" s="273"/>
      <c r="DRG18" s="273"/>
      <c r="DRH18" s="273"/>
      <c r="DRI18" s="273"/>
      <c r="DRJ18" s="273"/>
      <c r="DRK18" s="273"/>
      <c r="DRL18" s="273"/>
      <c r="DRM18" s="273"/>
      <c r="DRN18" s="273"/>
      <c r="DRO18" s="273"/>
      <c r="DRP18" s="273"/>
      <c r="DRQ18" s="273"/>
      <c r="DRR18" s="273"/>
      <c r="DRS18" s="273"/>
      <c r="DRT18" s="273"/>
      <c r="DRU18" s="273"/>
      <c r="DRV18" s="273"/>
      <c r="DRW18" s="273"/>
      <c r="DRX18" s="273"/>
      <c r="DRY18" s="273"/>
      <c r="DRZ18" s="273"/>
      <c r="DSA18" s="273"/>
      <c r="DSB18" s="273"/>
      <c r="DSC18" s="273"/>
      <c r="DSD18" s="273"/>
      <c r="DSE18" s="273"/>
      <c r="DSF18" s="273"/>
      <c r="DSG18" s="273"/>
      <c r="DSH18" s="273"/>
      <c r="DSI18" s="273"/>
      <c r="DSJ18" s="273"/>
      <c r="DSK18" s="273"/>
      <c r="DSL18" s="273"/>
      <c r="DSM18" s="273"/>
      <c r="DSN18" s="273"/>
      <c r="DSO18" s="273"/>
      <c r="DSP18" s="273"/>
      <c r="DSQ18" s="273"/>
      <c r="DSR18" s="273"/>
      <c r="DSS18" s="273"/>
      <c r="DST18" s="273"/>
      <c r="DSU18" s="273"/>
      <c r="DSV18" s="273"/>
      <c r="DSW18" s="273"/>
      <c r="DSX18" s="273"/>
      <c r="DSY18" s="273"/>
      <c r="DSZ18" s="273"/>
      <c r="DTA18" s="273"/>
      <c r="DTB18" s="273"/>
      <c r="DTC18" s="273"/>
      <c r="DTD18" s="273"/>
      <c r="DTE18" s="273"/>
      <c r="DTF18" s="273"/>
      <c r="DTG18" s="273"/>
      <c r="DTH18" s="273"/>
      <c r="DTI18" s="273"/>
      <c r="DTJ18" s="273"/>
      <c r="DTK18" s="273"/>
      <c r="DTL18" s="273"/>
      <c r="DTM18" s="273"/>
      <c r="DTN18" s="273"/>
      <c r="DTO18" s="273"/>
      <c r="DTP18" s="273"/>
      <c r="DTQ18" s="273"/>
      <c r="DTR18" s="273"/>
      <c r="DTS18" s="273"/>
      <c r="DTT18" s="273"/>
      <c r="DTU18" s="273"/>
      <c r="DTV18" s="273"/>
      <c r="DTW18" s="273"/>
      <c r="DTX18" s="273"/>
      <c r="DTY18" s="273"/>
      <c r="DTZ18" s="273"/>
      <c r="DUA18" s="273"/>
      <c r="DUB18" s="273"/>
      <c r="DUC18" s="273"/>
      <c r="DUD18" s="273"/>
      <c r="DUE18" s="273"/>
      <c r="DUF18" s="273"/>
      <c r="DUG18" s="273"/>
      <c r="DUH18" s="273"/>
      <c r="DUI18" s="273"/>
      <c r="DUJ18" s="273"/>
      <c r="DUK18" s="273"/>
      <c r="DUL18" s="273"/>
      <c r="DUM18" s="273"/>
      <c r="DUN18" s="273"/>
      <c r="DUO18" s="273"/>
      <c r="DUP18" s="273"/>
      <c r="DUQ18" s="273"/>
      <c r="DUR18" s="273"/>
      <c r="DUS18" s="273"/>
      <c r="DUT18" s="273"/>
      <c r="DUU18" s="273"/>
      <c r="DUV18" s="273"/>
      <c r="DUW18" s="273"/>
      <c r="DUX18" s="273"/>
      <c r="DUY18" s="273"/>
      <c r="DUZ18" s="273"/>
      <c r="DVA18" s="273"/>
      <c r="DVB18" s="273"/>
      <c r="DVC18" s="273"/>
      <c r="DVD18" s="273"/>
      <c r="DVE18" s="273"/>
      <c r="DVF18" s="273"/>
      <c r="DVG18" s="273"/>
      <c r="DVH18" s="273"/>
      <c r="DVI18" s="273"/>
      <c r="DVJ18" s="273"/>
      <c r="DVK18" s="273"/>
      <c r="DVL18" s="273"/>
      <c r="DVM18" s="273"/>
      <c r="DVN18" s="273"/>
      <c r="DVO18" s="273"/>
      <c r="DVP18" s="273"/>
      <c r="DVQ18" s="273"/>
      <c r="DVR18" s="273"/>
      <c r="DVS18" s="273"/>
      <c r="DVT18" s="273"/>
      <c r="DVU18" s="273"/>
      <c r="DVV18" s="273"/>
      <c r="DVW18" s="273"/>
      <c r="DVX18" s="273"/>
      <c r="DVY18" s="273"/>
      <c r="DVZ18" s="273"/>
      <c r="DWA18" s="273"/>
      <c r="DWB18" s="273"/>
      <c r="DWC18" s="273"/>
      <c r="DWD18" s="273"/>
      <c r="DWE18" s="273"/>
      <c r="DWF18" s="273"/>
      <c r="DWG18" s="273"/>
      <c r="DWH18" s="273"/>
      <c r="DWI18" s="273"/>
      <c r="DWJ18" s="273"/>
      <c r="DWK18" s="273"/>
      <c r="DWL18" s="273"/>
      <c r="DWM18" s="273"/>
      <c r="DWN18" s="273"/>
      <c r="DWO18" s="273"/>
      <c r="DWP18" s="273"/>
      <c r="DWQ18" s="273"/>
      <c r="DWR18" s="273"/>
      <c r="DWS18" s="273"/>
      <c r="DWT18" s="273"/>
      <c r="DWU18" s="273"/>
      <c r="DWV18" s="273"/>
      <c r="DWW18" s="273"/>
      <c r="DWX18" s="273"/>
      <c r="DWY18" s="273"/>
      <c r="DWZ18" s="273"/>
      <c r="DXA18" s="273"/>
      <c r="DXB18" s="273"/>
      <c r="DXC18" s="273"/>
      <c r="DXD18" s="273"/>
      <c r="DXE18" s="273"/>
      <c r="DXF18" s="273"/>
      <c r="DXG18" s="273"/>
      <c r="DXH18" s="273"/>
      <c r="DXI18" s="273"/>
      <c r="DXJ18" s="273"/>
      <c r="DXK18" s="273"/>
      <c r="DXL18" s="273"/>
      <c r="DXM18" s="273"/>
      <c r="DXN18" s="273"/>
      <c r="DXO18" s="273"/>
      <c r="DXP18" s="273"/>
      <c r="DXQ18" s="273"/>
      <c r="DXR18" s="273"/>
      <c r="DXS18" s="273"/>
      <c r="DXT18" s="273"/>
      <c r="DXU18" s="273"/>
      <c r="DXV18" s="273"/>
      <c r="DXW18" s="273"/>
      <c r="DXX18" s="273"/>
      <c r="DXY18" s="273"/>
      <c r="DXZ18" s="273"/>
      <c r="DYA18" s="273"/>
      <c r="DYB18" s="273"/>
      <c r="DYC18" s="273"/>
      <c r="DYD18" s="273"/>
      <c r="DYE18" s="273"/>
      <c r="DYF18" s="273"/>
      <c r="DYG18" s="273"/>
      <c r="DYH18" s="273"/>
      <c r="DYI18" s="273"/>
      <c r="DYJ18" s="273"/>
      <c r="DYK18" s="273"/>
      <c r="DYL18" s="273"/>
      <c r="DYM18" s="273"/>
      <c r="DYN18" s="273"/>
      <c r="DYO18" s="273"/>
      <c r="DYP18" s="273"/>
      <c r="DYQ18" s="273"/>
      <c r="DYR18" s="273"/>
      <c r="DYS18" s="273"/>
      <c r="DYT18" s="273"/>
      <c r="DYU18" s="273"/>
      <c r="DYV18" s="273"/>
      <c r="DYW18" s="273"/>
      <c r="DYX18" s="273"/>
      <c r="DYY18" s="273"/>
      <c r="DYZ18" s="273"/>
      <c r="DZA18" s="273"/>
      <c r="DZB18" s="273"/>
      <c r="DZC18" s="273"/>
      <c r="DZD18" s="273"/>
      <c r="DZE18" s="273"/>
      <c r="DZF18" s="273"/>
      <c r="DZG18" s="273"/>
      <c r="DZH18" s="273"/>
      <c r="DZI18" s="273"/>
      <c r="DZJ18" s="273"/>
      <c r="DZK18" s="273"/>
      <c r="DZL18" s="273"/>
      <c r="DZM18" s="273"/>
      <c r="DZN18" s="273"/>
      <c r="DZO18" s="273"/>
      <c r="DZP18" s="273"/>
      <c r="DZQ18" s="273"/>
      <c r="DZR18" s="273"/>
      <c r="DZS18" s="273"/>
      <c r="DZT18" s="273"/>
      <c r="DZU18" s="273"/>
      <c r="DZV18" s="273"/>
      <c r="DZW18" s="273"/>
      <c r="DZX18" s="273"/>
      <c r="DZY18" s="273"/>
      <c r="DZZ18" s="273"/>
      <c r="EAA18" s="273"/>
      <c r="EAB18" s="273"/>
      <c r="EAC18" s="273"/>
      <c r="EAD18" s="273"/>
      <c r="EAE18" s="273"/>
      <c r="EAF18" s="273"/>
      <c r="EAG18" s="273"/>
      <c r="EAH18" s="273"/>
      <c r="EAI18" s="273"/>
      <c r="EAJ18" s="273"/>
      <c r="EAK18" s="273"/>
      <c r="EAL18" s="273"/>
      <c r="EAM18" s="273"/>
      <c r="EAN18" s="273"/>
      <c r="EAO18" s="273"/>
      <c r="EAP18" s="273"/>
      <c r="EAQ18" s="273"/>
      <c r="EAR18" s="273"/>
      <c r="EAS18" s="273"/>
      <c r="EAT18" s="273"/>
      <c r="EAU18" s="273"/>
      <c r="EAV18" s="273"/>
      <c r="EAW18" s="273"/>
      <c r="EAX18" s="273"/>
      <c r="EAY18" s="273"/>
      <c r="EAZ18" s="273"/>
      <c r="EBA18" s="273"/>
      <c r="EBB18" s="273"/>
      <c r="EBC18" s="273"/>
      <c r="EBD18" s="273"/>
      <c r="EBE18" s="273"/>
      <c r="EBF18" s="273"/>
      <c r="EBG18" s="273"/>
      <c r="EBH18" s="273"/>
      <c r="EBI18" s="273"/>
      <c r="EBJ18" s="273"/>
      <c r="EBK18" s="273"/>
      <c r="EBL18" s="273"/>
      <c r="EBM18" s="273"/>
      <c r="EBN18" s="273"/>
      <c r="EBO18" s="273"/>
      <c r="EBP18" s="273"/>
      <c r="EBQ18" s="273"/>
      <c r="EBR18" s="273"/>
      <c r="EBS18" s="273"/>
      <c r="EBT18" s="273"/>
      <c r="EBU18" s="273"/>
      <c r="EBV18" s="273"/>
      <c r="EBW18" s="273"/>
      <c r="EBX18" s="273"/>
      <c r="EBY18" s="273"/>
      <c r="EBZ18" s="273"/>
      <c r="ECA18" s="273"/>
      <c r="ECB18" s="273"/>
      <c r="ECC18" s="273"/>
      <c r="ECD18" s="273"/>
      <c r="ECE18" s="273"/>
      <c r="ECF18" s="273"/>
      <c r="ECG18" s="273"/>
      <c r="ECH18" s="273"/>
      <c r="ECI18" s="273"/>
      <c r="ECJ18" s="273"/>
      <c r="ECK18" s="273"/>
      <c r="ECL18" s="273"/>
      <c r="ECM18" s="273"/>
      <c r="ECN18" s="273"/>
      <c r="ECO18" s="273"/>
      <c r="ECP18" s="273"/>
      <c r="ECQ18" s="273"/>
      <c r="ECR18" s="273"/>
      <c r="ECS18" s="273"/>
      <c r="ECT18" s="273"/>
      <c r="ECU18" s="273"/>
      <c r="ECV18" s="273"/>
      <c r="ECW18" s="273"/>
      <c r="ECX18" s="273"/>
      <c r="ECY18" s="273"/>
      <c r="ECZ18" s="273"/>
      <c r="EDA18" s="273"/>
      <c r="EDB18" s="273"/>
      <c r="EDC18" s="273"/>
      <c r="EDD18" s="273"/>
      <c r="EDE18" s="273"/>
      <c r="EDF18" s="273"/>
      <c r="EDG18" s="273"/>
      <c r="EDH18" s="273"/>
      <c r="EDI18" s="273"/>
      <c r="EDJ18" s="273"/>
      <c r="EDK18" s="273"/>
      <c r="EDL18" s="273"/>
      <c r="EDM18" s="273"/>
      <c r="EDN18" s="273"/>
      <c r="EDO18" s="273"/>
      <c r="EDP18" s="273"/>
      <c r="EDQ18" s="273"/>
      <c r="EDR18" s="273"/>
      <c r="EDS18" s="273"/>
      <c r="EDT18" s="273"/>
      <c r="EDU18" s="273"/>
      <c r="EDV18" s="273"/>
      <c r="EDW18" s="273"/>
      <c r="EDX18" s="273"/>
      <c r="EDY18" s="273"/>
      <c r="EDZ18" s="273"/>
      <c r="EEA18" s="273"/>
      <c r="EEB18" s="273"/>
      <c r="EEC18" s="273"/>
      <c r="EED18" s="273"/>
      <c r="EEE18" s="273"/>
      <c r="EEF18" s="273"/>
      <c r="EEG18" s="273"/>
      <c r="EEH18" s="273"/>
      <c r="EEI18" s="273"/>
      <c r="EEJ18" s="273"/>
      <c r="EEK18" s="273"/>
      <c r="EEL18" s="273"/>
      <c r="EEM18" s="273"/>
      <c r="EEN18" s="273"/>
      <c r="EEO18" s="273"/>
      <c r="EEP18" s="273"/>
      <c r="EEQ18" s="273"/>
      <c r="EER18" s="273"/>
      <c r="EES18" s="273"/>
      <c r="EET18" s="273"/>
      <c r="EEU18" s="273"/>
      <c r="EEV18" s="273"/>
      <c r="EEW18" s="273"/>
      <c r="EEX18" s="273"/>
      <c r="EEY18" s="273"/>
      <c r="EEZ18" s="273"/>
      <c r="EFA18" s="273"/>
      <c r="EFB18" s="273"/>
      <c r="EFC18" s="273"/>
      <c r="EFD18" s="273"/>
      <c r="EFE18" s="273"/>
      <c r="EFF18" s="273"/>
      <c r="EFG18" s="273"/>
      <c r="EFH18" s="273"/>
      <c r="EFI18" s="273"/>
      <c r="EFJ18" s="273"/>
      <c r="EFK18" s="273"/>
      <c r="EFL18" s="273"/>
      <c r="EFM18" s="273"/>
      <c r="EFN18" s="273"/>
      <c r="EFO18" s="273"/>
      <c r="EFP18" s="273"/>
      <c r="EFQ18" s="273"/>
      <c r="EFR18" s="273"/>
      <c r="EFS18" s="273"/>
      <c r="EFT18" s="273"/>
      <c r="EFU18" s="273"/>
      <c r="EFV18" s="273"/>
      <c r="EFW18" s="273"/>
      <c r="EFX18" s="273"/>
      <c r="EFY18" s="273"/>
      <c r="EFZ18" s="273"/>
      <c r="EGA18" s="273"/>
      <c r="EGB18" s="273"/>
      <c r="EGC18" s="273"/>
      <c r="EGD18" s="273"/>
      <c r="EGE18" s="273"/>
      <c r="EGF18" s="273"/>
      <c r="EGG18" s="273"/>
      <c r="EGH18" s="273"/>
      <c r="EGI18" s="273"/>
      <c r="EGJ18" s="273"/>
      <c r="EGK18" s="273"/>
      <c r="EGL18" s="273"/>
      <c r="EGM18" s="273"/>
      <c r="EGN18" s="273"/>
      <c r="EGO18" s="273"/>
      <c r="EGP18" s="273"/>
      <c r="EGQ18" s="273"/>
      <c r="EGR18" s="273"/>
      <c r="EGS18" s="273"/>
      <c r="EGT18" s="273"/>
      <c r="EGU18" s="273"/>
      <c r="EGV18" s="273"/>
      <c r="EGW18" s="273"/>
      <c r="EGX18" s="273"/>
      <c r="EGY18" s="273"/>
      <c r="EGZ18" s="273"/>
      <c r="EHA18" s="273"/>
      <c r="EHB18" s="273"/>
      <c r="EHC18" s="273"/>
      <c r="EHD18" s="273"/>
      <c r="EHE18" s="273"/>
      <c r="EHF18" s="273"/>
      <c r="EHG18" s="273"/>
      <c r="EHH18" s="273"/>
      <c r="EHI18" s="273"/>
      <c r="EHJ18" s="273"/>
      <c r="EHK18" s="273"/>
      <c r="EHL18" s="273"/>
      <c r="EHM18" s="273"/>
      <c r="EHN18" s="273"/>
      <c r="EHO18" s="273"/>
      <c r="EHP18" s="273"/>
      <c r="EHQ18" s="273"/>
      <c r="EHR18" s="273"/>
      <c r="EHS18" s="273"/>
      <c r="EHT18" s="273"/>
      <c r="EHU18" s="273"/>
      <c r="EHV18" s="273"/>
      <c r="EHW18" s="273"/>
      <c r="EHX18" s="273"/>
      <c r="EHY18" s="273"/>
      <c r="EHZ18" s="273"/>
      <c r="EIA18" s="273"/>
      <c r="EIB18" s="273"/>
      <c r="EIC18" s="273"/>
      <c r="EID18" s="273"/>
      <c r="EIE18" s="273"/>
      <c r="EIF18" s="273"/>
      <c r="EIG18" s="273"/>
      <c r="EIH18" s="273"/>
      <c r="EII18" s="273"/>
      <c r="EIJ18" s="273"/>
      <c r="EIK18" s="273"/>
      <c r="EIL18" s="273"/>
      <c r="EIM18" s="273"/>
      <c r="EIN18" s="273"/>
      <c r="EIO18" s="273"/>
      <c r="EIP18" s="273"/>
      <c r="EIQ18" s="273"/>
      <c r="EIR18" s="273"/>
      <c r="EIS18" s="273"/>
      <c r="EIT18" s="273"/>
      <c r="EIU18" s="273"/>
      <c r="EIV18" s="273"/>
      <c r="EIW18" s="273"/>
      <c r="EIX18" s="273"/>
      <c r="EIY18" s="273"/>
      <c r="EIZ18" s="273"/>
      <c r="EJA18" s="273"/>
      <c r="EJB18" s="273"/>
      <c r="EJC18" s="273"/>
      <c r="EJD18" s="273"/>
      <c r="EJE18" s="273"/>
      <c r="EJF18" s="273"/>
      <c r="EJG18" s="273"/>
      <c r="EJH18" s="273"/>
      <c r="EJI18" s="273"/>
      <c r="EJJ18" s="273"/>
      <c r="EJK18" s="273"/>
      <c r="EJL18" s="273"/>
      <c r="EJM18" s="273"/>
      <c r="EJN18" s="273"/>
      <c r="EJO18" s="273"/>
      <c r="EJP18" s="273"/>
      <c r="EJQ18" s="273"/>
      <c r="EJR18" s="273"/>
      <c r="EJS18" s="273"/>
      <c r="EJT18" s="273"/>
      <c r="EJU18" s="273"/>
      <c r="EJV18" s="273"/>
      <c r="EJW18" s="273"/>
      <c r="EJX18" s="273"/>
      <c r="EJY18" s="273"/>
      <c r="EJZ18" s="273"/>
      <c r="EKA18" s="273"/>
      <c r="EKB18" s="273"/>
      <c r="EKC18" s="273"/>
      <c r="EKD18" s="273"/>
      <c r="EKE18" s="273"/>
      <c r="EKF18" s="273"/>
      <c r="EKG18" s="273"/>
      <c r="EKH18" s="273"/>
      <c r="EKI18" s="273"/>
      <c r="EKJ18" s="273"/>
      <c r="EKK18" s="273"/>
      <c r="EKL18" s="273"/>
      <c r="EKM18" s="273"/>
      <c r="EKN18" s="273"/>
      <c r="EKO18" s="273"/>
      <c r="EKP18" s="273"/>
      <c r="EKQ18" s="273"/>
      <c r="EKR18" s="273"/>
      <c r="EKS18" s="273"/>
      <c r="EKT18" s="273"/>
      <c r="EKU18" s="273"/>
      <c r="EKV18" s="273"/>
      <c r="EKW18" s="273"/>
      <c r="EKX18" s="273"/>
      <c r="EKY18" s="273"/>
      <c r="EKZ18" s="273"/>
      <c r="ELA18" s="273"/>
      <c r="ELB18" s="273"/>
      <c r="ELC18" s="273"/>
      <c r="ELD18" s="273"/>
      <c r="ELE18" s="273"/>
      <c r="ELF18" s="273"/>
      <c r="ELG18" s="273"/>
      <c r="ELH18" s="273"/>
      <c r="ELI18" s="273"/>
      <c r="ELJ18" s="273"/>
      <c r="ELK18" s="273"/>
      <c r="ELL18" s="273"/>
      <c r="ELM18" s="273"/>
      <c r="ELN18" s="273"/>
      <c r="ELO18" s="273"/>
      <c r="ELP18" s="273"/>
      <c r="ELQ18" s="273"/>
      <c r="ELR18" s="273"/>
      <c r="ELS18" s="273"/>
      <c r="ELT18" s="273"/>
      <c r="ELU18" s="273"/>
      <c r="ELV18" s="273"/>
      <c r="ELW18" s="273"/>
      <c r="ELX18" s="273"/>
      <c r="ELY18" s="273"/>
      <c r="ELZ18" s="273"/>
      <c r="EMA18" s="273"/>
      <c r="EMB18" s="273"/>
      <c r="EMC18" s="273"/>
      <c r="EMD18" s="273"/>
      <c r="EME18" s="273"/>
      <c r="EMF18" s="273"/>
      <c r="EMG18" s="273"/>
      <c r="EMH18" s="273"/>
      <c r="EMI18" s="273"/>
      <c r="EMJ18" s="273"/>
      <c r="EMK18" s="273"/>
      <c r="EML18" s="273"/>
      <c r="EMM18" s="273"/>
      <c r="EMN18" s="273"/>
      <c r="EMO18" s="273"/>
      <c r="EMP18" s="273"/>
      <c r="EMQ18" s="273"/>
      <c r="EMR18" s="273"/>
      <c r="EMS18" s="273"/>
      <c r="EMT18" s="273"/>
      <c r="EMU18" s="273"/>
      <c r="EMV18" s="273"/>
      <c r="EMW18" s="273"/>
      <c r="EMX18" s="273"/>
      <c r="EMY18" s="273"/>
      <c r="EMZ18" s="273"/>
      <c r="ENA18" s="273"/>
      <c r="ENB18" s="273"/>
      <c r="ENC18" s="273"/>
      <c r="END18" s="273"/>
      <c r="ENE18" s="273"/>
      <c r="ENF18" s="273"/>
      <c r="ENG18" s="273"/>
      <c r="ENH18" s="273"/>
      <c r="ENI18" s="273"/>
      <c r="ENJ18" s="273"/>
      <c r="ENK18" s="273"/>
      <c r="ENL18" s="273"/>
      <c r="ENM18" s="273"/>
      <c r="ENN18" s="273"/>
      <c r="ENO18" s="273"/>
      <c r="ENP18" s="273"/>
      <c r="ENQ18" s="273"/>
      <c r="ENR18" s="273"/>
      <c r="ENS18" s="273"/>
      <c r="ENT18" s="273"/>
      <c r="ENU18" s="273"/>
      <c r="ENV18" s="273"/>
      <c r="ENW18" s="273"/>
      <c r="ENX18" s="273"/>
      <c r="ENY18" s="273"/>
      <c r="ENZ18" s="273"/>
      <c r="EOA18" s="273"/>
      <c r="EOB18" s="273"/>
      <c r="EOC18" s="273"/>
      <c r="EOD18" s="273"/>
      <c r="EOE18" s="273"/>
      <c r="EOF18" s="273"/>
      <c r="EOG18" s="273"/>
      <c r="EOH18" s="273"/>
      <c r="EOI18" s="273"/>
      <c r="EOJ18" s="273"/>
      <c r="EOK18" s="273"/>
      <c r="EOL18" s="273"/>
      <c r="EOM18" s="273"/>
      <c r="EON18" s="273"/>
      <c r="EOO18" s="273"/>
      <c r="EOP18" s="273"/>
      <c r="EOQ18" s="273"/>
      <c r="EOR18" s="273"/>
      <c r="EOS18" s="273"/>
      <c r="EOT18" s="273"/>
      <c r="EOU18" s="273"/>
      <c r="EOV18" s="273"/>
      <c r="EOW18" s="273"/>
      <c r="EOX18" s="273"/>
      <c r="EOY18" s="273"/>
      <c r="EOZ18" s="273"/>
      <c r="EPA18" s="273"/>
      <c r="EPB18" s="273"/>
      <c r="EPC18" s="273"/>
      <c r="EPD18" s="273"/>
      <c r="EPE18" s="273"/>
      <c r="EPF18" s="273"/>
      <c r="EPG18" s="273"/>
      <c r="EPH18" s="273"/>
      <c r="EPI18" s="273"/>
      <c r="EPJ18" s="273"/>
      <c r="EPK18" s="273"/>
      <c r="EPL18" s="273"/>
      <c r="EPM18" s="273"/>
      <c r="EPN18" s="273"/>
      <c r="EPO18" s="273"/>
      <c r="EPP18" s="273"/>
      <c r="EPQ18" s="273"/>
      <c r="EPR18" s="273"/>
      <c r="EPS18" s="273"/>
      <c r="EPT18" s="273"/>
      <c r="EPU18" s="273"/>
      <c r="EPV18" s="273"/>
      <c r="EPW18" s="273"/>
      <c r="EPX18" s="273"/>
      <c r="EPY18" s="273"/>
      <c r="EPZ18" s="273"/>
      <c r="EQA18" s="273"/>
      <c r="EQB18" s="273"/>
      <c r="EQC18" s="273"/>
      <c r="EQD18" s="273"/>
      <c r="EQE18" s="273"/>
      <c r="EQF18" s="273"/>
      <c r="EQG18" s="273"/>
      <c r="EQH18" s="273"/>
      <c r="EQI18" s="273"/>
      <c r="EQJ18" s="273"/>
      <c r="EQK18" s="273"/>
      <c r="EQL18" s="273"/>
      <c r="EQM18" s="273"/>
      <c r="EQN18" s="273"/>
      <c r="EQO18" s="273"/>
      <c r="EQP18" s="273"/>
      <c r="EQQ18" s="273"/>
      <c r="EQR18" s="273"/>
      <c r="EQS18" s="273"/>
      <c r="EQT18" s="273"/>
      <c r="EQU18" s="273"/>
      <c r="EQV18" s="273"/>
      <c r="EQW18" s="273"/>
      <c r="EQX18" s="273"/>
      <c r="EQY18" s="273"/>
      <c r="EQZ18" s="273"/>
      <c r="ERA18" s="273"/>
      <c r="ERB18" s="273"/>
      <c r="ERC18" s="273"/>
      <c r="ERD18" s="273"/>
      <c r="ERE18" s="273"/>
      <c r="ERF18" s="273"/>
      <c r="ERG18" s="273"/>
      <c r="ERH18" s="273"/>
      <c r="ERI18" s="273"/>
      <c r="ERJ18" s="273"/>
      <c r="ERK18" s="273"/>
      <c r="ERL18" s="273"/>
      <c r="ERM18" s="273"/>
      <c r="ERN18" s="273"/>
      <c r="ERO18" s="273"/>
      <c r="ERP18" s="273"/>
      <c r="ERQ18" s="273"/>
      <c r="ERR18" s="273"/>
      <c r="ERS18" s="273"/>
      <c r="ERT18" s="273"/>
      <c r="ERU18" s="273"/>
      <c r="ERV18" s="273"/>
      <c r="ERW18" s="273"/>
      <c r="ERX18" s="273"/>
      <c r="ERY18" s="273"/>
      <c r="ERZ18" s="273"/>
      <c r="ESA18" s="273"/>
      <c r="ESB18" s="273"/>
      <c r="ESC18" s="273"/>
      <c r="ESD18" s="273"/>
      <c r="ESE18" s="273"/>
      <c r="ESF18" s="273"/>
      <c r="ESG18" s="273"/>
      <c r="ESH18" s="273"/>
      <c r="ESI18" s="273"/>
      <c r="ESJ18" s="273"/>
      <c r="ESK18" s="273"/>
      <c r="ESL18" s="273"/>
      <c r="ESM18" s="273"/>
      <c r="ESN18" s="273"/>
      <c r="ESO18" s="273"/>
      <c r="ESP18" s="273"/>
      <c r="ESQ18" s="273"/>
      <c r="ESR18" s="273"/>
      <c r="ESS18" s="273"/>
      <c r="EST18" s="273"/>
      <c r="ESU18" s="273"/>
      <c r="ESV18" s="273"/>
      <c r="ESW18" s="273"/>
      <c r="ESX18" s="273"/>
      <c r="ESY18" s="273"/>
      <c r="ESZ18" s="273"/>
      <c r="ETA18" s="273"/>
      <c r="ETB18" s="273"/>
      <c r="ETC18" s="273"/>
      <c r="ETD18" s="273"/>
      <c r="ETE18" s="273"/>
      <c r="ETF18" s="273"/>
      <c r="ETG18" s="273"/>
      <c r="ETH18" s="273"/>
      <c r="ETI18" s="273"/>
      <c r="ETJ18" s="273"/>
      <c r="ETK18" s="273"/>
      <c r="ETL18" s="273"/>
      <c r="ETM18" s="273"/>
      <c r="ETN18" s="273"/>
      <c r="ETO18" s="273"/>
      <c r="ETP18" s="273"/>
      <c r="ETQ18" s="273"/>
      <c r="ETR18" s="273"/>
      <c r="ETS18" s="273"/>
      <c r="ETT18" s="273"/>
      <c r="ETU18" s="273"/>
      <c r="ETV18" s="273"/>
      <c r="ETW18" s="273"/>
      <c r="ETX18" s="273"/>
      <c r="ETY18" s="273"/>
      <c r="ETZ18" s="273"/>
      <c r="EUA18" s="273"/>
      <c r="EUB18" s="273"/>
      <c r="EUC18" s="273"/>
      <c r="EUD18" s="273"/>
      <c r="EUE18" s="273"/>
      <c r="EUF18" s="273"/>
      <c r="EUG18" s="273"/>
      <c r="EUH18" s="273"/>
      <c r="EUI18" s="273"/>
      <c r="EUJ18" s="273"/>
      <c r="EUK18" s="273"/>
      <c r="EUL18" s="273"/>
      <c r="EUM18" s="273"/>
      <c r="EUN18" s="273"/>
      <c r="EUO18" s="273"/>
      <c r="EUP18" s="273"/>
      <c r="EUQ18" s="273"/>
      <c r="EUR18" s="273"/>
      <c r="EUS18" s="273"/>
      <c r="EUT18" s="273"/>
      <c r="EUU18" s="273"/>
      <c r="EUV18" s="273"/>
      <c r="EUW18" s="273"/>
      <c r="EUX18" s="273"/>
      <c r="EUY18" s="273"/>
      <c r="EUZ18" s="273"/>
      <c r="EVA18" s="273"/>
      <c r="EVB18" s="273"/>
      <c r="EVC18" s="273"/>
      <c r="EVD18" s="273"/>
      <c r="EVE18" s="273"/>
      <c r="EVF18" s="273"/>
      <c r="EVG18" s="273"/>
      <c r="EVH18" s="273"/>
      <c r="EVI18" s="273"/>
      <c r="EVJ18" s="273"/>
      <c r="EVK18" s="273"/>
      <c r="EVL18" s="273"/>
      <c r="EVM18" s="273"/>
      <c r="EVN18" s="273"/>
      <c r="EVO18" s="273"/>
      <c r="EVP18" s="273"/>
      <c r="EVQ18" s="273"/>
      <c r="EVR18" s="273"/>
      <c r="EVS18" s="273"/>
      <c r="EVT18" s="273"/>
      <c r="EVU18" s="273"/>
      <c r="EVV18" s="273"/>
      <c r="EVW18" s="273"/>
      <c r="EVX18" s="273"/>
      <c r="EVY18" s="273"/>
      <c r="EVZ18" s="273"/>
      <c r="EWA18" s="273"/>
      <c r="EWB18" s="273"/>
      <c r="EWC18" s="273"/>
      <c r="EWD18" s="273"/>
      <c r="EWE18" s="273"/>
      <c r="EWF18" s="273"/>
      <c r="EWG18" s="273"/>
      <c r="EWH18" s="273"/>
      <c r="EWI18" s="273"/>
      <c r="EWJ18" s="273"/>
      <c r="EWK18" s="273"/>
      <c r="EWL18" s="273"/>
      <c r="EWM18" s="273"/>
      <c r="EWN18" s="273"/>
      <c r="EWO18" s="273"/>
      <c r="EWP18" s="273"/>
      <c r="EWQ18" s="273"/>
      <c r="EWR18" s="273"/>
      <c r="EWS18" s="273"/>
      <c r="EWT18" s="273"/>
      <c r="EWU18" s="273"/>
      <c r="EWV18" s="273"/>
      <c r="EWW18" s="273"/>
      <c r="EWX18" s="273"/>
      <c r="EWY18" s="273"/>
      <c r="EWZ18" s="273"/>
      <c r="EXA18" s="273"/>
      <c r="EXB18" s="273"/>
      <c r="EXC18" s="273"/>
      <c r="EXD18" s="273"/>
      <c r="EXE18" s="273"/>
      <c r="EXF18" s="273"/>
      <c r="EXG18" s="273"/>
      <c r="EXH18" s="273"/>
      <c r="EXI18" s="273"/>
      <c r="EXJ18" s="273"/>
      <c r="EXK18" s="273"/>
      <c r="EXL18" s="273"/>
      <c r="EXM18" s="273"/>
      <c r="EXN18" s="273"/>
      <c r="EXO18" s="273"/>
      <c r="EXP18" s="273"/>
      <c r="EXQ18" s="273"/>
      <c r="EXR18" s="273"/>
      <c r="EXS18" s="273"/>
      <c r="EXT18" s="273"/>
      <c r="EXU18" s="273"/>
      <c r="EXV18" s="273"/>
      <c r="EXW18" s="273"/>
      <c r="EXX18" s="273"/>
      <c r="EXY18" s="273"/>
      <c r="EXZ18" s="273"/>
      <c r="EYA18" s="273"/>
      <c r="EYB18" s="273"/>
      <c r="EYC18" s="273"/>
      <c r="EYD18" s="273"/>
      <c r="EYE18" s="273"/>
      <c r="EYF18" s="273"/>
      <c r="EYG18" s="273"/>
      <c r="EYH18" s="273"/>
      <c r="EYI18" s="273"/>
      <c r="EYJ18" s="273"/>
      <c r="EYK18" s="273"/>
      <c r="EYL18" s="273"/>
      <c r="EYM18" s="273"/>
      <c r="EYN18" s="273"/>
      <c r="EYO18" s="273"/>
      <c r="EYP18" s="273"/>
      <c r="EYQ18" s="273"/>
      <c r="EYR18" s="273"/>
      <c r="EYS18" s="273"/>
      <c r="EYT18" s="273"/>
      <c r="EYU18" s="273"/>
      <c r="EYV18" s="273"/>
      <c r="EYW18" s="273"/>
      <c r="EYX18" s="273"/>
      <c r="EYY18" s="273"/>
      <c r="EYZ18" s="273"/>
      <c r="EZA18" s="273"/>
      <c r="EZB18" s="273"/>
      <c r="EZC18" s="273"/>
      <c r="EZD18" s="273"/>
      <c r="EZE18" s="273"/>
      <c r="EZF18" s="273"/>
      <c r="EZG18" s="273"/>
      <c r="EZH18" s="273"/>
      <c r="EZI18" s="273"/>
      <c r="EZJ18" s="273"/>
      <c r="EZK18" s="273"/>
      <c r="EZL18" s="273"/>
      <c r="EZM18" s="273"/>
      <c r="EZN18" s="273"/>
      <c r="EZO18" s="273"/>
      <c r="EZP18" s="273"/>
      <c r="EZQ18" s="273"/>
      <c r="EZR18" s="273"/>
      <c r="EZS18" s="273"/>
      <c r="EZT18" s="273"/>
      <c r="EZU18" s="273"/>
      <c r="EZV18" s="273"/>
      <c r="EZW18" s="273"/>
      <c r="EZX18" s="273"/>
      <c r="EZY18" s="273"/>
      <c r="EZZ18" s="273"/>
      <c r="FAA18" s="273"/>
      <c r="FAB18" s="273"/>
      <c r="FAC18" s="273"/>
      <c r="FAD18" s="273"/>
      <c r="FAE18" s="273"/>
      <c r="FAF18" s="273"/>
      <c r="FAG18" s="273"/>
      <c r="FAH18" s="273"/>
      <c r="FAI18" s="273"/>
      <c r="FAJ18" s="273"/>
      <c r="FAK18" s="273"/>
      <c r="FAL18" s="273"/>
      <c r="FAM18" s="273"/>
      <c r="FAN18" s="273"/>
      <c r="FAO18" s="273"/>
      <c r="FAP18" s="273"/>
      <c r="FAQ18" s="273"/>
      <c r="FAR18" s="273"/>
      <c r="FAS18" s="273"/>
      <c r="FAT18" s="273"/>
      <c r="FAU18" s="273"/>
      <c r="FAV18" s="273"/>
      <c r="FAW18" s="273"/>
      <c r="FAX18" s="273"/>
      <c r="FAY18" s="273"/>
      <c r="FAZ18" s="273"/>
      <c r="FBA18" s="273"/>
      <c r="FBB18" s="273"/>
      <c r="FBC18" s="273"/>
      <c r="FBD18" s="273"/>
      <c r="FBE18" s="273"/>
      <c r="FBF18" s="273"/>
      <c r="FBG18" s="273"/>
      <c r="FBH18" s="273"/>
      <c r="FBI18" s="273"/>
      <c r="FBJ18" s="273"/>
      <c r="FBK18" s="273"/>
      <c r="FBL18" s="273"/>
      <c r="FBM18" s="273"/>
      <c r="FBN18" s="273"/>
      <c r="FBO18" s="273"/>
      <c r="FBP18" s="273"/>
      <c r="FBQ18" s="273"/>
      <c r="FBR18" s="273"/>
      <c r="FBS18" s="273"/>
      <c r="FBT18" s="273"/>
      <c r="FBU18" s="273"/>
      <c r="FBV18" s="273"/>
      <c r="FBW18" s="273"/>
      <c r="FBX18" s="273"/>
      <c r="FBY18" s="273"/>
      <c r="FBZ18" s="273"/>
      <c r="FCA18" s="273"/>
      <c r="FCB18" s="273"/>
      <c r="FCC18" s="273"/>
      <c r="FCD18" s="273"/>
      <c r="FCE18" s="273"/>
      <c r="FCF18" s="273"/>
      <c r="FCG18" s="273"/>
      <c r="FCH18" s="273"/>
      <c r="FCI18" s="273"/>
      <c r="FCJ18" s="273"/>
      <c r="FCK18" s="273"/>
      <c r="FCL18" s="273"/>
      <c r="FCM18" s="273"/>
      <c r="FCN18" s="273"/>
      <c r="FCO18" s="273"/>
      <c r="FCP18" s="273"/>
      <c r="FCQ18" s="273"/>
      <c r="FCR18" s="273"/>
      <c r="FCS18" s="273"/>
      <c r="FCT18" s="273"/>
      <c r="FCU18" s="273"/>
      <c r="FCV18" s="273"/>
      <c r="FCW18" s="273"/>
      <c r="FCX18" s="273"/>
      <c r="FCY18" s="273"/>
      <c r="FCZ18" s="273"/>
      <c r="FDA18" s="273"/>
      <c r="FDB18" s="273"/>
      <c r="FDC18" s="273"/>
      <c r="FDD18" s="273"/>
      <c r="FDE18" s="273"/>
      <c r="FDF18" s="273"/>
      <c r="FDG18" s="273"/>
      <c r="FDH18" s="273"/>
      <c r="FDI18" s="273"/>
      <c r="FDJ18" s="273"/>
      <c r="FDK18" s="273"/>
      <c r="FDL18" s="273"/>
      <c r="FDM18" s="273"/>
      <c r="FDN18" s="273"/>
      <c r="FDO18" s="273"/>
      <c r="FDP18" s="273"/>
      <c r="FDQ18" s="273"/>
      <c r="FDR18" s="273"/>
      <c r="FDS18" s="273"/>
      <c r="FDT18" s="273"/>
      <c r="FDU18" s="273"/>
      <c r="FDV18" s="273"/>
      <c r="FDW18" s="273"/>
      <c r="FDX18" s="273"/>
      <c r="FDY18" s="273"/>
      <c r="FDZ18" s="273"/>
      <c r="FEA18" s="273"/>
      <c r="FEB18" s="273"/>
      <c r="FEC18" s="273"/>
      <c r="FED18" s="273"/>
      <c r="FEE18" s="273"/>
      <c r="FEF18" s="273"/>
      <c r="FEG18" s="273"/>
      <c r="FEH18" s="273"/>
      <c r="FEI18" s="273"/>
      <c r="FEJ18" s="273"/>
      <c r="FEK18" s="273"/>
      <c r="FEL18" s="273"/>
      <c r="FEM18" s="273"/>
      <c r="FEN18" s="273"/>
      <c r="FEO18" s="273"/>
      <c r="FEP18" s="273"/>
      <c r="FEQ18" s="273"/>
      <c r="FER18" s="273"/>
      <c r="FES18" s="273"/>
      <c r="FET18" s="273"/>
      <c r="FEU18" s="273"/>
      <c r="FEV18" s="273"/>
      <c r="FEW18" s="273"/>
      <c r="FEX18" s="273"/>
      <c r="FEY18" s="273"/>
      <c r="FEZ18" s="273"/>
      <c r="FFA18" s="273"/>
      <c r="FFB18" s="273"/>
      <c r="FFC18" s="273"/>
      <c r="FFD18" s="273"/>
      <c r="FFE18" s="273"/>
      <c r="FFF18" s="273"/>
      <c r="FFG18" s="273"/>
      <c r="FFH18" s="273"/>
      <c r="FFI18" s="273"/>
      <c r="FFJ18" s="273"/>
      <c r="FFK18" s="273"/>
      <c r="FFL18" s="273"/>
      <c r="FFM18" s="273"/>
      <c r="FFN18" s="273"/>
      <c r="FFO18" s="273"/>
      <c r="FFP18" s="273"/>
      <c r="FFQ18" s="273"/>
      <c r="FFR18" s="273"/>
      <c r="FFS18" s="273"/>
      <c r="FFT18" s="273"/>
      <c r="FFU18" s="273"/>
      <c r="FFV18" s="273"/>
      <c r="FFW18" s="273"/>
      <c r="FFX18" s="273"/>
      <c r="FFY18" s="273"/>
      <c r="FFZ18" s="273"/>
      <c r="FGA18" s="273"/>
      <c r="FGB18" s="273"/>
      <c r="FGC18" s="273"/>
      <c r="FGD18" s="273"/>
      <c r="FGE18" s="273"/>
      <c r="FGF18" s="273"/>
      <c r="FGG18" s="273"/>
      <c r="FGH18" s="273"/>
      <c r="FGI18" s="273"/>
      <c r="FGJ18" s="273"/>
      <c r="FGK18" s="273"/>
      <c r="FGL18" s="273"/>
      <c r="FGM18" s="273"/>
      <c r="FGN18" s="273"/>
      <c r="FGO18" s="273"/>
      <c r="FGP18" s="273"/>
      <c r="FGQ18" s="273"/>
      <c r="FGR18" s="273"/>
      <c r="FGS18" s="273"/>
      <c r="FGT18" s="273"/>
      <c r="FGU18" s="273"/>
      <c r="FGV18" s="273"/>
      <c r="FGW18" s="273"/>
      <c r="FGX18" s="273"/>
      <c r="FGY18" s="273"/>
      <c r="FGZ18" s="273"/>
      <c r="FHA18" s="273"/>
      <c r="FHB18" s="273"/>
      <c r="FHC18" s="273"/>
      <c r="FHD18" s="273"/>
      <c r="FHE18" s="273"/>
      <c r="FHF18" s="273"/>
      <c r="FHG18" s="273"/>
      <c r="FHH18" s="273"/>
      <c r="FHI18" s="273"/>
      <c r="FHJ18" s="273"/>
      <c r="FHK18" s="273"/>
      <c r="FHL18" s="273"/>
      <c r="FHM18" s="273"/>
      <c r="FHN18" s="273"/>
      <c r="FHO18" s="273"/>
      <c r="FHP18" s="273"/>
      <c r="FHQ18" s="273"/>
      <c r="FHR18" s="273"/>
      <c r="FHS18" s="273"/>
      <c r="FHT18" s="273"/>
      <c r="FHU18" s="273"/>
      <c r="FHV18" s="273"/>
      <c r="FHW18" s="273"/>
      <c r="FHX18" s="273"/>
      <c r="FHY18" s="273"/>
      <c r="FHZ18" s="273"/>
      <c r="FIA18" s="273"/>
      <c r="FIB18" s="273"/>
      <c r="FIC18" s="273"/>
      <c r="FID18" s="273"/>
      <c r="FIE18" s="273"/>
      <c r="FIF18" s="273"/>
      <c r="FIG18" s="273"/>
      <c r="FIH18" s="273"/>
      <c r="FII18" s="273"/>
      <c r="FIJ18" s="273"/>
      <c r="FIK18" s="273"/>
      <c r="FIL18" s="273"/>
      <c r="FIM18" s="273"/>
      <c r="FIN18" s="273"/>
      <c r="FIO18" s="273"/>
      <c r="FIP18" s="273"/>
      <c r="FIQ18" s="273"/>
      <c r="FIR18" s="273"/>
      <c r="FIS18" s="273"/>
      <c r="FIT18" s="273"/>
      <c r="FIU18" s="273"/>
      <c r="FIV18" s="273"/>
      <c r="FIW18" s="273"/>
      <c r="FIX18" s="273"/>
      <c r="FIY18" s="273"/>
      <c r="FIZ18" s="273"/>
      <c r="FJA18" s="273"/>
      <c r="FJB18" s="273"/>
      <c r="FJC18" s="273"/>
      <c r="FJD18" s="273"/>
      <c r="FJE18" s="273"/>
      <c r="FJF18" s="273"/>
      <c r="FJG18" s="273"/>
      <c r="FJH18" s="273"/>
      <c r="FJI18" s="273"/>
      <c r="FJJ18" s="273"/>
      <c r="FJK18" s="273"/>
      <c r="FJL18" s="273"/>
      <c r="FJM18" s="273"/>
      <c r="FJN18" s="273"/>
      <c r="FJO18" s="273"/>
      <c r="FJP18" s="273"/>
      <c r="FJQ18" s="273"/>
      <c r="FJR18" s="273"/>
      <c r="FJS18" s="273"/>
      <c r="FJT18" s="273"/>
      <c r="FJU18" s="273"/>
      <c r="FJV18" s="273"/>
      <c r="FJW18" s="273"/>
      <c r="FJX18" s="273"/>
      <c r="FJY18" s="273"/>
      <c r="FJZ18" s="273"/>
      <c r="FKA18" s="273"/>
      <c r="FKB18" s="273"/>
      <c r="FKC18" s="273"/>
      <c r="FKD18" s="273"/>
      <c r="FKE18" s="273"/>
      <c r="FKF18" s="273"/>
      <c r="FKG18" s="273"/>
      <c r="FKH18" s="273"/>
      <c r="FKI18" s="273"/>
      <c r="FKJ18" s="273"/>
      <c r="FKK18" s="273"/>
      <c r="FKL18" s="273"/>
      <c r="FKM18" s="273"/>
      <c r="FKN18" s="273"/>
      <c r="FKO18" s="273"/>
      <c r="FKP18" s="273"/>
      <c r="FKQ18" s="273"/>
      <c r="FKR18" s="273"/>
      <c r="FKS18" s="273"/>
      <c r="FKT18" s="273"/>
      <c r="FKU18" s="273"/>
      <c r="FKV18" s="273"/>
      <c r="FKW18" s="273"/>
      <c r="FKX18" s="273"/>
      <c r="FKY18" s="273"/>
      <c r="FKZ18" s="273"/>
      <c r="FLA18" s="273"/>
      <c r="FLB18" s="273"/>
      <c r="FLC18" s="273"/>
      <c r="FLD18" s="273"/>
      <c r="FLE18" s="273"/>
      <c r="FLF18" s="273"/>
      <c r="FLG18" s="273"/>
      <c r="FLH18" s="273"/>
      <c r="FLI18" s="273"/>
      <c r="FLJ18" s="273"/>
      <c r="FLK18" s="273"/>
      <c r="FLL18" s="273"/>
      <c r="FLM18" s="273"/>
      <c r="FLN18" s="273"/>
      <c r="FLO18" s="273"/>
      <c r="FLP18" s="273"/>
      <c r="FLQ18" s="273"/>
      <c r="FLR18" s="273"/>
      <c r="FLS18" s="273"/>
      <c r="FLT18" s="273"/>
      <c r="FLU18" s="273"/>
      <c r="FLV18" s="273"/>
      <c r="FLW18" s="273"/>
      <c r="FLX18" s="273"/>
      <c r="FLY18" s="273"/>
      <c r="FLZ18" s="273"/>
      <c r="FMA18" s="273"/>
      <c r="FMB18" s="273"/>
      <c r="FMC18" s="273"/>
      <c r="FMD18" s="273"/>
      <c r="FME18" s="273"/>
      <c r="FMF18" s="273"/>
      <c r="FMG18" s="273"/>
      <c r="FMH18" s="273"/>
      <c r="FMI18" s="273"/>
      <c r="FMJ18" s="273"/>
      <c r="FMK18" s="273"/>
      <c r="FML18" s="273"/>
      <c r="FMM18" s="273"/>
      <c r="FMN18" s="273"/>
      <c r="FMO18" s="273"/>
      <c r="FMP18" s="273"/>
      <c r="FMQ18" s="273"/>
      <c r="FMR18" s="273"/>
      <c r="FMS18" s="273"/>
      <c r="FMT18" s="273"/>
      <c r="FMU18" s="273"/>
      <c r="FMV18" s="273"/>
      <c r="FMW18" s="273"/>
      <c r="FMX18" s="273"/>
      <c r="FMY18" s="273"/>
      <c r="FMZ18" s="273"/>
      <c r="FNA18" s="273"/>
      <c r="FNB18" s="273"/>
      <c r="FNC18" s="273"/>
      <c r="FND18" s="273"/>
      <c r="FNE18" s="273"/>
      <c r="FNF18" s="273"/>
      <c r="FNG18" s="273"/>
      <c r="FNH18" s="273"/>
      <c r="FNI18" s="273"/>
      <c r="FNJ18" s="273"/>
      <c r="FNK18" s="273"/>
      <c r="FNL18" s="273"/>
      <c r="FNM18" s="273"/>
      <c r="FNN18" s="273"/>
      <c r="FNO18" s="273"/>
      <c r="FNP18" s="273"/>
      <c r="FNQ18" s="273"/>
      <c r="FNR18" s="273"/>
      <c r="FNS18" s="273"/>
      <c r="FNT18" s="273"/>
      <c r="FNU18" s="273"/>
      <c r="FNV18" s="273"/>
      <c r="FNW18" s="273"/>
      <c r="FNX18" s="273"/>
      <c r="FNY18" s="273"/>
      <c r="FNZ18" s="273"/>
      <c r="FOA18" s="273"/>
      <c r="FOB18" s="273"/>
      <c r="FOC18" s="273"/>
      <c r="FOD18" s="273"/>
      <c r="FOE18" s="273"/>
      <c r="FOF18" s="273"/>
      <c r="FOG18" s="273"/>
      <c r="FOH18" s="273"/>
      <c r="FOI18" s="273"/>
      <c r="FOJ18" s="273"/>
      <c r="FOK18" s="273"/>
      <c r="FOL18" s="273"/>
      <c r="FOM18" s="273"/>
      <c r="FON18" s="273"/>
      <c r="FOO18" s="273"/>
      <c r="FOP18" s="273"/>
      <c r="FOQ18" s="273"/>
      <c r="FOR18" s="273"/>
      <c r="FOS18" s="273"/>
      <c r="FOT18" s="273"/>
      <c r="FOU18" s="273"/>
      <c r="FOV18" s="273"/>
      <c r="FOW18" s="273"/>
      <c r="FOX18" s="273"/>
      <c r="FOY18" s="273"/>
      <c r="FOZ18" s="273"/>
      <c r="FPA18" s="273"/>
      <c r="FPB18" s="273"/>
      <c r="FPC18" s="273"/>
      <c r="FPD18" s="273"/>
      <c r="FPE18" s="273"/>
      <c r="FPF18" s="273"/>
      <c r="FPG18" s="273"/>
      <c r="FPH18" s="273"/>
      <c r="FPI18" s="273"/>
      <c r="FPJ18" s="273"/>
      <c r="FPK18" s="273"/>
      <c r="FPL18" s="273"/>
      <c r="FPM18" s="273"/>
      <c r="FPN18" s="273"/>
      <c r="FPO18" s="273"/>
      <c r="FPP18" s="273"/>
      <c r="FPQ18" s="273"/>
      <c r="FPR18" s="273"/>
      <c r="FPS18" s="273"/>
      <c r="FPT18" s="273"/>
      <c r="FPU18" s="273"/>
      <c r="FPV18" s="273"/>
      <c r="FPW18" s="273"/>
      <c r="FPX18" s="273"/>
      <c r="FPY18" s="273"/>
      <c r="FPZ18" s="273"/>
      <c r="FQA18" s="273"/>
      <c r="FQB18" s="273"/>
      <c r="FQC18" s="273"/>
      <c r="FQD18" s="273"/>
      <c r="FQE18" s="273"/>
      <c r="FQF18" s="273"/>
      <c r="FQG18" s="273"/>
      <c r="FQH18" s="273"/>
      <c r="FQI18" s="273"/>
      <c r="FQJ18" s="273"/>
      <c r="FQK18" s="273"/>
      <c r="FQL18" s="273"/>
      <c r="FQM18" s="273"/>
      <c r="FQN18" s="273"/>
      <c r="FQO18" s="273"/>
      <c r="FQP18" s="273"/>
      <c r="FQQ18" s="273"/>
      <c r="FQR18" s="273"/>
      <c r="FQS18" s="273"/>
      <c r="FQT18" s="273"/>
      <c r="FQU18" s="273"/>
      <c r="FQV18" s="273"/>
      <c r="FQW18" s="273"/>
      <c r="FQX18" s="273"/>
      <c r="FQY18" s="273"/>
      <c r="FQZ18" s="273"/>
      <c r="FRA18" s="273"/>
      <c r="FRB18" s="273"/>
      <c r="FRC18" s="273"/>
      <c r="FRD18" s="273"/>
      <c r="FRE18" s="273"/>
      <c r="FRF18" s="273"/>
      <c r="FRG18" s="273"/>
      <c r="FRH18" s="273"/>
      <c r="FRI18" s="273"/>
      <c r="FRJ18" s="273"/>
      <c r="FRK18" s="273"/>
      <c r="FRL18" s="273"/>
      <c r="FRM18" s="273"/>
      <c r="FRN18" s="273"/>
      <c r="FRO18" s="273"/>
      <c r="FRP18" s="273"/>
      <c r="FRQ18" s="273"/>
      <c r="FRR18" s="273"/>
      <c r="FRS18" s="273"/>
      <c r="FRT18" s="273"/>
      <c r="FRU18" s="273"/>
      <c r="FRV18" s="273"/>
      <c r="FRW18" s="273"/>
      <c r="FRX18" s="273"/>
      <c r="FRY18" s="273"/>
      <c r="FRZ18" s="273"/>
      <c r="FSA18" s="273"/>
      <c r="FSB18" s="273"/>
      <c r="FSC18" s="273"/>
      <c r="FSD18" s="273"/>
      <c r="FSE18" s="273"/>
      <c r="FSF18" s="273"/>
      <c r="FSG18" s="273"/>
      <c r="FSH18" s="273"/>
      <c r="FSI18" s="273"/>
      <c r="FSJ18" s="273"/>
      <c r="FSK18" s="273"/>
      <c r="FSL18" s="273"/>
      <c r="FSM18" s="273"/>
      <c r="FSN18" s="273"/>
      <c r="FSO18" s="273"/>
      <c r="FSP18" s="273"/>
      <c r="FSQ18" s="273"/>
      <c r="FSR18" s="273"/>
      <c r="FSS18" s="273"/>
      <c r="FST18" s="273"/>
      <c r="FSU18" s="273"/>
      <c r="FSV18" s="273"/>
      <c r="FSW18" s="273"/>
      <c r="FSX18" s="273"/>
      <c r="FSY18" s="273"/>
      <c r="FSZ18" s="273"/>
      <c r="FTA18" s="273"/>
      <c r="FTB18" s="273"/>
      <c r="FTC18" s="273"/>
      <c r="FTD18" s="273"/>
      <c r="FTE18" s="273"/>
      <c r="FTF18" s="273"/>
      <c r="FTG18" s="273"/>
      <c r="FTH18" s="273"/>
      <c r="FTI18" s="273"/>
      <c r="FTJ18" s="273"/>
      <c r="FTK18" s="273"/>
      <c r="FTL18" s="273"/>
      <c r="FTM18" s="273"/>
      <c r="FTN18" s="273"/>
      <c r="FTO18" s="273"/>
      <c r="FTP18" s="273"/>
      <c r="FTQ18" s="273"/>
      <c r="FTR18" s="273"/>
      <c r="FTS18" s="273"/>
      <c r="FTT18" s="273"/>
      <c r="FTU18" s="273"/>
      <c r="FTV18" s="273"/>
      <c r="FTW18" s="273"/>
      <c r="FTX18" s="273"/>
      <c r="FTY18" s="273"/>
      <c r="FTZ18" s="273"/>
      <c r="FUA18" s="273"/>
      <c r="FUB18" s="273"/>
      <c r="FUC18" s="273"/>
      <c r="FUD18" s="273"/>
      <c r="FUE18" s="273"/>
      <c r="FUF18" s="273"/>
      <c r="FUG18" s="273"/>
      <c r="FUH18" s="273"/>
      <c r="FUI18" s="273"/>
      <c r="FUJ18" s="273"/>
      <c r="FUK18" s="273"/>
      <c r="FUL18" s="273"/>
      <c r="FUM18" s="273"/>
      <c r="FUN18" s="273"/>
      <c r="FUO18" s="273"/>
      <c r="FUP18" s="273"/>
      <c r="FUQ18" s="273"/>
      <c r="FUR18" s="273"/>
      <c r="FUS18" s="273"/>
      <c r="FUT18" s="273"/>
      <c r="FUU18" s="273"/>
      <c r="FUV18" s="273"/>
      <c r="FUW18" s="273"/>
      <c r="FUX18" s="273"/>
      <c r="FUY18" s="273"/>
      <c r="FUZ18" s="273"/>
      <c r="FVA18" s="273"/>
      <c r="FVB18" s="273"/>
      <c r="FVC18" s="273"/>
      <c r="FVD18" s="273"/>
      <c r="FVE18" s="273"/>
      <c r="FVF18" s="273"/>
      <c r="FVG18" s="273"/>
      <c r="FVH18" s="273"/>
      <c r="FVI18" s="273"/>
      <c r="FVJ18" s="273"/>
      <c r="FVK18" s="273"/>
      <c r="FVL18" s="273"/>
      <c r="FVM18" s="273"/>
      <c r="FVN18" s="273"/>
      <c r="FVO18" s="273"/>
      <c r="FVP18" s="273"/>
      <c r="FVQ18" s="273"/>
      <c r="FVR18" s="273"/>
      <c r="FVS18" s="273"/>
      <c r="FVT18" s="273"/>
      <c r="FVU18" s="273"/>
      <c r="FVV18" s="273"/>
      <c r="FVW18" s="273"/>
      <c r="FVX18" s="273"/>
      <c r="FVY18" s="273"/>
      <c r="FVZ18" s="273"/>
      <c r="FWA18" s="273"/>
      <c r="FWB18" s="273"/>
      <c r="FWC18" s="273"/>
      <c r="FWD18" s="273"/>
      <c r="FWE18" s="273"/>
      <c r="FWF18" s="273"/>
      <c r="FWG18" s="273"/>
      <c r="FWH18" s="273"/>
      <c r="FWI18" s="273"/>
      <c r="FWJ18" s="273"/>
      <c r="FWK18" s="273"/>
      <c r="FWL18" s="273"/>
      <c r="FWM18" s="273"/>
      <c r="FWN18" s="273"/>
      <c r="FWO18" s="273"/>
      <c r="FWP18" s="273"/>
      <c r="FWQ18" s="273"/>
      <c r="FWR18" s="273"/>
      <c r="FWS18" s="273"/>
      <c r="FWT18" s="273"/>
      <c r="FWU18" s="273"/>
      <c r="FWV18" s="273"/>
      <c r="FWW18" s="273"/>
      <c r="FWX18" s="273"/>
      <c r="FWY18" s="273"/>
      <c r="FWZ18" s="273"/>
      <c r="FXA18" s="273"/>
      <c r="FXB18" s="273"/>
      <c r="FXC18" s="273"/>
      <c r="FXD18" s="273"/>
      <c r="FXE18" s="273"/>
      <c r="FXF18" s="273"/>
      <c r="FXG18" s="273"/>
      <c r="FXH18" s="273"/>
      <c r="FXI18" s="273"/>
      <c r="FXJ18" s="273"/>
      <c r="FXK18" s="273"/>
      <c r="FXL18" s="273"/>
      <c r="FXM18" s="273"/>
      <c r="FXN18" s="273"/>
      <c r="FXO18" s="273"/>
      <c r="FXP18" s="273"/>
      <c r="FXQ18" s="273"/>
      <c r="FXR18" s="273"/>
      <c r="FXS18" s="273"/>
      <c r="FXT18" s="273"/>
      <c r="FXU18" s="273"/>
      <c r="FXV18" s="273"/>
      <c r="FXW18" s="273"/>
      <c r="FXX18" s="273"/>
      <c r="FXY18" s="273"/>
      <c r="FXZ18" s="273"/>
      <c r="FYA18" s="273"/>
      <c r="FYB18" s="273"/>
      <c r="FYC18" s="273"/>
      <c r="FYD18" s="273"/>
      <c r="FYE18" s="273"/>
      <c r="FYF18" s="273"/>
      <c r="FYG18" s="273"/>
      <c r="FYH18" s="273"/>
      <c r="FYI18" s="273"/>
      <c r="FYJ18" s="273"/>
      <c r="FYK18" s="273"/>
      <c r="FYL18" s="273"/>
      <c r="FYM18" s="273"/>
      <c r="FYN18" s="273"/>
      <c r="FYO18" s="273"/>
      <c r="FYP18" s="273"/>
      <c r="FYQ18" s="273"/>
      <c r="FYR18" s="273"/>
      <c r="FYS18" s="273"/>
      <c r="FYT18" s="273"/>
      <c r="FYU18" s="273"/>
      <c r="FYV18" s="273"/>
      <c r="FYW18" s="273"/>
      <c r="FYX18" s="273"/>
      <c r="FYY18" s="273"/>
      <c r="FYZ18" s="273"/>
      <c r="FZA18" s="273"/>
      <c r="FZB18" s="273"/>
      <c r="FZC18" s="273"/>
      <c r="FZD18" s="273"/>
      <c r="FZE18" s="273"/>
      <c r="FZF18" s="273"/>
      <c r="FZG18" s="273"/>
      <c r="FZH18" s="273"/>
      <c r="FZI18" s="273"/>
      <c r="FZJ18" s="273"/>
      <c r="FZK18" s="273"/>
      <c r="FZL18" s="273"/>
      <c r="FZM18" s="273"/>
      <c r="FZN18" s="273"/>
      <c r="FZO18" s="273"/>
      <c r="FZP18" s="273"/>
      <c r="FZQ18" s="273"/>
      <c r="FZR18" s="273"/>
      <c r="FZS18" s="273"/>
      <c r="FZT18" s="273"/>
      <c r="FZU18" s="273"/>
      <c r="FZV18" s="273"/>
      <c r="FZW18" s="273"/>
      <c r="FZX18" s="273"/>
      <c r="FZY18" s="273"/>
      <c r="FZZ18" s="273"/>
      <c r="GAA18" s="273"/>
      <c r="GAB18" s="273"/>
      <c r="GAC18" s="273"/>
      <c r="GAD18" s="273"/>
      <c r="GAE18" s="273"/>
      <c r="GAF18" s="273"/>
      <c r="GAG18" s="273"/>
      <c r="GAH18" s="273"/>
      <c r="GAI18" s="273"/>
      <c r="GAJ18" s="273"/>
      <c r="GAK18" s="273"/>
      <c r="GAL18" s="273"/>
      <c r="GAM18" s="273"/>
      <c r="GAN18" s="273"/>
      <c r="GAO18" s="273"/>
      <c r="GAP18" s="273"/>
      <c r="GAQ18" s="273"/>
      <c r="GAR18" s="273"/>
      <c r="GAS18" s="273"/>
      <c r="GAT18" s="273"/>
      <c r="GAU18" s="273"/>
      <c r="GAV18" s="273"/>
      <c r="GAW18" s="273"/>
      <c r="GAX18" s="273"/>
      <c r="GAY18" s="273"/>
      <c r="GAZ18" s="273"/>
      <c r="GBA18" s="273"/>
      <c r="GBB18" s="273"/>
      <c r="GBC18" s="273"/>
      <c r="GBD18" s="273"/>
      <c r="GBE18" s="273"/>
      <c r="GBF18" s="273"/>
      <c r="GBG18" s="273"/>
      <c r="GBH18" s="273"/>
      <c r="GBI18" s="273"/>
      <c r="GBJ18" s="273"/>
      <c r="GBK18" s="273"/>
      <c r="GBL18" s="273"/>
      <c r="GBM18" s="273"/>
      <c r="GBN18" s="273"/>
      <c r="GBO18" s="273"/>
      <c r="GBP18" s="273"/>
      <c r="GBQ18" s="273"/>
      <c r="GBR18" s="273"/>
      <c r="GBS18" s="273"/>
      <c r="GBT18" s="273"/>
      <c r="GBU18" s="273"/>
      <c r="GBV18" s="273"/>
      <c r="GBW18" s="273"/>
      <c r="GBX18" s="273"/>
      <c r="GBY18" s="273"/>
      <c r="GBZ18" s="273"/>
      <c r="GCA18" s="273"/>
      <c r="GCB18" s="273"/>
      <c r="GCC18" s="273"/>
      <c r="GCD18" s="273"/>
      <c r="GCE18" s="273"/>
      <c r="GCF18" s="273"/>
      <c r="GCG18" s="273"/>
      <c r="GCH18" s="273"/>
      <c r="GCI18" s="273"/>
      <c r="GCJ18" s="273"/>
      <c r="GCK18" s="273"/>
      <c r="GCL18" s="273"/>
      <c r="GCM18" s="273"/>
      <c r="GCN18" s="273"/>
      <c r="GCO18" s="273"/>
      <c r="GCP18" s="273"/>
      <c r="GCQ18" s="273"/>
      <c r="GCR18" s="273"/>
      <c r="GCS18" s="273"/>
      <c r="GCT18" s="273"/>
      <c r="GCU18" s="273"/>
      <c r="GCV18" s="273"/>
      <c r="GCW18" s="273"/>
      <c r="GCX18" s="273"/>
      <c r="GCY18" s="273"/>
      <c r="GCZ18" s="273"/>
      <c r="GDA18" s="273"/>
      <c r="GDB18" s="273"/>
      <c r="GDC18" s="273"/>
      <c r="GDD18" s="273"/>
      <c r="GDE18" s="273"/>
      <c r="GDF18" s="273"/>
      <c r="GDG18" s="273"/>
      <c r="GDH18" s="273"/>
      <c r="GDI18" s="273"/>
      <c r="GDJ18" s="273"/>
      <c r="GDK18" s="273"/>
      <c r="GDL18" s="273"/>
      <c r="GDM18" s="273"/>
      <c r="GDN18" s="273"/>
      <c r="GDO18" s="273"/>
      <c r="GDP18" s="273"/>
      <c r="GDQ18" s="273"/>
      <c r="GDR18" s="273"/>
      <c r="GDS18" s="273"/>
      <c r="GDT18" s="273"/>
      <c r="GDU18" s="273"/>
      <c r="GDV18" s="273"/>
      <c r="GDW18" s="273"/>
      <c r="GDX18" s="273"/>
      <c r="GDY18" s="273"/>
      <c r="GDZ18" s="273"/>
      <c r="GEA18" s="273"/>
      <c r="GEB18" s="273"/>
      <c r="GEC18" s="273"/>
      <c r="GED18" s="273"/>
      <c r="GEE18" s="273"/>
      <c r="GEF18" s="273"/>
      <c r="GEG18" s="273"/>
      <c r="GEH18" s="273"/>
      <c r="GEI18" s="273"/>
      <c r="GEJ18" s="273"/>
      <c r="GEK18" s="273"/>
      <c r="GEL18" s="273"/>
      <c r="GEM18" s="273"/>
      <c r="GEN18" s="273"/>
      <c r="GEO18" s="273"/>
      <c r="GEP18" s="273"/>
      <c r="GEQ18" s="273"/>
      <c r="GER18" s="273"/>
      <c r="GES18" s="273"/>
      <c r="GET18" s="273"/>
      <c r="GEU18" s="273"/>
      <c r="GEV18" s="273"/>
      <c r="GEW18" s="273"/>
      <c r="GEX18" s="273"/>
      <c r="GEY18" s="273"/>
      <c r="GEZ18" s="273"/>
      <c r="GFA18" s="273"/>
      <c r="GFB18" s="273"/>
      <c r="GFC18" s="273"/>
      <c r="GFD18" s="273"/>
      <c r="GFE18" s="273"/>
      <c r="GFF18" s="273"/>
      <c r="GFG18" s="273"/>
      <c r="GFH18" s="273"/>
      <c r="GFI18" s="273"/>
      <c r="GFJ18" s="273"/>
      <c r="GFK18" s="273"/>
      <c r="GFL18" s="273"/>
      <c r="GFM18" s="273"/>
      <c r="GFN18" s="273"/>
      <c r="GFO18" s="273"/>
      <c r="GFP18" s="273"/>
      <c r="GFQ18" s="273"/>
      <c r="GFR18" s="273"/>
      <c r="GFS18" s="273"/>
      <c r="GFT18" s="273"/>
      <c r="GFU18" s="273"/>
      <c r="GFV18" s="273"/>
      <c r="GFW18" s="273"/>
      <c r="GFX18" s="273"/>
      <c r="GFY18" s="273"/>
      <c r="GFZ18" s="273"/>
      <c r="GGA18" s="273"/>
      <c r="GGB18" s="273"/>
      <c r="GGC18" s="273"/>
      <c r="GGD18" s="273"/>
      <c r="GGE18" s="273"/>
      <c r="GGF18" s="273"/>
      <c r="GGG18" s="273"/>
      <c r="GGH18" s="273"/>
      <c r="GGI18" s="273"/>
      <c r="GGJ18" s="273"/>
      <c r="GGK18" s="273"/>
      <c r="GGL18" s="273"/>
      <c r="GGM18" s="273"/>
      <c r="GGN18" s="273"/>
      <c r="GGO18" s="273"/>
      <c r="GGP18" s="273"/>
      <c r="GGQ18" s="273"/>
      <c r="GGR18" s="273"/>
      <c r="GGS18" s="273"/>
      <c r="GGT18" s="273"/>
      <c r="GGU18" s="273"/>
      <c r="GGV18" s="273"/>
      <c r="GGW18" s="273"/>
      <c r="GGX18" s="273"/>
      <c r="GGY18" s="273"/>
      <c r="GGZ18" s="273"/>
      <c r="GHA18" s="273"/>
      <c r="GHB18" s="273"/>
      <c r="GHC18" s="273"/>
      <c r="GHD18" s="273"/>
      <c r="GHE18" s="273"/>
      <c r="GHF18" s="273"/>
      <c r="GHG18" s="273"/>
      <c r="GHH18" s="273"/>
      <c r="GHI18" s="273"/>
      <c r="GHJ18" s="273"/>
      <c r="GHK18" s="273"/>
      <c r="GHL18" s="273"/>
      <c r="GHM18" s="273"/>
      <c r="GHN18" s="273"/>
      <c r="GHO18" s="273"/>
      <c r="GHP18" s="273"/>
      <c r="GHQ18" s="273"/>
      <c r="GHR18" s="273"/>
      <c r="GHS18" s="273"/>
      <c r="GHT18" s="273"/>
      <c r="GHU18" s="273"/>
      <c r="GHV18" s="273"/>
      <c r="GHW18" s="273"/>
      <c r="GHX18" s="273"/>
      <c r="GHY18" s="273"/>
      <c r="GHZ18" s="273"/>
      <c r="GIA18" s="273"/>
      <c r="GIB18" s="273"/>
      <c r="GIC18" s="273"/>
      <c r="GID18" s="273"/>
      <c r="GIE18" s="273"/>
      <c r="GIF18" s="273"/>
      <c r="GIG18" s="273"/>
      <c r="GIH18" s="273"/>
      <c r="GII18" s="273"/>
      <c r="GIJ18" s="273"/>
      <c r="GIK18" s="273"/>
      <c r="GIL18" s="273"/>
      <c r="GIM18" s="273"/>
      <c r="GIN18" s="273"/>
      <c r="GIO18" s="273"/>
      <c r="GIP18" s="273"/>
      <c r="GIQ18" s="273"/>
      <c r="GIR18" s="273"/>
      <c r="GIS18" s="273"/>
      <c r="GIT18" s="273"/>
      <c r="GIU18" s="273"/>
      <c r="GIV18" s="273"/>
      <c r="GIW18" s="273"/>
      <c r="GIX18" s="273"/>
      <c r="GIY18" s="273"/>
      <c r="GIZ18" s="273"/>
      <c r="GJA18" s="273"/>
      <c r="GJB18" s="273"/>
      <c r="GJC18" s="273"/>
      <c r="GJD18" s="273"/>
      <c r="GJE18" s="273"/>
      <c r="GJF18" s="273"/>
      <c r="GJG18" s="273"/>
      <c r="GJH18" s="273"/>
      <c r="GJI18" s="273"/>
      <c r="GJJ18" s="273"/>
      <c r="GJK18" s="273"/>
      <c r="GJL18" s="273"/>
      <c r="GJM18" s="273"/>
      <c r="GJN18" s="273"/>
      <c r="GJO18" s="273"/>
      <c r="GJP18" s="273"/>
      <c r="GJQ18" s="273"/>
      <c r="GJR18" s="273"/>
      <c r="GJS18" s="273"/>
      <c r="GJT18" s="273"/>
      <c r="GJU18" s="273"/>
      <c r="GJV18" s="273"/>
      <c r="GJW18" s="273"/>
      <c r="GJX18" s="273"/>
      <c r="GJY18" s="273"/>
      <c r="GJZ18" s="273"/>
      <c r="GKA18" s="273"/>
      <c r="GKB18" s="273"/>
      <c r="GKC18" s="273"/>
      <c r="GKD18" s="273"/>
      <c r="GKE18" s="273"/>
      <c r="GKF18" s="273"/>
      <c r="GKG18" s="273"/>
      <c r="GKH18" s="273"/>
      <c r="GKI18" s="273"/>
      <c r="GKJ18" s="273"/>
      <c r="GKK18" s="273"/>
      <c r="GKL18" s="273"/>
      <c r="GKM18" s="273"/>
      <c r="GKN18" s="273"/>
      <c r="GKO18" s="273"/>
      <c r="GKP18" s="273"/>
      <c r="GKQ18" s="273"/>
      <c r="GKR18" s="273"/>
      <c r="GKS18" s="273"/>
      <c r="GKT18" s="273"/>
      <c r="GKU18" s="273"/>
      <c r="GKV18" s="273"/>
      <c r="GKW18" s="273"/>
      <c r="GKX18" s="273"/>
      <c r="GKY18" s="273"/>
      <c r="GKZ18" s="273"/>
      <c r="GLA18" s="273"/>
      <c r="GLB18" s="273"/>
      <c r="GLC18" s="273"/>
      <c r="GLD18" s="273"/>
      <c r="GLE18" s="273"/>
      <c r="GLF18" s="273"/>
      <c r="GLG18" s="273"/>
      <c r="GLH18" s="273"/>
      <c r="GLI18" s="273"/>
      <c r="GLJ18" s="273"/>
      <c r="GLK18" s="273"/>
      <c r="GLL18" s="273"/>
      <c r="GLM18" s="273"/>
      <c r="GLN18" s="273"/>
      <c r="GLO18" s="273"/>
      <c r="GLP18" s="273"/>
      <c r="GLQ18" s="273"/>
      <c r="GLR18" s="273"/>
      <c r="GLS18" s="273"/>
      <c r="GLT18" s="273"/>
      <c r="GLU18" s="273"/>
      <c r="GLV18" s="273"/>
      <c r="GLW18" s="273"/>
      <c r="GLX18" s="273"/>
      <c r="GLY18" s="273"/>
      <c r="GLZ18" s="273"/>
      <c r="GMA18" s="273"/>
      <c r="GMB18" s="273"/>
      <c r="GMC18" s="273"/>
      <c r="GMD18" s="273"/>
      <c r="GME18" s="273"/>
      <c r="GMF18" s="273"/>
      <c r="GMG18" s="273"/>
      <c r="GMH18" s="273"/>
      <c r="GMI18" s="273"/>
      <c r="GMJ18" s="273"/>
      <c r="GMK18" s="273"/>
      <c r="GML18" s="273"/>
      <c r="GMM18" s="273"/>
      <c r="GMN18" s="273"/>
      <c r="GMO18" s="273"/>
      <c r="GMP18" s="273"/>
      <c r="GMQ18" s="273"/>
      <c r="GMR18" s="273"/>
      <c r="GMS18" s="273"/>
      <c r="GMT18" s="273"/>
      <c r="GMU18" s="273"/>
      <c r="GMV18" s="273"/>
      <c r="GMW18" s="273"/>
      <c r="GMX18" s="273"/>
      <c r="GMY18" s="273"/>
      <c r="GMZ18" s="273"/>
      <c r="GNA18" s="273"/>
      <c r="GNB18" s="273"/>
      <c r="GNC18" s="273"/>
      <c r="GND18" s="273"/>
      <c r="GNE18" s="273"/>
      <c r="GNF18" s="273"/>
      <c r="GNG18" s="273"/>
      <c r="GNH18" s="273"/>
      <c r="GNI18" s="273"/>
      <c r="GNJ18" s="273"/>
      <c r="GNK18" s="273"/>
      <c r="GNL18" s="273"/>
      <c r="GNM18" s="273"/>
      <c r="GNN18" s="273"/>
      <c r="GNO18" s="273"/>
      <c r="GNP18" s="273"/>
      <c r="GNQ18" s="273"/>
      <c r="GNR18" s="273"/>
      <c r="GNS18" s="273"/>
      <c r="GNT18" s="273"/>
      <c r="GNU18" s="273"/>
      <c r="GNV18" s="273"/>
      <c r="GNW18" s="273"/>
      <c r="GNX18" s="273"/>
      <c r="GNY18" s="273"/>
      <c r="GNZ18" s="273"/>
      <c r="GOA18" s="273"/>
      <c r="GOB18" s="273"/>
      <c r="GOC18" s="273"/>
      <c r="GOD18" s="273"/>
      <c r="GOE18" s="273"/>
      <c r="GOF18" s="273"/>
      <c r="GOG18" s="273"/>
      <c r="GOH18" s="273"/>
      <c r="GOI18" s="273"/>
      <c r="GOJ18" s="273"/>
      <c r="GOK18" s="273"/>
      <c r="GOL18" s="273"/>
      <c r="GOM18" s="273"/>
      <c r="GON18" s="273"/>
      <c r="GOO18" s="273"/>
      <c r="GOP18" s="273"/>
      <c r="GOQ18" s="273"/>
      <c r="GOR18" s="273"/>
      <c r="GOS18" s="273"/>
      <c r="GOT18" s="273"/>
      <c r="GOU18" s="273"/>
      <c r="GOV18" s="273"/>
      <c r="GOW18" s="273"/>
      <c r="GOX18" s="273"/>
      <c r="GOY18" s="273"/>
      <c r="GOZ18" s="273"/>
      <c r="GPA18" s="273"/>
      <c r="GPB18" s="273"/>
      <c r="GPC18" s="273"/>
      <c r="GPD18" s="273"/>
      <c r="GPE18" s="273"/>
      <c r="GPF18" s="273"/>
      <c r="GPG18" s="273"/>
      <c r="GPH18" s="273"/>
      <c r="GPI18" s="273"/>
      <c r="GPJ18" s="273"/>
      <c r="GPK18" s="273"/>
      <c r="GPL18" s="273"/>
      <c r="GPM18" s="273"/>
      <c r="GPN18" s="273"/>
      <c r="GPO18" s="273"/>
      <c r="GPP18" s="273"/>
      <c r="GPQ18" s="273"/>
      <c r="GPR18" s="273"/>
      <c r="GPS18" s="273"/>
      <c r="GPT18" s="273"/>
      <c r="GPU18" s="273"/>
      <c r="GPV18" s="273"/>
      <c r="GPW18" s="273"/>
      <c r="GPX18" s="273"/>
      <c r="GPY18" s="273"/>
      <c r="GPZ18" s="273"/>
      <c r="GQA18" s="273"/>
      <c r="GQB18" s="273"/>
      <c r="GQC18" s="273"/>
      <c r="GQD18" s="273"/>
      <c r="GQE18" s="273"/>
      <c r="GQF18" s="273"/>
      <c r="GQG18" s="273"/>
      <c r="GQH18" s="273"/>
      <c r="GQI18" s="273"/>
      <c r="GQJ18" s="273"/>
      <c r="GQK18" s="273"/>
      <c r="GQL18" s="273"/>
      <c r="GQM18" s="273"/>
      <c r="GQN18" s="273"/>
      <c r="GQO18" s="273"/>
      <c r="GQP18" s="273"/>
      <c r="GQQ18" s="273"/>
      <c r="GQR18" s="273"/>
      <c r="GQS18" s="273"/>
      <c r="GQT18" s="273"/>
      <c r="GQU18" s="273"/>
      <c r="GQV18" s="273"/>
      <c r="GQW18" s="273"/>
      <c r="GQX18" s="273"/>
      <c r="GQY18" s="273"/>
      <c r="GQZ18" s="273"/>
      <c r="GRA18" s="273"/>
      <c r="GRB18" s="273"/>
      <c r="GRC18" s="273"/>
      <c r="GRD18" s="273"/>
      <c r="GRE18" s="273"/>
      <c r="GRF18" s="273"/>
      <c r="GRG18" s="273"/>
      <c r="GRH18" s="273"/>
      <c r="GRI18" s="273"/>
      <c r="GRJ18" s="273"/>
      <c r="GRK18" s="273"/>
      <c r="GRL18" s="273"/>
      <c r="GRM18" s="273"/>
      <c r="GRN18" s="273"/>
      <c r="GRO18" s="273"/>
      <c r="GRP18" s="273"/>
      <c r="GRQ18" s="273"/>
      <c r="GRR18" s="273"/>
      <c r="GRS18" s="273"/>
      <c r="GRT18" s="273"/>
      <c r="GRU18" s="273"/>
      <c r="GRV18" s="273"/>
      <c r="GRW18" s="273"/>
      <c r="GRX18" s="273"/>
      <c r="GRY18" s="273"/>
      <c r="GRZ18" s="273"/>
      <c r="GSA18" s="273"/>
      <c r="GSB18" s="273"/>
      <c r="GSC18" s="273"/>
      <c r="GSD18" s="273"/>
      <c r="GSE18" s="273"/>
      <c r="GSF18" s="273"/>
      <c r="GSG18" s="273"/>
      <c r="GSH18" s="273"/>
      <c r="GSI18" s="273"/>
      <c r="GSJ18" s="273"/>
      <c r="GSK18" s="273"/>
      <c r="GSL18" s="273"/>
      <c r="GSM18" s="273"/>
      <c r="GSN18" s="273"/>
      <c r="GSO18" s="273"/>
      <c r="GSP18" s="273"/>
      <c r="GSQ18" s="273"/>
      <c r="GSR18" s="273"/>
      <c r="GSS18" s="273"/>
      <c r="GST18" s="273"/>
      <c r="GSU18" s="273"/>
      <c r="GSV18" s="273"/>
      <c r="GSW18" s="273"/>
      <c r="GSX18" s="273"/>
      <c r="GSY18" s="273"/>
      <c r="GSZ18" s="273"/>
      <c r="GTA18" s="273"/>
      <c r="GTB18" s="273"/>
      <c r="GTC18" s="273"/>
      <c r="GTD18" s="273"/>
      <c r="GTE18" s="273"/>
      <c r="GTF18" s="273"/>
      <c r="GTG18" s="273"/>
      <c r="GTH18" s="273"/>
      <c r="GTI18" s="273"/>
      <c r="GTJ18" s="273"/>
      <c r="GTK18" s="273"/>
      <c r="GTL18" s="273"/>
      <c r="GTM18" s="273"/>
      <c r="GTN18" s="273"/>
      <c r="GTO18" s="273"/>
      <c r="GTP18" s="273"/>
      <c r="GTQ18" s="273"/>
      <c r="GTR18" s="273"/>
      <c r="GTS18" s="273"/>
      <c r="GTT18" s="273"/>
      <c r="GTU18" s="273"/>
      <c r="GTV18" s="273"/>
      <c r="GTW18" s="273"/>
      <c r="GTX18" s="273"/>
      <c r="GTY18" s="273"/>
      <c r="GTZ18" s="273"/>
      <c r="GUA18" s="273"/>
      <c r="GUB18" s="273"/>
      <c r="GUC18" s="273"/>
      <c r="GUD18" s="273"/>
      <c r="GUE18" s="273"/>
      <c r="GUF18" s="273"/>
      <c r="GUG18" s="273"/>
      <c r="GUH18" s="273"/>
      <c r="GUI18" s="273"/>
      <c r="GUJ18" s="273"/>
      <c r="GUK18" s="273"/>
      <c r="GUL18" s="273"/>
      <c r="GUM18" s="273"/>
      <c r="GUN18" s="273"/>
      <c r="GUO18" s="273"/>
      <c r="GUP18" s="273"/>
      <c r="GUQ18" s="273"/>
      <c r="GUR18" s="273"/>
      <c r="GUS18" s="273"/>
      <c r="GUT18" s="273"/>
      <c r="GUU18" s="273"/>
      <c r="GUV18" s="273"/>
      <c r="GUW18" s="273"/>
      <c r="GUX18" s="273"/>
      <c r="GUY18" s="273"/>
      <c r="GUZ18" s="273"/>
      <c r="GVA18" s="273"/>
      <c r="GVB18" s="273"/>
      <c r="GVC18" s="273"/>
      <c r="GVD18" s="273"/>
      <c r="GVE18" s="273"/>
      <c r="GVF18" s="273"/>
      <c r="GVG18" s="273"/>
      <c r="GVH18" s="273"/>
      <c r="GVI18" s="273"/>
      <c r="GVJ18" s="273"/>
      <c r="GVK18" s="273"/>
      <c r="GVL18" s="273"/>
      <c r="GVM18" s="273"/>
      <c r="GVN18" s="273"/>
      <c r="GVO18" s="273"/>
      <c r="GVP18" s="273"/>
      <c r="GVQ18" s="273"/>
      <c r="GVR18" s="273"/>
      <c r="GVS18" s="273"/>
      <c r="GVT18" s="273"/>
      <c r="GVU18" s="273"/>
      <c r="GVV18" s="273"/>
      <c r="GVW18" s="273"/>
      <c r="GVX18" s="273"/>
      <c r="GVY18" s="273"/>
      <c r="GVZ18" s="273"/>
      <c r="GWA18" s="273"/>
      <c r="GWB18" s="273"/>
      <c r="GWC18" s="273"/>
      <c r="GWD18" s="273"/>
      <c r="GWE18" s="273"/>
      <c r="GWF18" s="273"/>
      <c r="GWG18" s="273"/>
      <c r="GWH18" s="273"/>
      <c r="GWI18" s="273"/>
      <c r="GWJ18" s="273"/>
      <c r="GWK18" s="273"/>
      <c r="GWL18" s="273"/>
      <c r="GWM18" s="273"/>
      <c r="GWN18" s="273"/>
      <c r="GWO18" s="273"/>
      <c r="GWP18" s="273"/>
      <c r="GWQ18" s="273"/>
      <c r="GWR18" s="273"/>
      <c r="GWS18" s="273"/>
      <c r="GWT18" s="273"/>
      <c r="GWU18" s="273"/>
      <c r="GWV18" s="273"/>
      <c r="GWW18" s="273"/>
      <c r="GWX18" s="273"/>
      <c r="GWY18" s="273"/>
      <c r="GWZ18" s="273"/>
      <c r="GXA18" s="273"/>
      <c r="GXB18" s="273"/>
      <c r="GXC18" s="273"/>
      <c r="GXD18" s="273"/>
      <c r="GXE18" s="273"/>
      <c r="GXF18" s="273"/>
      <c r="GXG18" s="273"/>
      <c r="GXH18" s="273"/>
      <c r="GXI18" s="273"/>
      <c r="GXJ18" s="273"/>
      <c r="GXK18" s="273"/>
      <c r="GXL18" s="273"/>
      <c r="GXM18" s="273"/>
      <c r="GXN18" s="273"/>
      <c r="GXO18" s="273"/>
      <c r="GXP18" s="273"/>
      <c r="GXQ18" s="273"/>
      <c r="GXR18" s="273"/>
      <c r="GXS18" s="273"/>
      <c r="GXT18" s="273"/>
      <c r="GXU18" s="273"/>
      <c r="GXV18" s="273"/>
      <c r="GXW18" s="273"/>
      <c r="GXX18" s="273"/>
      <c r="GXY18" s="273"/>
      <c r="GXZ18" s="273"/>
      <c r="GYA18" s="273"/>
      <c r="GYB18" s="273"/>
      <c r="GYC18" s="273"/>
      <c r="GYD18" s="273"/>
      <c r="GYE18" s="273"/>
      <c r="GYF18" s="273"/>
      <c r="GYG18" s="273"/>
      <c r="GYH18" s="273"/>
      <c r="GYI18" s="273"/>
      <c r="GYJ18" s="273"/>
      <c r="GYK18" s="273"/>
      <c r="GYL18" s="273"/>
      <c r="GYM18" s="273"/>
      <c r="GYN18" s="273"/>
      <c r="GYO18" s="273"/>
      <c r="GYP18" s="273"/>
      <c r="GYQ18" s="273"/>
      <c r="GYR18" s="273"/>
      <c r="GYS18" s="273"/>
      <c r="GYT18" s="273"/>
      <c r="GYU18" s="273"/>
      <c r="GYV18" s="273"/>
      <c r="GYW18" s="273"/>
      <c r="GYX18" s="273"/>
      <c r="GYY18" s="273"/>
      <c r="GYZ18" s="273"/>
      <c r="GZA18" s="273"/>
      <c r="GZB18" s="273"/>
      <c r="GZC18" s="273"/>
      <c r="GZD18" s="273"/>
      <c r="GZE18" s="273"/>
      <c r="GZF18" s="273"/>
      <c r="GZG18" s="273"/>
      <c r="GZH18" s="273"/>
      <c r="GZI18" s="273"/>
      <c r="GZJ18" s="273"/>
      <c r="GZK18" s="273"/>
      <c r="GZL18" s="273"/>
      <c r="GZM18" s="273"/>
      <c r="GZN18" s="273"/>
      <c r="GZO18" s="273"/>
      <c r="GZP18" s="273"/>
      <c r="GZQ18" s="273"/>
      <c r="GZR18" s="273"/>
      <c r="GZS18" s="273"/>
      <c r="GZT18" s="273"/>
      <c r="GZU18" s="273"/>
      <c r="GZV18" s="273"/>
      <c r="GZW18" s="273"/>
      <c r="GZX18" s="273"/>
      <c r="GZY18" s="273"/>
      <c r="GZZ18" s="273"/>
      <c r="HAA18" s="273"/>
      <c r="HAB18" s="273"/>
      <c r="HAC18" s="273"/>
      <c r="HAD18" s="273"/>
      <c r="HAE18" s="273"/>
      <c r="HAF18" s="273"/>
      <c r="HAG18" s="273"/>
      <c r="HAH18" s="273"/>
      <c r="HAI18" s="273"/>
      <c r="HAJ18" s="273"/>
      <c r="HAK18" s="273"/>
      <c r="HAL18" s="273"/>
      <c r="HAM18" s="273"/>
      <c r="HAN18" s="273"/>
      <c r="HAO18" s="273"/>
      <c r="HAP18" s="273"/>
      <c r="HAQ18" s="273"/>
      <c r="HAR18" s="273"/>
      <c r="HAS18" s="273"/>
      <c r="HAT18" s="273"/>
      <c r="HAU18" s="273"/>
      <c r="HAV18" s="273"/>
      <c r="HAW18" s="273"/>
      <c r="HAX18" s="273"/>
      <c r="HAY18" s="273"/>
      <c r="HAZ18" s="273"/>
      <c r="HBA18" s="273"/>
      <c r="HBB18" s="273"/>
      <c r="HBC18" s="273"/>
      <c r="HBD18" s="273"/>
      <c r="HBE18" s="273"/>
      <c r="HBF18" s="273"/>
      <c r="HBG18" s="273"/>
      <c r="HBH18" s="273"/>
      <c r="HBI18" s="273"/>
      <c r="HBJ18" s="273"/>
      <c r="HBK18" s="273"/>
      <c r="HBL18" s="273"/>
      <c r="HBM18" s="273"/>
      <c r="HBN18" s="273"/>
      <c r="HBO18" s="273"/>
      <c r="HBP18" s="273"/>
      <c r="HBQ18" s="273"/>
      <c r="HBR18" s="273"/>
      <c r="HBS18" s="273"/>
      <c r="HBT18" s="273"/>
      <c r="HBU18" s="273"/>
      <c r="HBV18" s="273"/>
      <c r="HBW18" s="273"/>
      <c r="HBX18" s="273"/>
      <c r="HBY18" s="273"/>
      <c r="HBZ18" s="273"/>
      <c r="HCA18" s="273"/>
      <c r="HCB18" s="273"/>
      <c r="HCC18" s="273"/>
      <c r="HCD18" s="273"/>
      <c r="HCE18" s="273"/>
      <c r="HCF18" s="273"/>
      <c r="HCG18" s="273"/>
      <c r="HCH18" s="273"/>
      <c r="HCI18" s="273"/>
      <c r="HCJ18" s="273"/>
      <c r="HCK18" s="273"/>
      <c r="HCL18" s="273"/>
      <c r="HCM18" s="273"/>
      <c r="HCN18" s="273"/>
      <c r="HCO18" s="273"/>
      <c r="HCP18" s="273"/>
      <c r="HCQ18" s="273"/>
      <c r="HCR18" s="273"/>
      <c r="HCS18" s="273"/>
      <c r="HCT18" s="273"/>
      <c r="HCU18" s="273"/>
      <c r="HCV18" s="273"/>
      <c r="HCW18" s="273"/>
      <c r="HCX18" s="273"/>
      <c r="HCY18" s="273"/>
      <c r="HCZ18" s="273"/>
      <c r="HDA18" s="273"/>
      <c r="HDB18" s="273"/>
      <c r="HDC18" s="273"/>
      <c r="HDD18" s="273"/>
      <c r="HDE18" s="273"/>
      <c r="HDF18" s="273"/>
      <c r="HDG18" s="273"/>
      <c r="HDH18" s="273"/>
      <c r="HDI18" s="273"/>
      <c r="HDJ18" s="273"/>
      <c r="HDK18" s="273"/>
      <c r="HDL18" s="273"/>
      <c r="HDM18" s="273"/>
      <c r="HDN18" s="273"/>
      <c r="HDO18" s="273"/>
      <c r="HDP18" s="273"/>
      <c r="HDQ18" s="273"/>
      <c r="HDR18" s="273"/>
      <c r="HDS18" s="273"/>
      <c r="HDT18" s="273"/>
      <c r="HDU18" s="273"/>
      <c r="HDV18" s="273"/>
      <c r="HDW18" s="273"/>
      <c r="HDX18" s="273"/>
      <c r="HDY18" s="273"/>
      <c r="HDZ18" s="273"/>
      <c r="HEA18" s="273"/>
      <c r="HEB18" s="273"/>
      <c r="HEC18" s="273"/>
      <c r="HED18" s="273"/>
      <c r="HEE18" s="273"/>
      <c r="HEF18" s="273"/>
      <c r="HEG18" s="273"/>
      <c r="HEH18" s="273"/>
      <c r="HEI18" s="273"/>
      <c r="HEJ18" s="273"/>
      <c r="HEK18" s="273"/>
      <c r="HEL18" s="273"/>
      <c r="HEM18" s="273"/>
      <c r="HEN18" s="273"/>
      <c r="HEO18" s="273"/>
      <c r="HEP18" s="273"/>
      <c r="HEQ18" s="273"/>
      <c r="HER18" s="273"/>
      <c r="HES18" s="273"/>
      <c r="HET18" s="273"/>
      <c r="HEU18" s="273"/>
      <c r="HEV18" s="273"/>
      <c r="HEW18" s="273"/>
      <c r="HEX18" s="273"/>
      <c r="HEY18" s="273"/>
      <c r="HEZ18" s="273"/>
      <c r="HFA18" s="273"/>
      <c r="HFB18" s="273"/>
      <c r="HFC18" s="273"/>
      <c r="HFD18" s="273"/>
      <c r="HFE18" s="273"/>
      <c r="HFF18" s="273"/>
      <c r="HFG18" s="273"/>
      <c r="HFH18" s="273"/>
      <c r="HFI18" s="273"/>
      <c r="HFJ18" s="273"/>
      <c r="HFK18" s="273"/>
      <c r="HFL18" s="273"/>
      <c r="HFM18" s="273"/>
      <c r="HFN18" s="273"/>
      <c r="HFO18" s="273"/>
      <c r="HFP18" s="273"/>
      <c r="HFQ18" s="273"/>
      <c r="HFR18" s="273"/>
      <c r="HFS18" s="273"/>
      <c r="HFT18" s="273"/>
      <c r="HFU18" s="273"/>
      <c r="HFV18" s="273"/>
      <c r="HFW18" s="273"/>
      <c r="HFX18" s="273"/>
      <c r="HFY18" s="273"/>
      <c r="HFZ18" s="273"/>
      <c r="HGA18" s="273"/>
      <c r="HGB18" s="273"/>
      <c r="HGC18" s="273"/>
      <c r="HGD18" s="273"/>
      <c r="HGE18" s="273"/>
      <c r="HGF18" s="273"/>
      <c r="HGG18" s="273"/>
      <c r="HGH18" s="273"/>
      <c r="HGI18" s="273"/>
      <c r="HGJ18" s="273"/>
      <c r="HGK18" s="273"/>
      <c r="HGL18" s="273"/>
      <c r="HGM18" s="273"/>
      <c r="HGN18" s="273"/>
      <c r="HGO18" s="273"/>
      <c r="HGP18" s="273"/>
      <c r="HGQ18" s="273"/>
      <c r="HGR18" s="273"/>
      <c r="HGS18" s="273"/>
      <c r="HGT18" s="273"/>
      <c r="HGU18" s="273"/>
      <c r="HGV18" s="273"/>
      <c r="HGW18" s="273"/>
      <c r="HGX18" s="273"/>
      <c r="HGY18" s="273"/>
      <c r="HGZ18" s="273"/>
      <c r="HHA18" s="273"/>
      <c r="HHB18" s="273"/>
      <c r="HHC18" s="273"/>
      <c r="HHD18" s="273"/>
      <c r="HHE18" s="273"/>
      <c r="HHF18" s="273"/>
      <c r="HHG18" s="273"/>
      <c r="HHH18" s="273"/>
      <c r="HHI18" s="273"/>
      <c r="HHJ18" s="273"/>
      <c r="HHK18" s="273"/>
      <c r="HHL18" s="273"/>
      <c r="HHM18" s="273"/>
      <c r="HHN18" s="273"/>
      <c r="HHO18" s="273"/>
      <c r="HHP18" s="273"/>
      <c r="HHQ18" s="273"/>
      <c r="HHR18" s="273"/>
      <c r="HHS18" s="273"/>
      <c r="HHT18" s="273"/>
      <c r="HHU18" s="273"/>
      <c r="HHV18" s="273"/>
      <c r="HHW18" s="273"/>
      <c r="HHX18" s="273"/>
      <c r="HHY18" s="273"/>
      <c r="HHZ18" s="273"/>
      <c r="HIA18" s="273"/>
      <c r="HIB18" s="273"/>
      <c r="HIC18" s="273"/>
      <c r="HID18" s="273"/>
      <c r="HIE18" s="273"/>
      <c r="HIF18" s="273"/>
      <c r="HIG18" s="273"/>
      <c r="HIH18" s="273"/>
      <c r="HII18" s="273"/>
      <c r="HIJ18" s="273"/>
      <c r="HIK18" s="273"/>
      <c r="HIL18" s="273"/>
      <c r="HIM18" s="273"/>
      <c r="HIN18" s="273"/>
      <c r="HIO18" s="273"/>
      <c r="HIP18" s="273"/>
      <c r="HIQ18" s="273"/>
      <c r="HIR18" s="273"/>
      <c r="HIS18" s="273"/>
      <c r="HIT18" s="273"/>
      <c r="HIU18" s="273"/>
      <c r="HIV18" s="273"/>
      <c r="HIW18" s="273"/>
      <c r="HIX18" s="273"/>
      <c r="HIY18" s="273"/>
      <c r="HIZ18" s="273"/>
      <c r="HJA18" s="273"/>
      <c r="HJB18" s="273"/>
      <c r="HJC18" s="273"/>
      <c r="HJD18" s="273"/>
      <c r="HJE18" s="273"/>
      <c r="HJF18" s="273"/>
      <c r="HJG18" s="273"/>
      <c r="HJH18" s="273"/>
      <c r="HJI18" s="273"/>
      <c r="HJJ18" s="273"/>
      <c r="HJK18" s="273"/>
      <c r="HJL18" s="273"/>
      <c r="HJM18" s="273"/>
      <c r="HJN18" s="273"/>
      <c r="HJO18" s="273"/>
      <c r="HJP18" s="273"/>
      <c r="HJQ18" s="273"/>
      <c r="HJR18" s="273"/>
      <c r="HJS18" s="273"/>
      <c r="HJT18" s="273"/>
      <c r="HJU18" s="273"/>
      <c r="HJV18" s="273"/>
      <c r="HJW18" s="273"/>
      <c r="HJX18" s="273"/>
      <c r="HJY18" s="273"/>
      <c r="HJZ18" s="273"/>
      <c r="HKA18" s="273"/>
      <c r="HKB18" s="273"/>
      <c r="HKC18" s="273"/>
      <c r="HKD18" s="273"/>
      <c r="HKE18" s="273"/>
      <c r="HKF18" s="273"/>
      <c r="HKG18" s="273"/>
      <c r="HKH18" s="273"/>
      <c r="HKI18" s="273"/>
      <c r="HKJ18" s="273"/>
      <c r="HKK18" s="273"/>
      <c r="HKL18" s="273"/>
      <c r="HKM18" s="273"/>
      <c r="HKN18" s="273"/>
      <c r="HKO18" s="273"/>
      <c r="HKP18" s="273"/>
      <c r="HKQ18" s="273"/>
      <c r="HKR18" s="273"/>
      <c r="HKS18" s="273"/>
      <c r="HKT18" s="273"/>
      <c r="HKU18" s="273"/>
      <c r="HKV18" s="273"/>
      <c r="HKW18" s="273"/>
      <c r="HKX18" s="273"/>
      <c r="HKY18" s="273"/>
      <c r="HKZ18" s="273"/>
      <c r="HLA18" s="273"/>
      <c r="HLB18" s="273"/>
      <c r="HLC18" s="273"/>
      <c r="HLD18" s="273"/>
      <c r="HLE18" s="273"/>
      <c r="HLF18" s="273"/>
      <c r="HLG18" s="273"/>
      <c r="HLH18" s="273"/>
      <c r="HLI18" s="273"/>
      <c r="HLJ18" s="273"/>
      <c r="HLK18" s="273"/>
      <c r="HLL18" s="273"/>
      <c r="HLM18" s="273"/>
      <c r="HLN18" s="273"/>
      <c r="HLO18" s="273"/>
      <c r="HLP18" s="273"/>
      <c r="HLQ18" s="273"/>
      <c r="HLR18" s="273"/>
      <c r="HLS18" s="273"/>
      <c r="HLT18" s="273"/>
      <c r="HLU18" s="273"/>
      <c r="HLV18" s="273"/>
      <c r="HLW18" s="273"/>
      <c r="HLX18" s="273"/>
      <c r="HLY18" s="273"/>
      <c r="HLZ18" s="273"/>
      <c r="HMA18" s="273"/>
      <c r="HMB18" s="273"/>
      <c r="HMC18" s="273"/>
      <c r="HMD18" s="273"/>
      <c r="HME18" s="273"/>
      <c r="HMF18" s="273"/>
      <c r="HMG18" s="273"/>
      <c r="HMH18" s="273"/>
      <c r="HMI18" s="273"/>
      <c r="HMJ18" s="273"/>
      <c r="HMK18" s="273"/>
      <c r="HML18" s="273"/>
      <c r="HMM18" s="273"/>
      <c r="HMN18" s="273"/>
      <c r="HMO18" s="273"/>
      <c r="HMP18" s="273"/>
      <c r="HMQ18" s="273"/>
      <c r="HMR18" s="273"/>
      <c r="HMS18" s="273"/>
      <c r="HMT18" s="273"/>
      <c r="HMU18" s="273"/>
      <c r="HMV18" s="273"/>
      <c r="HMW18" s="273"/>
      <c r="HMX18" s="273"/>
      <c r="HMY18" s="273"/>
      <c r="HMZ18" s="273"/>
      <c r="HNA18" s="273"/>
      <c r="HNB18" s="273"/>
      <c r="HNC18" s="273"/>
      <c r="HND18" s="273"/>
      <c r="HNE18" s="273"/>
      <c r="HNF18" s="273"/>
      <c r="HNG18" s="273"/>
      <c r="HNH18" s="273"/>
      <c r="HNI18" s="273"/>
      <c r="HNJ18" s="273"/>
      <c r="HNK18" s="273"/>
      <c r="HNL18" s="273"/>
      <c r="HNM18" s="273"/>
      <c r="HNN18" s="273"/>
      <c r="HNO18" s="273"/>
      <c r="HNP18" s="273"/>
      <c r="HNQ18" s="273"/>
      <c r="HNR18" s="273"/>
      <c r="HNS18" s="273"/>
      <c r="HNT18" s="273"/>
      <c r="HNU18" s="273"/>
      <c r="HNV18" s="273"/>
      <c r="HNW18" s="273"/>
      <c r="HNX18" s="273"/>
      <c r="HNY18" s="273"/>
      <c r="HNZ18" s="273"/>
      <c r="HOA18" s="273"/>
      <c r="HOB18" s="273"/>
      <c r="HOC18" s="273"/>
      <c r="HOD18" s="273"/>
      <c r="HOE18" s="273"/>
      <c r="HOF18" s="273"/>
      <c r="HOG18" s="273"/>
      <c r="HOH18" s="273"/>
      <c r="HOI18" s="273"/>
      <c r="HOJ18" s="273"/>
      <c r="HOK18" s="273"/>
      <c r="HOL18" s="273"/>
      <c r="HOM18" s="273"/>
      <c r="HON18" s="273"/>
      <c r="HOO18" s="273"/>
      <c r="HOP18" s="273"/>
      <c r="HOQ18" s="273"/>
      <c r="HOR18" s="273"/>
      <c r="HOS18" s="273"/>
      <c r="HOT18" s="273"/>
      <c r="HOU18" s="273"/>
      <c r="HOV18" s="273"/>
      <c r="HOW18" s="273"/>
      <c r="HOX18" s="273"/>
      <c r="HOY18" s="273"/>
      <c r="HOZ18" s="273"/>
      <c r="HPA18" s="273"/>
      <c r="HPB18" s="273"/>
      <c r="HPC18" s="273"/>
      <c r="HPD18" s="273"/>
      <c r="HPE18" s="273"/>
      <c r="HPF18" s="273"/>
      <c r="HPG18" s="273"/>
      <c r="HPH18" s="273"/>
      <c r="HPI18" s="273"/>
      <c r="HPJ18" s="273"/>
      <c r="HPK18" s="273"/>
      <c r="HPL18" s="273"/>
      <c r="HPM18" s="273"/>
      <c r="HPN18" s="273"/>
      <c r="HPO18" s="273"/>
      <c r="HPP18" s="273"/>
      <c r="HPQ18" s="273"/>
      <c r="HPR18" s="273"/>
      <c r="HPS18" s="273"/>
      <c r="HPT18" s="273"/>
      <c r="HPU18" s="273"/>
      <c r="HPV18" s="273"/>
      <c r="HPW18" s="273"/>
      <c r="HPX18" s="273"/>
      <c r="HPY18" s="273"/>
      <c r="HPZ18" s="273"/>
      <c r="HQA18" s="273"/>
      <c r="HQB18" s="273"/>
      <c r="HQC18" s="273"/>
      <c r="HQD18" s="273"/>
      <c r="HQE18" s="273"/>
      <c r="HQF18" s="273"/>
      <c r="HQG18" s="273"/>
      <c r="HQH18" s="273"/>
      <c r="HQI18" s="273"/>
      <c r="HQJ18" s="273"/>
      <c r="HQK18" s="273"/>
      <c r="HQL18" s="273"/>
      <c r="HQM18" s="273"/>
      <c r="HQN18" s="273"/>
      <c r="HQO18" s="273"/>
      <c r="HQP18" s="273"/>
      <c r="HQQ18" s="273"/>
      <c r="HQR18" s="273"/>
      <c r="HQS18" s="273"/>
      <c r="HQT18" s="273"/>
      <c r="HQU18" s="273"/>
      <c r="HQV18" s="273"/>
      <c r="HQW18" s="273"/>
      <c r="HQX18" s="273"/>
      <c r="HQY18" s="273"/>
      <c r="HQZ18" s="273"/>
      <c r="HRA18" s="273"/>
      <c r="HRB18" s="273"/>
      <c r="HRC18" s="273"/>
      <c r="HRD18" s="273"/>
      <c r="HRE18" s="273"/>
      <c r="HRF18" s="273"/>
      <c r="HRG18" s="273"/>
      <c r="HRH18" s="273"/>
      <c r="HRI18" s="273"/>
      <c r="HRJ18" s="273"/>
      <c r="HRK18" s="273"/>
      <c r="HRL18" s="273"/>
      <c r="HRM18" s="273"/>
      <c r="HRN18" s="273"/>
      <c r="HRO18" s="273"/>
      <c r="HRP18" s="273"/>
      <c r="HRQ18" s="273"/>
      <c r="HRR18" s="273"/>
      <c r="HRS18" s="273"/>
      <c r="HRT18" s="273"/>
      <c r="HRU18" s="273"/>
      <c r="HRV18" s="273"/>
      <c r="HRW18" s="273"/>
      <c r="HRX18" s="273"/>
      <c r="HRY18" s="273"/>
      <c r="HRZ18" s="273"/>
      <c r="HSA18" s="273"/>
      <c r="HSB18" s="273"/>
      <c r="HSC18" s="273"/>
      <c r="HSD18" s="273"/>
      <c r="HSE18" s="273"/>
      <c r="HSF18" s="273"/>
      <c r="HSG18" s="273"/>
      <c r="HSH18" s="273"/>
      <c r="HSI18" s="273"/>
      <c r="HSJ18" s="273"/>
      <c r="HSK18" s="273"/>
      <c r="HSL18" s="273"/>
      <c r="HSM18" s="273"/>
      <c r="HSN18" s="273"/>
      <c r="HSO18" s="273"/>
      <c r="HSP18" s="273"/>
      <c r="HSQ18" s="273"/>
      <c r="HSR18" s="273"/>
      <c r="HSS18" s="273"/>
      <c r="HST18" s="273"/>
      <c r="HSU18" s="273"/>
      <c r="HSV18" s="273"/>
      <c r="HSW18" s="273"/>
      <c r="HSX18" s="273"/>
      <c r="HSY18" s="273"/>
      <c r="HSZ18" s="273"/>
      <c r="HTA18" s="273"/>
      <c r="HTB18" s="273"/>
      <c r="HTC18" s="273"/>
      <c r="HTD18" s="273"/>
      <c r="HTE18" s="273"/>
      <c r="HTF18" s="273"/>
      <c r="HTG18" s="273"/>
      <c r="HTH18" s="273"/>
      <c r="HTI18" s="273"/>
      <c r="HTJ18" s="273"/>
      <c r="HTK18" s="273"/>
      <c r="HTL18" s="273"/>
      <c r="HTM18" s="273"/>
      <c r="HTN18" s="273"/>
      <c r="HTO18" s="273"/>
      <c r="HTP18" s="273"/>
      <c r="HTQ18" s="273"/>
      <c r="HTR18" s="273"/>
      <c r="HTS18" s="273"/>
      <c r="HTT18" s="273"/>
      <c r="HTU18" s="273"/>
      <c r="HTV18" s="273"/>
      <c r="HTW18" s="273"/>
      <c r="HTX18" s="273"/>
      <c r="HTY18" s="273"/>
      <c r="HTZ18" s="273"/>
      <c r="HUA18" s="273"/>
      <c r="HUB18" s="273"/>
      <c r="HUC18" s="273"/>
      <c r="HUD18" s="273"/>
      <c r="HUE18" s="273"/>
      <c r="HUF18" s="273"/>
      <c r="HUG18" s="273"/>
      <c r="HUH18" s="273"/>
      <c r="HUI18" s="273"/>
      <c r="HUJ18" s="273"/>
      <c r="HUK18" s="273"/>
      <c r="HUL18" s="273"/>
      <c r="HUM18" s="273"/>
      <c r="HUN18" s="273"/>
      <c r="HUO18" s="273"/>
      <c r="HUP18" s="273"/>
      <c r="HUQ18" s="273"/>
      <c r="HUR18" s="273"/>
      <c r="HUS18" s="273"/>
      <c r="HUT18" s="273"/>
      <c r="HUU18" s="273"/>
      <c r="HUV18" s="273"/>
      <c r="HUW18" s="273"/>
      <c r="HUX18" s="273"/>
      <c r="HUY18" s="273"/>
      <c r="HUZ18" s="273"/>
      <c r="HVA18" s="273"/>
      <c r="HVB18" s="273"/>
      <c r="HVC18" s="273"/>
      <c r="HVD18" s="273"/>
      <c r="HVE18" s="273"/>
      <c r="HVF18" s="273"/>
      <c r="HVG18" s="273"/>
      <c r="HVH18" s="273"/>
      <c r="HVI18" s="273"/>
      <c r="HVJ18" s="273"/>
      <c r="HVK18" s="273"/>
      <c r="HVL18" s="273"/>
      <c r="HVM18" s="273"/>
      <c r="HVN18" s="273"/>
      <c r="HVO18" s="273"/>
      <c r="HVP18" s="273"/>
      <c r="HVQ18" s="273"/>
      <c r="HVR18" s="273"/>
      <c r="HVS18" s="273"/>
      <c r="HVT18" s="273"/>
      <c r="HVU18" s="273"/>
      <c r="HVV18" s="273"/>
      <c r="HVW18" s="273"/>
      <c r="HVX18" s="273"/>
      <c r="HVY18" s="273"/>
      <c r="HVZ18" s="273"/>
      <c r="HWA18" s="273"/>
      <c r="HWB18" s="273"/>
      <c r="HWC18" s="273"/>
      <c r="HWD18" s="273"/>
      <c r="HWE18" s="273"/>
      <c r="HWF18" s="273"/>
      <c r="HWG18" s="273"/>
      <c r="HWH18" s="273"/>
      <c r="HWI18" s="273"/>
      <c r="HWJ18" s="273"/>
      <c r="HWK18" s="273"/>
      <c r="HWL18" s="273"/>
      <c r="HWM18" s="273"/>
      <c r="HWN18" s="273"/>
      <c r="HWO18" s="273"/>
      <c r="HWP18" s="273"/>
      <c r="HWQ18" s="273"/>
      <c r="HWR18" s="273"/>
      <c r="HWS18" s="273"/>
      <c r="HWT18" s="273"/>
      <c r="HWU18" s="273"/>
      <c r="HWV18" s="273"/>
      <c r="HWW18" s="273"/>
      <c r="HWX18" s="273"/>
      <c r="HWY18" s="273"/>
      <c r="HWZ18" s="273"/>
      <c r="HXA18" s="273"/>
      <c r="HXB18" s="273"/>
      <c r="HXC18" s="273"/>
      <c r="HXD18" s="273"/>
      <c r="HXE18" s="273"/>
      <c r="HXF18" s="273"/>
      <c r="HXG18" s="273"/>
      <c r="HXH18" s="273"/>
      <c r="HXI18" s="273"/>
      <c r="HXJ18" s="273"/>
      <c r="HXK18" s="273"/>
      <c r="HXL18" s="273"/>
      <c r="HXM18" s="273"/>
      <c r="HXN18" s="273"/>
      <c r="HXO18" s="273"/>
      <c r="HXP18" s="273"/>
      <c r="HXQ18" s="273"/>
      <c r="HXR18" s="273"/>
      <c r="HXS18" s="273"/>
      <c r="HXT18" s="273"/>
      <c r="HXU18" s="273"/>
      <c r="HXV18" s="273"/>
      <c r="HXW18" s="273"/>
      <c r="HXX18" s="273"/>
      <c r="HXY18" s="273"/>
      <c r="HXZ18" s="273"/>
      <c r="HYA18" s="273"/>
      <c r="HYB18" s="273"/>
      <c r="HYC18" s="273"/>
      <c r="HYD18" s="273"/>
      <c r="HYE18" s="273"/>
      <c r="HYF18" s="273"/>
      <c r="HYG18" s="273"/>
      <c r="HYH18" s="273"/>
      <c r="HYI18" s="273"/>
      <c r="HYJ18" s="273"/>
      <c r="HYK18" s="273"/>
      <c r="HYL18" s="273"/>
      <c r="HYM18" s="273"/>
      <c r="HYN18" s="273"/>
      <c r="HYO18" s="273"/>
      <c r="HYP18" s="273"/>
      <c r="HYQ18" s="273"/>
      <c r="HYR18" s="273"/>
      <c r="HYS18" s="273"/>
      <c r="HYT18" s="273"/>
      <c r="HYU18" s="273"/>
      <c r="HYV18" s="273"/>
      <c r="HYW18" s="273"/>
      <c r="HYX18" s="273"/>
      <c r="HYY18" s="273"/>
      <c r="HYZ18" s="273"/>
      <c r="HZA18" s="273"/>
      <c r="HZB18" s="273"/>
      <c r="HZC18" s="273"/>
      <c r="HZD18" s="273"/>
      <c r="HZE18" s="273"/>
      <c r="HZF18" s="273"/>
      <c r="HZG18" s="273"/>
      <c r="HZH18" s="273"/>
      <c r="HZI18" s="273"/>
      <c r="HZJ18" s="273"/>
      <c r="HZK18" s="273"/>
      <c r="HZL18" s="273"/>
      <c r="HZM18" s="273"/>
      <c r="HZN18" s="273"/>
      <c r="HZO18" s="273"/>
      <c r="HZP18" s="273"/>
      <c r="HZQ18" s="273"/>
      <c r="HZR18" s="273"/>
      <c r="HZS18" s="273"/>
      <c r="HZT18" s="273"/>
      <c r="HZU18" s="273"/>
      <c r="HZV18" s="273"/>
      <c r="HZW18" s="273"/>
      <c r="HZX18" s="273"/>
      <c r="HZY18" s="273"/>
      <c r="HZZ18" s="273"/>
      <c r="IAA18" s="273"/>
      <c r="IAB18" s="273"/>
      <c r="IAC18" s="273"/>
      <c r="IAD18" s="273"/>
      <c r="IAE18" s="273"/>
      <c r="IAF18" s="273"/>
      <c r="IAG18" s="273"/>
      <c r="IAH18" s="273"/>
      <c r="IAI18" s="273"/>
      <c r="IAJ18" s="273"/>
      <c r="IAK18" s="273"/>
      <c r="IAL18" s="273"/>
      <c r="IAM18" s="273"/>
      <c r="IAN18" s="273"/>
      <c r="IAO18" s="273"/>
      <c r="IAP18" s="273"/>
      <c r="IAQ18" s="273"/>
      <c r="IAR18" s="273"/>
      <c r="IAS18" s="273"/>
      <c r="IAT18" s="273"/>
      <c r="IAU18" s="273"/>
      <c r="IAV18" s="273"/>
      <c r="IAW18" s="273"/>
      <c r="IAX18" s="273"/>
      <c r="IAY18" s="273"/>
      <c r="IAZ18" s="273"/>
      <c r="IBA18" s="273"/>
      <c r="IBB18" s="273"/>
      <c r="IBC18" s="273"/>
      <c r="IBD18" s="273"/>
      <c r="IBE18" s="273"/>
      <c r="IBF18" s="273"/>
      <c r="IBG18" s="273"/>
      <c r="IBH18" s="273"/>
      <c r="IBI18" s="273"/>
      <c r="IBJ18" s="273"/>
      <c r="IBK18" s="273"/>
      <c r="IBL18" s="273"/>
      <c r="IBM18" s="273"/>
      <c r="IBN18" s="273"/>
      <c r="IBO18" s="273"/>
      <c r="IBP18" s="273"/>
      <c r="IBQ18" s="273"/>
      <c r="IBR18" s="273"/>
      <c r="IBS18" s="273"/>
      <c r="IBT18" s="273"/>
      <c r="IBU18" s="273"/>
      <c r="IBV18" s="273"/>
      <c r="IBW18" s="273"/>
      <c r="IBX18" s="273"/>
      <c r="IBY18" s="273"/>
      <c r="IBZ18" s="273"/>
      <c r="ICA18" s="273"/>
      <c r="ICB18" s="273"/>
      <c r="ICC18" s="273"/>
      <c r="ICD18" s="273"/>
      <c r="ICE18" s="273"/>
      <c r="ICF18" s="273"/>
      <c r="ICG18" s="273"/>
      <c r="ICH18" s="273"/>
      <c r="ICI18" s="273"/>
      <c r="ICJ18" s="273"/>
      <c r="ICK18" s="273"/>
      <c r="ICL18" s="273"/>
      <c r="ICM18" s="273"/>
      <c r="ICN18" s="273"/>
      <c r="ICO18" s="273"/>
      <c r="ICP18" s="273"/>
      <c r="ICQ18" s="273"/>
      <c r="ICR18" s="273"/>
      <c r="ICS18" s="273"/>
      <c r="ICT18" s="273"/>
      <c r="ICU18" s="273"/>
      <c r="ICV18" s="273"/>
      <c r="ICW18" s="273"/>
      <c r="ICX18" s="273"/>
      <c r="ICY18" s="273"/>
      <c r="ICZ18" s="273"/>
      <c r="IDA18" s="273"/>
      <c r="IDB18" s="273"/>
      <c r="IDC18" s="273"/>
      <c r="IDD18" s="273"/>
      <c r="IDE18" s="273"/>
      <c r="IDF18" s="273"/>
      <c r="IDG18" s="273"/>
      <c r="IDH18" s="273"/>
      <c r="IDI18" s="273"/>
      <c r="IDJ18" s="273"/>
      <c r="IDK18" s="273"/>
      <c r="IDL18" s="273"/>
      <c r="IDM18" s="273"/>
      <c r="IDN18" s="273"/>
      <c r="IDO18" s="273"/>
      <c r="IDP18" s="273"/>
      <c r="IDQ18" s="273"/>
      <c r="IDR18" s="273"/>
      <c r="IDS18" s="273"/>
      <c r="IDT18" s="273"/>
      <c r="IDU18" s="273"/>
      <c r="IDV18" s="273"/>
      <c r="IDW18" s="273"/>
      <c r="IDX18" s="273"/>
      <c r="IDY18" s="273"/>
      <c r="IDZ18" s="273"/>
      <c r="IEA18" s="273"/>
      <c r="IEB18" s="273"/>
      <c r="IEC18" s="273"/>
      <c r="IED18" s="273"/>
      <c r="IEE18" s="273"/>
      <c r="IEF18" s="273"/>
      <c r="IEG18" s="273"/>
      <c r="IEH18" s="273"/>
      <c r="IEI18" s="273"/>
      <c r="IEJ18" s="273"/>
      <c r="IEK18" s="273"/>
      <c r="IEL18" s="273"/>
      <c r="IEM18" s="273"/>
      <c r="IEN18" s="273"/>
      <c r="IEO18" s="273"/>
      <c r="IEP18" s="273"/>
      <c r="IEQ18" s="273"/>
      <c r="IER18" s="273"/>
      <c r="IES18" s="273"/>
      <c r="IET18" s="273"/>
      <c r="IEU18" s="273"/>
      <c r="IEV18" s="273"/>
      <c r="IEW18" s="273"/>
      <c r="IEX18" s="273"/>
      <c r="IEY18" s="273"/>
      <c r="IEZ18" s="273"/>
      <c r="IFA18" s="273"/>
      <c r="IFB18" s="273"/>
      <c r="IFC18" s="273"/>
      <c r="IFD18" s="273"/>
      <c r="IFE18" s="273"/>
      <c r="IFF18" s="273"/>
      <c r="IFG18" s="273"/>
      <c r="IFH18" s="273"/>
      <c r="IFI18" s="273"/>
      <c r="IFJ18" s="273"/>
      <c r="IFK18" s="273"/>
      <c r="IFL18" s="273"/>
      <c r="IFM18" s="273"/>
      <c r="IFN18" s="273"/>
      <c r="IFO18" s="273"/>
      <c r="IFP18" s="273"/>
      <c r="IFQ18" s="273"/>
      <c r="IFR18" s="273"/>
      <c r="IFS18" s="273"/>
      <c r="IFT18" s="273"/>
      <c r="IFU18" s="273"/>
      <c r="IFV18" s="273"/>
      <c r="IFW18" s="273"/>
      <c r="IFX18" s="273"/>
      <c r="IFY18" s="273"/>
      <c r="IFZ18" s="273"/>
      <c r="IGA18" s="273"/>
      <c r="IGB18" s="273"/>
      <c r="IGC18" s="273"/>
      <c r="IGD18" s="273"/>
      <c r="IGE18" s="273"/>
      <c r="IGF18" s="273"/>
      <c r="IGG18" s="273"/>
      <c r="IGH18" s="273"/>
      <c r="IGI18" s="273"/>
      <c r="IGJ18" s="273"/>
      <c r="IGK18" s="273"/>
      <c r="IGL18" s="273"/>
      <c r="IGM18" s="273"/>
      <c r="IGN18" s="273"/>
      <c r="IGO18" s="273"/>
      <c r="IGP18" s="273"/>
      <c r="IGQ18" s="273"/>
      <c r="IGR18" s="273"/>
      <c r="IGS18" s="273"/>
      <c r="IGT18" s="273"/>
      <c r="IGU18" s="273"/>
      <c r="IGV18" s="273"/>
      <c r="IGW18" s="273"/>
      <c r="IGX18" s="273"/>
      <c r="IGY18" s="273"/>
      <c r="IGZ18" s="273"/>
      <c r="IHA18" s="273"/>
      <c r="IHB18" s="273"/>
      <c r="IHC18" s="273"/>
      <c r="IHD18" s="273"/>
      <c r="IHE18" s="273"/>
      <c r="IHF18" s="273"/>
      <c r="IHG18" s="273"/>
      <c r="IHH18" s="273"/>
      <c r="IHI18" s="273"/>
      <c r="IHJ18" s="273"/>
      <c r="IHK18" s="273"/>
      <c r="IHL18" s="273"/>
      <c r="IHM18" s="273"/>
      <c r="IHN18" s="273"/>
      <c r="IHO18" s="273"/>
      <c r="IHP18" s="273"/>
      <c r="IHQ18" s="273"/>
      <c r="IHR18" s="273"/>
      <c r="IHS18" s="273"/>
      <c r="IHT18" s="273"/>
      <c r="IHU18" s="273"/>
      <c r="IHV18" s="273"/>
      <c r="IHW18" s="273"/>
      <c r="IHX18" s="273"/>
      <c r="IHY18" s="273"/>
      <c r="IHZ18" s="273"/>
      <c r="IIA18" s="273"/>
      <c r="IIB18" s="273"/>
      <c r="IIC18" s="273"/>
      <c r="IID18" s="273"/>
      <c r="IIE18" s="273"/>
      <c r="IIF18" s="273"/>
      <c r="IIG18" s="273"/>
      <c r="IIH18" s="273"/>
      <c r="III18" s="273"/>
      <c r="IIJ18" s="273"/>
      <c r="IIK18" s="273"/>
      <c r="IIL18" s="273"/>
      <c r="IIM18" s="273"/>
      <c r="IIN18" s="273"/>
      <c r="IIO18" s="273"/>
      <c r="IIP18" s="273"/>
      <c r="IIQ18" s="273"/>
      <c r="IIR18" s="273"/>
      <c r="IIS18" s="273"/>
      <c r="IIT18" s="273"/>
      <c r="IIU18" s="273"/>
      <c r="IIV18" s="273"/>
      <c r="IIW18" s="273"/>
      <c r="IIX18" s="273"/>
      <c r="IIY18" s="273"/>
      <c r="IIZ18" s="273"/>
      <c r="IJA18" s="273"/>
      <c r="IJB18" s="273"/>
      <c r="IJC18" s="273"/>
      <c r="IJD18" s="273"/>
      <c r="IJE18" s="273"/>
      <c r="IJF18" s="273"/>
      <c r="IJG18" s="273"/>
      <c r="IJH18" s="273"/>
      <c r="IJI18" s="273"/>
      <c r="IJJ18" s="273"/>
      <c r="IJK18" s="273"/>
      <c r="IJL18" s="273"/>
      <c r="IJM18" s="273"/>
      <c r="IJN18" s="273"/>
      <c r="IJO18" s="273"/>
      <c r="IJP18" s="273"/>
      <c r="IJQ18" s="273"/>
      <c r="IJR18" s="273"/>
      <c r="IJS18" s="273"/>
      <c r="IJT18" s="273"/>
      <c r="IJU18" s="273"/>
      <c r="IJV18" s="273"/>
      <c r="IJW18" s="273"/>
      <c r="IJX18" s="273"/>
      <c r="IJY18" s="273"/>
      <c r="IJZ18" s="273"/>
      <c r="IKA18" s="273"/>
      <c r="IKB18" s="273"/>
      <c r="IKC18" s="273"/>
      <c r="IKD18" s="273"/>
      <c r="IKE18" s="273"/>
      <c r="IKF18" s="273"/>
      <c r="IKG18" s="273"/>
      <c r="IKH18" s="273"/>
      <c r="IKI18" s="273"/>
      <c r="IKJ18" s="273"/>
      <c r="IKK18" s="273"/>
      <c r="IKL18" s="273"/>
      <c r="IKM18" s="273"/>
      <c r="IKN18" s="273"/>
      <c r="IKO18" s="273"/>
      <c r="IKP18" s="273"/>
      <c r="IKQ18" s="273"/>
      <c r="IKR18" s="273"/>
      <c r="IKS18" s="273"/>
      <c r="IKT18" s="273"/>
      <c r="IKU18" s="273"/>
      <c r="IKV18" s="273"/>
      <c r="IKW18" s="273"/>
      <c r="IKX18" s="273"/>
      <c r="IKY18" s="273"/>
      <c r="IKZ18" s="273"/>
      <c r="ILA18" s="273"/>
      <c r="ILB18" s="273"/>
      <c r="ILC18" s="273"/>
      <c r="ILD18" s="273"/>
      <c r="ILE18" s="273"/>
      <c r="ILF18" s="273"/>
      <c r="ILG18" s="273"/>
      <c r="ILH18" s="273"/>
      <c r="ILI18" s="273"/>
      <c r="ILJ18" s="273"/>
      <c r="ILK18" s="273"/>
      <c r="ILL18" s="273"/>
      <c r="ILM18" s="273"/>
      <c r="ILN18" s="273"/>
      <c r="ILO18" s="273"/>
      <c r="ILP18" s="273"/>
      <c r="ILQ18" s="273"/>
      <c r="ILR18" s="273"/>
      <c r="ILS18" s="273"/>
      <c r="ILT18" s="273"/>
      <c r="ILU18" s="273"/>
      <c r="ILV18" s="273"/>
      <c r="ILW18" s="273"/>
      <c r="ILX18" s="273"/>
      <c r="ILY18" s="273"/>
      <c r="ILZ18" s="273"/>
      <c r="IMA18" s="273"/>
      <c r="IMB18" s="273"/>
      <c r="IMC18" s="273"/>
      <c r="IMD18" s="273"/>
      <c r="IME18" s="273"/>
      <c r="IMF18" s="273"/>
      <c r="IMG18" s="273"/>
      <c r="IMH18" s="273"/>
      <c r="IMI18" s="273"/>
      <c r="IMJ18" s="273"/>
      <c r="IMK18" s="273"/>
      <c r="IML18" s="273"/>
      <c r="IMM18" s="273"/>
      <c r="IMN18" s="273"/>
      <c r="IMO18" s="273"/>
      <c r="IMP18" s="273"/>
      <c r="IMQ18" s="273"/>
      <c r="IMR18" s="273"/>
      <c r="IMS18" s="273"/>
      <c r="IMT18" s="273"/>
      <c r="IMU18" s="273"/>
      <c r="IMV18" s="273"/>
      <c r="IMW18" s="273"/>
      <c r="IMX18" s="273"/>
      <c r="IMY18" s="273"/>
      <c r="IMZ18" s="273"/>
      <c r="INA18" s="273"/>
      <c r="INB18" s="273"/>
      <c r="INC18" s="273"/>
      <c r="IND18" s="273"/>
      <c r="INE18" s="273"/>
      <c r="INF18" s="273"/>
      <c r="ING18" s="273"/>
      <c r="INH18" s="273"/>
      <c r="INI18" s="273"/>
      <c r="INJ18" s="273"/>
      <c r="INK18" s="273"/>
      <c r="INL18" s="273"/>
      <c r="INM18" s="273"/>
      <c r="INN18" s="273"/>
      <c r="INO18" s="273"/>
      <c r="INP18" s="273"/>
      <c r="INQ18" s="273"/>
      <c r="INR18" s="273"/>
      <c r="INS18" s="273"/>
      <c r="INT18" s="273"/>
      <c r="INU18" s="273"/>
      <c r="INV18" s="273"/>
      <c r="INW18" s="273"/>
      <c r="INX18" s="273"/>
      <c r="INY18" s="273"/>
      <c r="INZ18" s="273"/>
      <c r="IOA18" s="273"/>
      <c r="IOB18" s="273"/>
      <c r="IOC18" s="273"/>
      <c r="IOD18" s="273"/>
      <c r="IOE18" s="273"/>
      <c r="IOF18" s="273"/>
      <c r="IOG18" s="273"/>
      <c r="IOH18" s="273"/>
      <c r="IOI18" s="273"/>
      <c r="IOJ18" s="273"/>
      <c r="IOK18" s="273"/>
      <c r="IOL18" s="273"/>
      <c r="IOM18" s="273"/>
      <c r="ION18" s="273"/>
      <c r="IOO18" s="273"/>
      <c r="IOP18" s="273"/>
      <c r="IOQ18" s="273"/>
      <c r="IOR18" s="273"/>
      <c r="IOS18" s="273"/>
      <c r="IOT18" s="273"/>
      <c r="IOU18" s="273"/>
      <c r="IOV18" s="273"/>
      <c r="IOW18" s="273"/>
      <c r="IOX18" s="273"/>
      <c r="IOY18" s="273"/>
      <c r="IOZ18" s="273"/>
      <c r="IPA18" s="273"/>
      <c r="IPB18" s="273"/>
      <c r="IPC18" s="273"/>
      <c r="IPD18" s="273"/>
      <c r="IPE18" s="273"/>
      <c r="IPF18" s="273"/>
      <c r="IPG18" s="273"/>
      <c r="IPH18" s="273"/>
      <c r="IPI18" s="273"/>
      <c r="IPJ18" s="273"/>
      <c r="IPK18" s="273"/>
      <c r="IPL18" s="273"/>
      <c r="IPM18" s="273"/>
      <c r="IPN18" s="273"/>
      <c r="IPO18" s="273"/>
      <c r="IPP18" s="273"/>
      <c r="IPQ18" s="273"/>
      <c r="IPR18" s="273"/>
      <c r="IPS18" s="273"/>
      <c r="IPT18" s="273"/>
      <c r="IPU18" s="273"/>
      <c r="IPV18" s="273"/>
      <c r="IPW18" s="273"/>
      <c r="IPX18" s="273"/>
      <c r="IPY18" s="273"/>
      <c r="IPZ18" s="273"/>
      <c r="IQA18" s="273"/>
      <c r="IQB18" s="273"/>
      <c r="IQC18" s="273"/>
      <c r="IQD18" s="273"/>
      <c r="IQE18" s="273"/>
      <c r="IQF18" s="273"/>
      <c r="IQG18" s="273"/>
      <c r="IQH18" s="273"/>
      <c r="IQI18" s="273"/>
      <c r="IQJ18" s="273"/>
      <c r="IQK18" s="273"/>
      <c r="IQL18" s="273"/>
      <c r="IQM18" s="273"/>
      <c r="IQN18" s="273"/>
      <c r="IQO18" s="273"/>
      <c r="IQP18" s="273"/>
      <c r="IQQ18" s="273"/>
      <c r="IQR18" s="273"/>
      <c r="IQS18" s="273"/>
      <c r="IQT18" s="273"/>
      <c r="IQU18" s="273"/>
      <c r="IQV18" s="273"/>
      <c r="IQW18" s="273"/>
      <c r="IQX18" s="273"/>
      <c r="IQY18" s="273"/>
      <c r="IQZ18" s="273"/>
      <c r="IRA18" s="273"/>
      <c r="IRB18" s="273"/>
      <c r="IRC18" s="273"/>
      <c r="IRD18" s="273"/>
      <c r="IRE18" s="273"/>
      <c r="IRF18" s="273"/>
      <c r="IRG18" s="273"/>
      <c r="IRH18" s="273"/>
      <c r="IRI18" s="273"/>
      <c r="IRJ18" s="273"/>
      <c r="IRK18" s="273"/>
      <c r="IRL18" s="273"/>
      <c r="IRM18" s="273"/>
      <c r="IRN18" s="273"/>
      <c r="IRO18" s="273"/>
      <c r="IRP18" s="273"/>
      <c r="IRQ18" s="273"/>
      <c r="IRR18" s="273"/>
      <c r="IRS18" s="273"/>
      <c r="IRT18" s="273"/>
      <c r="IRU18" s="273"/>
      <c r="IRV18" s="273"/>
      <c r="IRW18" s="273"/>
      <c r="IRX18" s="273"/>
      <c r="IRY18" s="273"/>
      <c r="IRZ18" s="273"/>
      <c r="ISA18" s="273"/>
      <c r="ISB18" s="273"/>
      <c r="ISC18" s="273"/>
      <c r="ISD18" s="273"/>
      <c r="ISE18" s="273"/>
      <c r="ISF18" s="273"/>
      <c r="ISG18" s="273"/>
      <c r="ISH18" s="273"/>
      <c r="ISI18" s="273"/>
      <c r="ISJ18" s="273"/>
      <c r="ISK18" s="273"/>
      <c r="ISL18" s="273"/>
      <c r="ISM18" s="273"/>
      <c r="ISN18" s="273"/>
      <c r="ISO18" s="273"/>
      <c r="ISP18" s="273"/>
      <c r="ISQ18" s="273"/>
      <c r="ISR18" s="273"/>
      <c r="ISS18" s="273"/>
      <c r="IST18" s="273"/>
      <c r="ISU18" s="273"/>
      <c r="ISV18" s="273"/>
      <c r="ISW18" s="273"/>
      <c r="ISX18" s="273"/>
      <c r="ISY18" s="273"/>
      <c r="ISZ18" s="273"/>
      <c r="ITA18" s="273"/>
      <c r="ITB18" s="273"/>
      <c r="ITC18" s="273"/>
      <c r="ITD18" s="273"/>
      <c r="ITE18" s="273"/>
      <c r="ITF18" s="273"/>
      <c r="ITG18" s="273"/>
      <c r="ITH18" s="273"/>
      <c r="ITI18" s="273"/>
      <c r="ITJ18" s="273"/>
      <c r="ITK18" s="273"/>
      <c r="ITL18" s="273"/>
      <c r="ITM18" s="273"/>
      <c r="ITN18" s="273"/>
      <c r="ITO18" s="273"/>
      <c r="ITP18" s="273"/>
      <c r="ITQ18" s="273"/>
      <c r="ITR18" s="273"/>
      <c r="ITS18" s="273"/>
      <c r="ITT18" s="273"/>
      <c r="ITU18" s="273"/>
      <c r="ITV18" s="273"/>
      <c r="ITW18" s="273"/>
      <c r="ITX18" s="273"/>
      <c r="ITY18" s="273"/>
      <c r="ITZ18" s="273"/>
      <c r="IUA18" s="273"/>
      <c r="IUB18" s="273"/>
      <c r="IUC18" s="273"/>
      <c r="IUD18" s="273"/>
      <c r="IUE18" s="273"/>
      <c r="IUF18" s="273"/>
      <c r="IUG18" s="273"/>
      <c r="IUH18" s="273"/>
      <c r="IUI18" s="273"/>
      <c r="IUJ18" s="273"/>
      <c r="IUK18" s="273"/>
      <c r="IUL18" s="273"/>
      <c r="IUM18" s="273"/>
      <c r="IUN18" s="273"/>
      <c r="IUO18" s="273"/>
      <c r="IUP18" s="273"/>
      <c r="IUQ18" s="273"/>
      <c r="IUR18" s="273"/>
      <c r="IUS18" s="273"/>
      <c r="IUT18" s="273"/>
      <c r="IUU18" s="273"/>
      <c r="IUV18" s="273"/>
      <c r="IUW18" s="273"/>
      <c r="IUX18" s="273"/>
      <c r="IUY18" s="273"/>
      <c r="IUZ18" s="273"/>
      <c r="IVA18" s="273"/>
      <c r="IVB18" s="273"/>
      <c r="IVC18" s="273"/>
      <c r="IVD18" s="273"/>
      <c r="IVE18" s="273"/>
      <c r="IVF18" s="273"/>
      <c r="IVG18" s="273"/>
      <c r="IVH18" s="273"/>
      <c r="IVI18" s="273"/>
      <c r="IVJ18" s="273"/>
      <c r="IVK18" s="273"/>
      <c r="IVL18" s="273"/>
      <c r="IVM18" s="273"/>
      <c r="IVN18" s="273"/>
      <c r="IVO18" s="273"/>
      <c r="IVP18" s="273"/>
      <c r="IVQ18" s="273"/>
      <c r="IVR18" s="273"/>
      <c r="IVS18" s="273"/>
      <c r="IVT18" s="273"/>
      <c r="IVU18" s="273"/>
      <c r="IVV18" s="273"/>
      <c r="IVW18" s="273"/>
      <c r="IVX18" s="273"/>
      <c r="IVY18" s="273"/>
      <c r="IVZ18" s="273"/>
      <c r="IWA18" s="273"/>
      <c r="IWB18" s="273"/>
      <c r="IWC18" s="273"/>
      <c r="IWD18" s="273"/>
      <c r="IWE18" s="273"/>
      <c r="IWF18" s="273"/>
      <c r="IWG18" s="273"/>
      <c r="IWH18" s="273"/>
      <c r="IWI18" s="273"/>
      <c r="IWJ18" s="273"/>
      <c r="IWK18" s="273"/>
      <c r="IWL18" s="273"/>
      <c r="IWM18" s="273"/>
      <c r="IWN18" s="273"/>
      <c r="IWO18" s="273"/>
      <c r="IWP18" s="273"/>
      <c r="IWQ18" s="273"/>
      <c r="IWR18" s="273"/>
      <c r="IWS18" s="273"/>
      <c r="IWT18" s="273"/>
      <c r="IWU18" s="273"/>
      <c r="IWV18" s="273"/>
      <c r="IWW18" s="273"/>
      <c r="IWX18" s="273"/>
      <c r="IWY18" s="273"/>
      <c r="IWZ18" s="273"/>
      <c r="IXA18" s="273"/>
      <c r="IXB18" s="273"/>
      <c r="IXC18" s="273"/>
      <c r="IXD18" s="273"/>
      <c r="IXE18" s="273"/>
      <c r="IXF18" s="273"/>
      <c r="IXG18" s="273"/>
      <c r="IXH18" s="273"/>
      <c r="IXI18" s="273"/>
      <c r="IXJ18" s="273"/>
      <c r="IXK18" s="273"/>
      <c r="IXL18" s="273"/>
      <c r="IXM18" s="273"/>
      <c r="IXN18" s="273"/>
      <c r="IXO18" s="273"/>
      <c r="IXP18" s="273"/>
      <c r="IXQ18" s="273"/>
      <c r="IXR18" s="273"/>
      <c r="IXS18" s="273"/>
      <c r="IXT18" s="273"/>
      <c r="IXU18" s="273"/>
      <c r="IXV18" s="273"/>
      <c r="IXW18" s="273"/>
      <c r="IXX18" s="273"/>
      <c r="IXY18" s="273"/>
      <c r="IXZ18" s="273"/>
      <c r="IYA18" s="273"/>
      <c r="IYB18" s="273"/>
      <c r="IYC18" s="273"/>
      <c r="IYD18" s="273"/>
      <c r="IYE18" s="273"/>
      <c r="IYF18" s="273"/>
      <c r="IYG18" s="273"/>
      <c r="IYH18" s="273"/>
      <c r="IYI18" s="273"/>
      <c r="IYJ18" s="273"/>
      <c r="IYK18" s="273"/>
      <c r="IYL18" s="273"/>
      <c r="IYM18" s="273"/>
      <c r="IYN18" s="273"/>
      <c r="IYO18" s="273"/>
      <c r="IYP18" s="273"/>
      <c r="IYQ18" s="273"/>
      <c r="IYR18" s="273"/>
      <c r="IYS18" s="273"/>
      <c r="IYT18" s="273"/>
      <c r="IYU18" s="273"/>
      <c r="IYV18" s="273"/>
      <c r="IYW18" s="273"/>
      <c r="IYX18" s="273"/>
      <c r="IYY18" s="273"/>
      <c r="IYZ18" s="273"/>
      <c r="IZA18" s="273"/>
      <c r="IZB18" s="273"/>
      <c r="IZC18" s="273"/>
      <c r="IZD18" s="273"/>
      <c r="IZE18" s="273"/>
      <c r="IZF18" s="273"/>
      <c r="IZG18" s="273"/>
      <c r="IZH18" s="273"/>
      <c r="IZI18" s="273"/>
      <c r="IZJ18" s="273"/>
      <c r="IZK18" s="273"/>
      <c r="IZL18" s="273"/>
      <c r="IZM18" s="273"/>
      <c r="IZN18" s="273"/>
      <c r="IZO18" s="273"/>
      <c r="IZP18" s="273"/>
      <c r="IZQ18" s="273"/>
      <c r="IZR18" s="273"/>
      <c r="IZS18" s="273"/>
      <c r="IZT18" s="273"/>
      <c r="IZU18" s="273"/>
      <c r="IZV18" s="273"/>
      <c r="IZW18" s="273"/>
      <c r="IZX18" s="273"/>
      <c r="IZY18" s="273"/>
      <c r="IZZ18" s="273"/>
      <c r="JAA18" s="273"/>
      <c r="JAB18" s="273"/>
      <c r="JAC18" s="273"/>
      <c r="JAD18" s="273"/>
      <c r="JAE18" s="273"/>
      <c r="JAF18" s="273"/>
      <c r="JAG18" s="273"/>
      <c r="JAH18" s="273"/>
      <c r="JAI18" s="273"/>
      <c r="JAJ18" s="273"/>
      <c r="JAK18" s="273"/>
      <c r="JAL18" s="273"/>
      <c r="JAM18" s="273"/>
      <c r="JAN18" s="273"/>
      <c r="JAO18" s="273"/>
      <c r="JAP18" s="273"/>
      <c r="JAQ18" s="273"/>
      <c r="JAR18" s="273"/>
      <c r="JAS18" s="273"/>
      <c r="JAT18" s="273"/>
      <c r="JAU18" s="273"/>
      <c r="JAV18" s="273"/>
      <c r="JAW18" s="273"/>
      <c r="JAX18" s="273"/>
      <c r="JAY18" s="273"/>
      <c r="JAZ18" s="273"/>
      <c r="JBA18" s="273"/>
      <c r="JBB18" s="273"/>
      <c r="JBC18" s="273"/>
      <c r="JBD18" s="273"/>
      <c r="JBE18" s="273"/>
      <c r="JBF18" s="273"/>
      <c r="JBG18" s="273"/>
      <c r="JBH18" s="273"/>
      <c r="JBI18" s="273"/>
      <c r="JBJ18" s="273"/>
      <c r="JBK18" s="273"/>
      <c r="JBL18" s="273"/>
      <c r="JBM18" s="273"/>
      <c r="JBN18" s="273"/>
      <c r="JBO18" s="273"/>
      <c r="JBP18" s="273"/>
      <c r="JBQ18" s="273"/>
      <c r="JBR18" s="273"/>
      <c r="JBS18" s="273"/>
      <c r="JBT18" s="273"/>
      <c r="JBU18" s="273"/>
      <c r="JBV18" s="273"/>
      <c r="JBW18" s="273"/>
      <c r="JBX18" s="273"/>
      <c r="JBY18" s="273"/>
      <c r="JBZ18" s="273"/>
      <c r="JCA18" s="273"/>
      <c r="JCB18" s="273"/>
      <c r="JCC18" s="273"/>
      <c r="JCD18" s="273"/>
      <c r="JCE18" s="273"/>
      <c r="JCF18" s="273"/>
      <c r="JCG18" s="273"/>
      <c r="JCH18" s="273"/>
      <c r="JCI18" s="273"/>
      <c r="JCJ18" s="273"/>
      <c r="JCK18" s="273"/>
      <c r="JCL18" s="273"/>
      <c r="JCM18" s="273"/>
      <c r="JCN18" s="273"/>
      <c r="JCO18" s="273"/>
      <c r="JCP18" s="273"/>
      <c r="JCQ18" s="273"/>
      <c r="JCR18" s="273"/>
      <c r="JCS18" s="273"/>
      <c r="JCT18" s="273"/>
      <c r="JCU18" s="273"/>
      <c r="JCV18" s="273"/>
      <c r="JCW18" s="273"/>
      <c r="JCX18" s="273"/>
      <c r="JCY18" s="273"/>
      <c r="JCZ18" s="273"/>
      <c r="JDA18" s="273"/>
      <c r="JDB18" s="273"/>
      <c r="JDC18" s="273"/>
      <c r="JDD18" s="273"/>
      <c r="JDE18" s="273"/>
      <c r="JDF18" s="273"/>
      <c r="JDG18" s="273"/>
      <c r="JDH18" s="273"/>
      <c r="JDI18" s="273"/>
      <c r="JDJ18" s="273"/>
      <c r="JDK18" s="273"/>
      <c r="JDL18" s="273"/>
      <c r="JDM18" s="273"/>
      <c r="JDN18" s="273"/>
      <c r="JDO18" s="273"/>
      <c r="JDP18" s="273"/>
      <c r="JDQ18" s="273"/>
      <c r="JDR18" s="273"/>
      <c r="JDS18" s="273"/>
      <c r="JDT18" s="273"/>
      <c r="JDU18" s="273"/>
      <c r="JDV18" s="273"/>
      <c r="JDW18" s="273"/>
      <c r="JDX18" s="273"/>
      <c r="JDY18" s="273"/>
      <c r="JDZ18" s="273"/>
      <c r="JEA18" s="273"/>
      <c r="JEB18" s="273"/>
      <c r="JEC18" s="273"/>
      <c r="JED18" s="273"/>
      <c r="JEE18" s="273"/>
      <c r="JEF18" s="273"/>
      <c r="JEG18" s="273"/>
      <c r="JEH18" s="273"/>
      <c r="JEI18" s="273"/>
      <c r="JEJ18" s="273"/>
      <c r="JEK18" s="273"/>
      <c r="JEL18" s="273"/>
      <c r="JEM18" s="273"/>
      <c r="JEN18" s="273"/>
      <c r="JEO18" s="273"/>
      <c r="JEP18" s="273"/>
      <c r="JEQ18" s="273"/>
      <c r="JER18" s="273"/>
      <c r="JES18" s="273"/>
      <c r="JET18" s="273"/>
      <c r="JEU18" s="273"/>
      <c r="JEV18" s="273"/>
      <c r="JEW18" s="273"/>
      <c r="JEX18" s="273"/>
      <c r="JEY18" s="273"/>
      <c r="JEZ18" s="273"/>
      <c r="JFA18" s="273"/>
      <c r="JFB18" s="273"/>
      <c r="JFC18" s="273"/>
      <c r="JFD18" s="273"/>
      <c r="JFE18" s="273"/>
      <c r="JFF18" s="273"/>
      <c r="JFG18" s="273"/>
      <c r="JFH18" s="273"/>
      <c r="JFI18" s="273"/>
      <c r="JFJ18" s="273"/>
      <c r="JFK18" s="273"/>
      <c r="JFL18" s="273"/>
      <c r="JFM18" s="273"/>
      <c r="JFN18" s="273"/>
      <c r="JFO18" s="273"/>
      <c r="JFP18" s="273"/>
      <c r="JFQ18" s="273"/>
      <c r="JFR18" s="273"/>
      <c r="JFS18" s="273"/>
      <c r="JFT18" s="273"/>
      <c r="JFU18" s="273"/>
      <c r="JFV18" s="273"/>
      <c r="JFW18" s="273"/>
      <c r="JFX18" s="273"/>
      <c r="JFY18" s="273"/>
      <c r="JFZ18" s="273"/>
      <c r="JGA18" s="273"/>
      <c r="JGB18" s="273"/>
      <c r="JGC18" s="273"/>
      <c r="JGD18" s="273"/>
      <c r="JGE18" s="273"/>
      <c r="JGF18" s="273"/>
      <c r="JGG18" s="273"/>
      <c r="JGH18" s="273"/>
      <c r="JGI18" s="273"/>
      <c r="JGJ18" s="273"/>
      <c r="JGK18" s="273"/>
      <c r="JGL18" s="273"/>
      <c r="JGM18" s="273"/>
      <c r="JGN18" s="273"/>
      <c r="JGO18" s="273"/>
      <c r="JGP18" s="273"/>
      <c r="JGQ18" s="273"/>
      <c r="JGR18" s="273"/>
      <c r="JGS18" s="273"/>
      <c r="JGT18" s="273"/>
      <c r="JGU18" s="273"/>
      <c r="JGV18" s="273"/>
      <c r="JGW18" s="273"/>
      <c r="JGX18" s="273"/>
      <c r="JGY18" s="273"/>
      <c r="JGZ18" s="273"/>
      <c r="JHA18" s="273"/>
      <c r="JHB18" s="273"/>
      <c r="JHC18" s="273"/>
      <c r="JHD18" s="273"/>
      <c r="JHE18" s="273"/>
      <c r="JHF18" s="273"/>
      <c r="JHG18" s="273"/>
      <c r="JHH18" s="273"/>
      <c r="JHI18" s="273"/>
      <c r="JHJ18" s="273"/>
      <c r="JHK18" s="273"/>
      <c r="JHL18" s="273"/>
      <c r="JHM18" s="273"/>
      <c r="JHN18" s="273"/>
      <c r="JHO18" s="273"/>
      <c r="JHP18" s="273"/>
      <c r="JHQ18" s="273"/>
      <c r="JHR18" s="273"/>
      <c r="JHS18" s="273"/>
      <c r="JHT18" s="273"/>
      <c r="JHU18" s="273"/>
      <c r="JHV18" s="273"/>
      <c r="JHW18" s="273"/>
      <c r="JHX18" s="273"/>
      <c r="JHY18" s="273"/>
      <c r="JHZ18" s="273"/>
      <c r="JIA18" s="273"/>
      <c r="JIB18" s="273"/>
      <c r="JIC18" s="273"/>
      <c r="JID18" s="273"/>
      <c r="JIE18" s="273"/>
      <c r="JIF18" s="273"/>
      <c r="JIG18" s="273"/>
      <c r="JIH18" s="273"/>
      <c r="JII18" s="273"/>
      <c r="JIJ18" s="273"/>
      <c r="JIK18" s="273"/>
      <c r="JIL18" s="273"/>
      <c r="JIM18" s="273"/>
      <c r="JIN18" s="273"/>
      <c r="JIO18" s="273"/>
      <c r="JIP18" s="273"/>
      <c r="JIQ18" s="273"/>
      <c r="JIR18" s="273"/>
      <c r="JIS18" s="273"/>
      <c r="JIT18" s="273"/>
      <c r="JIU18" s="273"/>
      <c r="JIV18" s="273"/>
      <c r="JIW18" s="273"/>
      <c r="JIX18" s="273"/>
      <c r="JIY18" s="273"/>
      <c r="JIZ18" s="273"/>
      <c r="JJA18" s="273"/>
      <c r="JJB18" s="273"/>
      <c r="JJC18" s="273"/>
      <c r="JJD18" s="273"/>
      <c r="JJE18" s="273"/>
      <c r="JJF18" s="273"/>
      <c r="JJG18" s="273"/>
      <c r="JJH18" s="273"/>
      <c r="JJI18" s="273"/>
      <c r="JJJ18" s="273"/>
      <c r="JJK18" s="273"/>
      <c r="JJL18" s="273"/>
      <c r="JJM18" s="273"/>
      <c r="JJN18" s="273"/>
      <c r="JJO18" s="273"/>
      <c r="JJP18" s="273"/>
      <c r="JJQ18" s="273"/>
      <c r="JJR18" s="273"/>
      <c r="JJS18" s="273"/>
      <c r="JJT18" s="273"/>
      <c r="JJU18" s="273"/>
      <c r="JJV18" s="273"/>
      <c r="JJW18" s="273"/>
      <c r="JJX18" s="273"/>
      <c r="JJY18" s="273"/>
      <c r="JJZ18" s="273"/>
      <c r="JKA18" s="273"/>
      <c r="JKB18" s="273"/>
      <c r="JKC18" s="273"/>
      <c r="JKD18" s="273"/>
      <c r="JKE18" s="273"/>
      <c r="JKF18" s="273"/>
      <c r="JKG18" s="273"/>
      <c r="JKH18" s="273"/>
      <c r="JKI18" s="273"/>
      <c r="JKJ18" s="273"/>
      <c r="JKK18" s="273"/>
      <c r="JKL18" s="273"/>
      <c r="JKM18" s="273"/>
      <c r="JKN18" s="273"/>
      <c r="JKO18" s="273"/>
      <c r="JKP18" s="273"/>
      <c r="JKQ18" s="273"/>
      <c r="JKR18" s="273"/>
      <c r="JKS18" s="273"/>
      <c r="JKT18" s="273"/>
      <c r="JKU18" s="273"/>
      <c r="JKV18" s="273"/>
      <c r="JKW18" s="273"/>
      <c r="JKX18" s="273"/>
      <c r="JKY18" s="273"/>
      <c r="JKZ18" s="273"/>
      <c r="JLA18" s="273"/>
      <c r="JLB18" s="273"/>
      <c r="JLC18" s="273"/>
      <c r="JLD18" s="273"/>
      <c r="JLE18" s="273"/>
      <c r="JLF18" s="273"/>
      <c r="JLG18" s="273"/>
      <c r="JLH18" s="273"/>
      <c r="JLI18" s="273"/>
      <c r="JLJ18" s="273"/>
      <c r="JLK18" s="273"/>
      <c r="JLL18" s="273"/>
      <c r="JLM18" s="273"/>
      <c r="JLN18" s="273"/>
      <c r="JLO18" s="273"/>
      <c r="JLP18" s="273"/>
      <c r="JLQ18" s="273"/>
      <c r="JLR18" s="273"/>
      <c r="JLS18" s="273"/>
      <c r="JLT18" s="273"/>
      <c r="JLU18" s="273"/>
      <c r="JLV18" s="273"/>
      <c r="JLW18" s="273"/>
      <c r="JLX18" s="273"/>
      <c r="JLY18" s="273"/>
      <c r="JLZ18" s="273"/>
      <c r="JMA18" s="273"/>
      <c r="JMB18" s="273"/>
      <c r="JMC18" s="273"/>
      <c r="JMD18" s="273"/>
      <c r="JME18" s="273"/>
      <c r="JMF18" s="273"/>
      <c r="JMG18" s="273"/>
      <c r="JMH18" s="273"/>
      <c r="JMI18" s="273"/>
      <c r="JMJ18" s="273"/>
      <c r="JMK18" s="273"/>
      <c r="JML18" s="273"/>
      <c r="JMM18" s="273"/>
      <c r="JMN18" s="273"/>
      <c r="JMO18" s="273"/>
      <c r="JMP18" s="273"/>
      <c r="JMQ18" s="273"/>
      <c r="JMR18" s="273"/>
      <c r="JMS18" s="273"/>
      <c r="JMT18" s="273"/>
      <c r="JMU18" s="273"/>
      <c r="JMV18" s="273"/>
      <c r="JMW18" s="273"/>
      <c r="JMX18" s="273"/>
      <c r="JMY18" s="273"/>
      <c r="JMZ18" s="273"/>
      <c r="JNA18" s="273"/>
      <c r="JNB18" s="273"/>
      <c r="JNC18" s="273"/>
      <c r="JND18" s="273"/>
      <c r="JNE18" s="273"/>
      <c r="JNF18" s="273"/>
      <c r="JNG18" s="273"/>
      <c r="JNH18" s="273"/>
      <c r="JNI18" s="273"/>
      <c r="JNJ18" s="273"/>
      <c r="JNK18" s="273"/>
      <c r="JNL18" s="273"/>
      <c r="JNM18" s="273"/>
      <c r="JNN18" s="273"/>
      <c r="JNO18" s="273"/>
      <c r="JNP18" s="273"/>
      <c r="JNQ18" s="273"/>
      <c r="JNR18" s="273"/>
      <c r="JNS18" s="273"/>
      <c r="JNT18" s="273"/>
      <c r="JNU18" s="273"/>
      <c r="JNV18" s="273"/>
      <c r="JNW18" s="273"/>
      <c r="JNX18" s="273"/>
      <c r="JNY18" s="273"/>
      <c r="JNZ18" s="273"/>
      <c r="JOA18" s="273"/>
      <c r="JOB18" s="273"/>
      <c r="JOC18" s="273"/>
      <c r="JOD18" s="273"/>
      <c r="JOE18" s="273"/>
      <c r="JOF18" s="273"/>
      <c r="JOG18" s="273"/>
      <c r="JOH18" s="273"/>
      <c r="JOI18" s="273"/>
      <c r="JOJ18" s="273"/>
      <c r="JOK18" s="273"/>
      <c r="JOL18" s="273"/>
      <c r="JOM18" s="273"/>
      <c r="JON18" s="273"/>
      <c r="JOO18" s="273"/>
      <c r="JOP18" s="273"/>
      <c r="JOQ18" s="273"/>
      <c r="JOR18" s="273"/>
      <c r="JOS18" s="273"/>
      <c r="JOT18" s="273"/>
      <c r="JOU18" s="273"/>
      <c r="JOV18" s="273"/>
      <c r="JOW18" s="273"/>
      <c r="JOX18" s="273"/>
      <c r="JOY18" s="273"/>
      <c r="JOZ18" s="273"/>
      <c r="JPA18" s="273"/>
      <c r="JPB18" s="273"/>
      <c r="JPC18" s="273"/>
      <c r="JPD18" s="273"/>
      <c r="JPE18" s="273"/>
      <c r="JPF18" s="273"/>
      <c r="JPG18" s="273"/>
      <c r="JPH18" s="273"/>
      <c r="JPI18" s="273"/>
      <c r="JPJ18" s="273"/>
      <c r="JPK18" s="273"/>
      <c r="JPL18" s="273"/>
      <c r="JPM18" s="273"/>
      <c r="JPN18" s="273"/>
      <c r="JPO18" s="273"/>
      <c r="JPP18" s="273"/>
      <c r="JPQ18" s="273"/>
      <c r="JPR18" s="273"/>
      <c r="JPS18" s="273"/>
      <c r="JPT18" s="273"/>
      <c r="JPU18" s="273"/>
      <c r="JPV18" s="273"/>
      <c r="JPW18" s="273"/>
      <c r="JPX18" s="273"/>
      <c r="JPY18" s="273"/>
      <c r="JPZ18" s="273"/>
      <c r="JQA18" s="273"/>
      <c r="JQB18" s="273"/>
      <c r="JQC18" s="273"/>
      <c r="JQD18" s="273"/>
      <c r="JQE18" s="273"/>
      <c r="JQF18" s="273"/>
      <c r="JQG18" s="273"/>
      <c r="JQH18" s="273"/>
      <c r="JQI18" s="273"/>
      <c r="JQJ18" s="273"/>
      <c r="JQK18" s="273"/>
      <c r="JQL18" s="273"/>
      <c r="JQM18" s="273"/>
      <c r="JQN18" s="273"/>
      <c r="JQO18" s="273"/>
      <c r="JQP18" s="273"/>
      <c r="JQQ18" s="273"/>
      <c r="JQR18" s="273"/>
      <c r="JQS18" s="273"/>
      <c r="JQT18" s="273"/>
      <c r="JQU18" s="273"/>
      <c r="JQV18" s="273"/>
      <c r="JQW18" s="273"/>
      <c r="JQX18" s="273"/>
      <c r="JQY18" s="273"/>
      <c r="JQZ18" s="273"/>
      <c r="JRA18" s="273"/>
      <c r="JRB18" s="273"/>
      <c r="JRC18" s="273"/>
      <c r="JRD18" s="273"/>
      <c r="JRE18" s="273"/>
      <c r="JRF18" s="273"/>
      <c r="JRG18" s="273"/>
      <c r="JRH18" s="273"/>
      <c r="JRI18" s="273"/>
      <c r="JRJ18" s="273"/>
      <c r="JRK18" s="273"/>
      <c r="JRL18" s="273"/>
      <c r="JRM18" s="273"/>
      <c r="JRN18" s="273"/>
      <c r="JRO18" s="273"/>
      <c r="JRP18" s="273"/>
      <c r="JRQ18" s="273"/>
      <c r="JRR18" s="273"/>
      <c r="JRS18" s="273"/>
      <c r="JRT18" s="273"/>
      <c r="JRU18" s="273"/>
      <c r="JRV18" s="273"/>
      <c r="JRW18" s="273"/>
      <c r="JRX18" s="273"/>
      <c r="JRY18" s="273"/>
      <c r="JRZ18" s="273"/>
      <c r="JSA18" s="273"/>
      <c r="JSB18" s="273"/>
      <c r="JSC18" s="273"/>
      <c r="JSD18" s="273"/>
      <c r="JSE18" s="273"/>
      <c r="JSF18" s="273"/>
      <c r="JSG18" s="273"/>
      <c r="JSH18" s="273"/>
      <c r="JSI18" s="273"/>
      <c r="JSJ18" s="273"/>
      <c r="JSK18" s="273"/>
      <c r="JSL18" s="273"/>
      <c r="JSM18" s="273"/>
      <c r="JSN18" s="273"/>
      <c r="JSO18" s="273"/>
      <c r="JSP18" s="273"/>
      <c r="JSQ18" s="273"/>
      <c r="JSR18" s="273"/>
      <c r="JSS18" s="273"/>
      <c r="JST18" s="273"/>
      <c r="JSU18" s="273"/>
      <c r="JSV18" s="273"/>
      <c r="JSW18" s="273"/>
      <c r="JSX18" s="273"/>
      <c r="JSY18" s="273"/>
      <c r="JSZ18" s="273"/>
      <c r="JTA18" s="273"/>
      <c r="JTB18" s="273"/>
      <c r="JTC18" s="273"/>
      <c r="JTD18" s="273"/>
      <c r="JTE18" s="273"/>
      <c r="JTF18" s="273"/>
      <c r="JTG18" s="273"/>
      <c r="JTH18" s="273"/>
      <c r="JTI18" s="273"/>
      <c r="JTJ18" s="273"/>
      <c r="JTK18" s="273"/>
      <c r="JTL18" s="273"/>
      <c r="JTM18" s="273"/>
      <c r="JTN18" s="273"/>
      <c r="JTO18" s="273"/>
      <c r="JTP18" s="273"/>
      <c r="JTQ18" s="273"/>
      <c r="JTR18" s="273"/>
      <c r="JTS18" s="273"/>
      <c r="JTT18" s="273"/>
      <c r="JTU18" s="273"/>
      <c r="JTV18" s="273"/>
      <c r="JTW18" s="273"/>
      <c r="JTX18" s="273"/>
      <c r="JTY18" s="273"/>
      <c r="JTZ18" s="273"/>
      <c r="JUA18" s="273"/>
      <c r="JUB18" s="273"/>
      <c r="JUC18" s="273"/>
      <c r="JUD18" s="273"/>
      <c r="JUE18" s="273"/>
      <c r="JUF18" s="273"/>
      <c r="JUG18" s="273"/>
      <c r="JUH18" s="273"/>
      <c r="JUI18" s="273"/>
      <c r="JUJ18" s="273"/>
      <c r="JUK18" s="273"/>
      <c r="JUL18" s="273"/>
      <c r="JUM18" s="273"/>
      <c r="JUN18" s="273"/>
      <c r="JUO18" s="273"/>
      <c r="JUP18" s="273"/>
      <c r="JUQ18" s="273"/>
      <c r="JUR18" s="273"/>
      <c r="JUS18" s="273"/>
      <c r="JUT18" s="273"/>
      <c r="JUU18" s="273"/>
      <c r="JUV18" s="273"/>
      <c r="JUW18" s="273"/>
      <c r="JUX18" s="273"/>
      <c r="JUY18" s="273"/>
      <c r="JUZ18" s="273"/>
      <c r="JVA18" s="273"/>
      <c r="JVB18" s="273"/>
      <c r="JVC18" s="273"/>
      <c r="JVD18" s="273"/>
      <c r="JVE18" s="273"/>
      <c r="JVF18" s="273"/>
      <c r="JVG18" s="273"/>
      <c r="JVH18" s="273"/>
      <c r="JVI18" s="273"/>
      <c r="JVJ18" s="273"/>
      <c r="JVK18" s="273"/>
      <c r="JVL18" s="273"/>
      <c r="JVM18" s="273"/>
      <c r="JVN18" s="273"/>
      <c r="JVO18" s="273"/>
      <c r="JVP18" s="273"/>
      <c r="JVQ18" s="273"/>
      <c r="JVR18" s="273"/>
      <c r="JVS18" s="273"/>
      <c r="JVT18" s="273"/>
      <c r="JVU18" s="273"/>
      <c r="JVV18" s="273"/>
      <c r="JVW18" s="273"/>
      <c r="JVX18" s="273"/>
      <c r="JVY18" s="273"/>
      <c r="JVZ18" s="273"/>
      <c r="JWA18" s="273"/>
      <c r="JWB18" s="273"/>
      <c r="JWC18" s="273"/>
      <c r="JWD18" s="273"/>
      <c r="JWE18" s="273"/>
      <c r="JWF18" s="273"/>
      <c r="JWG18" s="273"/>
      <c r="JWH18" s="273"/>
      <c r="JWI18" s="273"/>
      <c r="JWJ18" s="273"/>
      <c r="JWK18" s="273"/>
      <c r="JWL18" s="273"/>
      <c r="JWM18" s="273"/>
      <c r="JWN18" s="273"/>
      <c r="JWO18" s="273"/>
      <c r="JWP18" s="273"/>
      <c r="JWQ18" s="273"/>
      <c r="JWR18" s="273"/>
      <c r="JWS18" s="273"/>
      <c r="JWT18" s="273"/>
      <c r="JWU18" s="273"/>
      <c r="JWV18" s="273"/>
      <c r="JWW18" s="273"/>
      <c r="JWX18" s="273"/>
      <c r="JWY18" s="273"/>
      <c r="JWZ18" s="273"/>
      <c r="JXA18" s="273"/>
      <c r="JXB18" s="273"/>
      <c r="JXC18" s="273"/>
      <c r="JXD18" s="273"/>
      <c r="JXE18" s="273"/>
      <c r="JXF18" s="273"/>
      <c r="JXG18" s="273"/>
      <c r="JXH18" s="273"/>
      <c r="JXI18" s="273"/>
      <c r="JXJ18" s="273"/>
      <c r="JXK18" s="273"/>
      <c r="JXL18" s="273"/>
      <c r="JXM18" s="273"/>
      <c r="JXN18" s="273"/>
      <c r="JXO18" s="273"/>
      <c r="JXP18" s="273"/>
      <c r="JXQ18" s="273"/>
      <c r="JXR18" s="273"/>
      <c r="JXS18" s="273"/>
      <c r="JXT18" s="273"/>
      <c r="JXU18" s="273"/>
      <c r="JXV18" s="273"/>
      <c r="JXW18" s="273"/>
      <c r="JXX18" s="273"/>
      <c r="JXY18" s="273"/>
      <c r="JXZ18" s="273"/>
      <c r="JYA18" s="273"/>
      <c r="JYB18" s="273"/>
      <c r="JYC18" s="273"/>
      <c r="JYD18" s="273"/>
      <c r="JYE18" s="273"/>
      <c r="JYF18" s="273"/>
      <c r="JYG18" s="273"/>
      <c r="JYH18" s="273"/>
      <c r="JYI18" s="273"/>
      <c r="JYJ18" s="273"/>
      <c r="JYK18" s="273"/>
      <c r="JYL18" s="273"/>
      <c r="JYM18" s="273"/>
      <c r="JYN18" s="273"/>
      <c r="JYO18" s="273"/>
      <c r="JYP18" s="273"/>
      <c r="JYQ18" s="273"/>
      <c r="JYR18" s="273"/>
      <c r="JYS18" s="273"/>
      <c r="JYT18" s="273"/>
      <c r="JYU18" s="273"/>
      <c r="JYV18" s="273"/>
      <c r="JYW18" s="273"/>
      <c r="JYX18" s="273"/>
      <c r="JYY18" s="273"/>
      <c r="JYZ18" s="273"/>
      <c r="JZA18" s="273"/>
      <c r="JZB18" s="273"/>
      <c r="JZC18" s="273"/>
      <c r="JZD18" s="273"/>
      <c r="JZE18" s="273"/>
      <c r="JZF18" s="273"/>
      <c r="JZG18" s="273"/>
      <c r="JZH18" s="273"/>
      <c r="JZI18" s="273"/>
      <c r="JZJ18" s="273"/>
      <c r="JZK18" s="273"/>
      <c r="JZL18" s="273"/>
      <c r="JZM18" s="273"/>
      <c r="JZN18" s="273"/>
      <c r="JZO18" s="273"/>
      <c r="JZP18" s="273"/>
      <c r="JZQ18" s="273"/>
      <c r="JZR18" s="273"/>
      <c r="JZS18" s="273"/>
      <c r="JZT18" s="273"/>
      <c r="JZU18" s="273"/>
      <c r="JZV18" s="273"/>
      <c r="JZW18" s="273"/>
      <c r="JZX18" s="273"/>
      <c r="JZY18" s="273"/>
      <c r="JZZ18" s="273"/>
      <c r="KAA18" s="273"/>
      <c r="KAB18" s="273"/>
      <c r="KAC18" s="273"/>
      <c r="KAD18" s="273"/>
      <c r="KAE18" s="273"/>
      <c r="KAF18" s="273"/>
      <c r="KAG18" s="273"/>
      <c r="KAH18" s="273"/>
      <c r="KAI18" s="273"/>
      <c r="KAJ18" s="273"/>
      <c r="KAK18" s="273"/>
      <c r="KAL18" s="273"/>
      <c r="KAM18" s="273"/>
      <c r="KAN18" s="273"/>
      <c r="KAO18" s="273"/>
      <c r="KAP18" s="273"/>
      <c r="KAQ18" s="273"/>
      <c r="KAR18" s="273"/>
      <c r="KAS18" s="273"/>
      <c r="KAT18" s="273"/>
      <c r="KAU18" s="273"/>
      <c r="KAV18" s="273"/>
      <c r="KAW18" s="273"/>
      <c r="KAX18" s="273"/>
      <c r="KAY18" s="273"/>
      <c r="KAZ18" s="273"/>
      <c r="KBA18" s="273"/>
      <c r="KBB18" s="273"/>
      <c r="KBC18" s="273"/>
      <c r="KBD18" s="273"/>
      <c r="KBE18" s="273"/>
      <c r="KBF18" s="273"/>
      <c r="KBG18" s="273"/>
      <c r="KBH18" s="273"/>
      <c r="KBI18" s="273"/>
      <c r="KBJ18" s="273"/>
      <c r="KBK18" s="273"/>
      <c r="KBL18" s="273"/>
      <c r="KBM18" s="273"/>
      <c r="KBN18" s="273"/>
      <c r="KBO18" s="273"/>
      <c r="KBP18" s="273"/>
      <c r="KBQ18" s="273"/>
      <c r="KBR18" s="273"/>
      <c r="KBS18" s="273"/>
      <c r="KBT18" s="273"/>
      <c r="KBU18" s="273"/>
      <c r="KBV18" s="273"/>
      <c r="KBW18" s="273"/>
      <c r="KBX18" s="273"/>
      <c r="KBY18" s="273"/>
      <c r="KBZ18" s="273"/>
      <c r="KCA18" s="273"/>
      <c r="KCB18" s="273"/>
      <c r="KCC18" s="273"/>
      <c r="KCD18" s="273"/>
      <c r="KCE18" s="273"/>
      <c r="KCF18" s="273"/>
      <c r="KCG18" s="273"/>
      <c r="KCH18" s="273"/>
      <c r="KCI18" s="273"/>
      <c r="KCJ18" s="273"/>
      <c r="KCK18" s="273"/>
      <c r="KCL18" s="273"/>
      <c r="KCM18" s="273"/>
      <c r="KCN18" s="273"/>
      <c r="KCO18" s="273"/>
      <c r="KCP18" s="273"/>
      <c r="KCQ18" s="273"/>
      <c r="KCR18" s="273"/>
      <c r="KCS18" s="273"/>
      <c r="KCT18" s="273"/>
      <c r="KCU18" s="273"/>
      <c r="KCV18" s="273"/>
      <c r="KCW18" s="273"/>
      <c r="KCX18" s="273"/>
      <c r="KCY18" s="273"/>
      <c r="KCZ18" s="273"/>
      <c r="KDA18" s="273"/>
      <c r="KDB18" s="273"/>
      <c r="KDC18" s="273"/>
      <c r="KDD18" s="273"/>
      <c r="KDE18" s="273"/>
      <c r="KDF18" s="273"/>
      <c r="KDG18" s="273"/>
      <c r="KDH18" s="273"/>
      <c r="KDI18" s="273"/>
      <c r="KDJ18" s="273"/>
      <c r="KDK18" s="273"/>
      <c r="KDL18" s="273"/>
      <c r="KDM18" s="273"/>
      <c r="KDN18" s="273"/>
      <c r="KDO18" s="273"/>
      <c r="KDP18" s="273"/>
      <c r="KDQ18" s="273"/>
      <c r="KDR18" s="273"/>
      <c r="KDS18" s="273"/>
      <c r="KDT18" s="273"/>
      <c r="KDU18" s="273"/>
      <c r="KDV18" s="273"/>
      <c r="KDW18" s="273"/>
      <c r="KDX18" s="273"/>
      <c r="KDY18" s="273"/>
      <c r="KDZ18" s="273"/>
      <c r="KEA18" s="273"/>
      <c r="KEB18" s="273"/>
      <c r="KEC18" s="273"/>
      <c r="KED18" s="273"/>
      <c r="KEE18" s="273"/>
      <c r="KEF18" s="273"/>
      <c r="KEG18" s="273"/>
      <c r="KEH18" s="273"/>
      <c r="KEI18" s="273"/>
      <c r="KEJ18" s="273"/>
      <c r="KEK18" s="273"/>
      <c r="KEL18" s="273"/>
      <c r="KEM18" s="273"/>
      <c r="KEN18" s="273"/>
      <c r="KEO18" s="273"/>
      <c r="KEP18" s="273"/>
      <c r="KEQ18" s="273"/>
      <c r="KER18" s="273"/>
      <c r="KES18" s="273"/>
      <c r="KET18" s="273"/>
      <c r="KEU18" s="273"/>
      <c r="KEV18" s="273"/>
      <c r="KEW18" s="273"/>
      <c r="KEX18" s="273"/>
      <c r="KEY18" s="273"/>
      <c r="KEZ18" s="273"/>
      <c r="KFA18" s="273"/>
      <c r="KFB18" s="273"/>
      <c r="KFC18" s="273"/>
      <c r="KFD18" s="273"/>
      <c r="KFE18" s="273"/>
      <c r="KFF18" s="273"/>
      <c r="KFG18" s="273"/>
      <c r="KFH18" s="273"/>
      <c r="KFI18" s="273"/>
      <c r="KFJ18" s="273"/>
      <c r="KFK18" s="273"/>
      <c r="KFL18" s="273"/>
      <c r="KFM18" s="273"/>
      <c r="KFN18" s="273"/>
      <c r="KFO18" s="273"/>
      <c r="KFP18" s="273"/>
      <c r="KFQ18" s="273"/>
      <c r="KFR18" s="273"/>
      <c r="KFS18" s="273"/>
      <c r="KFT18" s="273"/>
      <c r="KFU18" s="273"/>
      <c r="KFV18" s="273"/>
      <c r="KFW18" s="273"/>
      <c r="KFX18" s="273"/>
      <c r="KFY18" s="273"/>
      <c r="KFZ18" s="273"/>
      <c r="KGA18" s="273"/>
      <c r="KGB18" s="273"/>
      <c r="KGC18" s="273"/>
      <c r="KGD18" s="273"/>
      <c r="KGE18" s="273"/>
      <c r="KGF18" s="273"/>
      <c r="KGG18" s="273"/>
      <c r="KGH18" s="273"/>
      <c r="KGI18" s="273"/>
      <c r="KGJ18" s="273"/>
      <c r="KGK18" s="273"/>
      <c r="KGL18" s="273"/>
      <c r="KGM18" s="273"/>
      <c r="KGN18" s="273"/>
      <c r="KGO18" s="273"/>
      <c r="KGP18" s="273"/>
      <c r="KGQ18" s="273"/>
      <c r="KGR18" s="273"/>
      <c r="KGS18" s="273"/>
      <c r="KGT18" s="273"/>
      <c r="KGU18" s="273"/>
      <c r="KGV18" s="273"/>
      <c r="KGW18" s="273"/>
      <c r="KGX18" s="273"/>
      <c r="KGY18" s="273"/>
      <c r="KGZ18" s="273"/>
      <c r="KHA18" s="273"/>
      <c r="KHB18" s="273"/>
      <c r="KHC18" s="273"/>
      <c r="KHD18" s="273"/>
      <c r="KHE18" s="273"/>
      <c r="KHF18" s="273"/>
      <c r="KHG18" s="273"/>
      <c r="KHH18" s="273"/>
      <c r="KHI18" s="273"/>
      <c r="KHJ18" s="273"/>
      <c r="KHK18" s="273"/>
      <c r="KHL18" s="273"/>
      <c r="KHM18" s="273"/>
      <c r="KHN18" s="273"/>
      <c r="KHO18" s="273"/>
      <c r="KHP18" s="273"/>
      <c r="KHQ18" s="273"/>
      <c r="KHR18" s="273"/>
      <c r="KHS18" s="273"/>
      <c r="KHT18" s="273"/>
      <c r="KHU18" s="273"/>
      <c r="KHV18" s="273"/>
      <c r="KHW18" s="273"/>
      <c r="KHX18" s="273"/>
      <c r="KHY18" s="273"/>
      <c r="KHZ18" s="273"/>
      <c r="KIA18" s="273"/>
      <c r="KIB18" s="273"/>
      <c r="KIC18" s="273"/>
      <c r="KID18" s="273"/>
      <c r="KIE18" s="273"/>
      <c r="KIF18" s="273"/>
      <c r="KIG18" s="273"/>
      <c r="KIH18" s="273"/>
      <c r="KII18" s="273"/>
      <c r="KIJ18" s="273"/>
      <c r="KIK18" s="273"/>
      <c r="KIL18" s="273"/>
      <c r="KIM18" s="273"/>
      <c r="KIN18" s="273"/>
      <c r="KIO18" s="273"/>
      <c r="KIP18" s="273"/>
      <c r="KIQ18" s="273"/>
      <c r="KIR18" s="273"/>
      <c r="KIS18" s="273"/>
      <c r="KIT18" s="273"/>
      <c r="KIU18" s="273"/>
      <c r="KIV18" s="273"/>
      <c r="KIW18" s="273"/>
      <c r="KIX18" s="273"/>
      <c r="KIY18" s="273"/>
      <c r="KIZ18" s="273"/>
      <c r="KJA18" s="273"/>
      <c r="KJB18" s="273"/>
      <c r="KJC18" s="273"/>
      <c r="KJD18" s="273"/>
      <c r="KJE18" s="273"/>
      <c r="KJF18" s="273"/>
      <c r="KJG18" s="273"/>
      <c r="KJH18" s="273"/>
      <c r="KJI18" s="273"/>
      <c r="KJJ18" s="273"/>
      <c r="KJK18" s="273"/>
      <c r="KJL18" s="273"/>
      <c r="KJM18" s="273"/>
      <c r="KJN18" s="273"/>
      <c r="KJO18" s="273"/>
      <c r="KJP18" s="273"/>
      <c r="KJQ18" s="273"/>
      <c r="KJR18" s="273"/>
      <c r="KJS18" s="273"/>
      <c r="KJT18" s="273"/>
      <c r="KJU18" s="273"/>
      <c r="KJV18" s="273"/>
      <c r="KJW18" s="273"/>
      <c r="KJX18" s="273"/>
      <c r="KJY18" s="273"/>
      <c r="KJZ18" s="273"/>
      <c r="KKA18" s="273"/>
      <c r="KKB18" s="273"/>
      <c r="KKC18" s="273"/>
      <c r="KKD18" s="273"/>
      <c r="KKE18" s="273"/>
      <c r="KKF18" s="273"/>
      <c r="KKG18" s="273"/>
      <c r="KKH18" s="273"/>
      <c r="KKI18" s="273"/>
      <c r="KKJ18" s="273"/>
      <c r="KKK18" s="273"/>
      <c r="KKL18" s="273"/>
      <c r="KKM18" s="273"/>
      <c r="KKN18" s="273"/>
      <c r="KKO18" s="273"/>
      <c r="KKP18" s="273"/>
      <c r="KKQ18" s="273"/>
      <c r="KKR18" s="273"/>
      <c r="KKS18" s="273"/>
      <c r="KKT18" s="273"/>
      <c r="KKU18" s="273"/>
      <c r="KKV18" s="273"/>
      <c r="KKW18" s="273"/>
      <c r="KKX18" s="273"/>
      <c r="KKY18" s="273"/>
      <c r="KKZ18" s="273"/>
      <c r="KLA18" s="273"/>
      <c r="KLB18" s="273"/>
      <c r="KLC18" s="273"/>
      <c r="KLD18" s="273"/>
      <c r="KLE18" s="273"/>
      <c r="KLF18" s="273"/>
      <c r="KLG18" s="273"/>
      <c r="KLH18" s="273"/>
      <c r="KLI18" s="273"/>
      <c r="KLJ18" s="273"/>
      <c r="KLK18" s="273"/>
      <c r="KLL18" s="273"/>
      <c r="KLM18" s="273"/>
      <c r="KLN18" s="273"/>
      <c r="KLO18" s="273"/>
      <c r="KLP18" s="273"/>
      <c r="KLQ18" s="273"/>
      <c r="KLR18" s="273"/>
      <c r="KLS18" s="273"/>
      <c r="KLT18" s="273"/>
      <c r="KLU18" s="273"/>
      <c r="KLV18" s="273"/>
      <c r="KLW18" s="273"/>
      <c r="KLX18" s="273"/>
      <c r="KLY18" s="273"/>
      <c r="KLZ18" s="273"/>
      <c r="KMA18" s="273"/>
      <c r="KMB18" s="273"/>
      <c r="KMC18" s="273"/>
      <c r="KMD18" s="273"/>
      <c r="KME18" s="273"/>
      <c r="KMF18" s="273"/>
      <c r="KMG18" s="273"/>
      <c r="KMH18" s="273"/>
      <c r="KMI18" s="273"/>
      <c r="KMJ18" s="273"/>
      <c r="KMK18" s="273"/>
      <c r="KML18" s="273"/>
      <c r="KMM18" s="273"/>
      <c r="KMN18" s="273"/>
      <c r="KMO18" s="273"/>
      <c r="KMP18" s="273"/>
      <c r="KMQ18" s="273"/>
      <c r="KMR18" s="273"/>
      <c r="KMS18" s="273"/>
      <c r="KMT18" s="273"/>
      <c r="KMU18" s="273"/>
      <c r="KMV18" s="273"/>
      <c r="KMW18" s="273"/>
      <c r="KMX18" s="273"/>
      <c r="KMY18" s="273"/>
      <c r="KMZ18" s="273"/>
      <c r="KNA18" s="273"/>
      <c r="KNB18" s="273"/>
      <c r="KNC18" s="273"/>
      <c r="KND18" s="273"/>
      <c r="KNE18" s="273"/>
      <c r="KNF18" s="273"/>
      <c r="KNG18" s="273"/>
      <c r="KNH18" s="273"/>
      <c r="KNI18" s="273"/>
      <c r="KNJ18" s="273"/>
      <c r="KNK18" s="273"/>
      <c r="KNL18" s="273"/>
      <c r="KNM18" s="273"/>
      <c r="KNN18" s="273"/>
      <c r="KNO18" s="273"/>
      <c r="KNP18" s="273"/>
      <c r="KNQ18" s="273"/>
      <c r="KNR18" s="273"/>
      <c r="KNS18" s="273"/>
      <c r="KNT18" s="273"/>
      <c r="KNU18" s="273"/>
      <c r="KNV18" s="273"/>
      <c r="KNW18" s="273"/>
      <c r="KNX18" s="273"/>
      <c r="KNY18" s="273"/>
      <c r="KNZ18" s="273"/>
      <c r="KOA18" s="273"/>
      <c r="KOB18" s="273"/>
      <c r="KOC18" s="273"/>
      <c r="KOD18" s="273"/>
      <c r="KOE18" s="273"/>
      <c r="KOF18" s="273"/>
      <c r="KOG18" s="273"/>
      <c r="KOH18" s="273"/>
      <c r="KOI18" s="273"/>
      <c r="KOJ18" s="273"/>
      <c r="KOK18" s="273"/>
      <c r="KOL18" s="273"/>
      <c r="KOM18" s="273"/>
      <c r="KON18" s="273"/>
      <c r="KOO18" s="273"/>
      <c r="KOP18" s="273"/>
      <c r="KOQ18" s="273"/>
      <c r="KOR18" s="273"/>
      <c r="KOS18" s="273"/>
      <c r="KOT18" s="273"/>
      <c r="KOU18" s="273"/>
      <c r="KOV18" s="273"/>
      <c r="KOW18" s="273"/>
      <c r="KOX18" s="273"/>
      <c r="KOY18" s="273"/>
      <c r="KOZ18" s="273"/>
      <c r="KPA18" s="273"/>
      <c r="KPB18" s="273"/>
      <c r="KPC18" s="273"/>
      <c r="KPD18" s="273"/>
      <c r="KPE18" s="273"/>
      <c r="KPF18" s="273"/>
      <c r="KPG18" s="273"/>
      <c r="KPH18" s="273"/>
      <c r="KPI18" s="273"/>
      <c r="KPJ18" s="273"/>
      <c r="KPK18" s="273"/>
      <c r="KPL18" s="273"/>
      <c r="KPM18" s="273"/>
      <c r="KPN18" s="273"/>
      <c r="KPO18" s="273"/>
      <c r="KPP18" s="273"/>
      <c r="KPQ18" s="273"/>
      <c r="KPR18" s="273"/>
      <c r="KPS18" s="273"/>
      <c r="KPT18" s="273"/>
      <c r="KPU18" s="273"/>
      <c r="KPV18" s="273"/>
      <c r="KPW18" s="273"/>
      <c r="KPX18" s="273"/>
      <c r="KPY18" s="273"/>
      <c r="KPZ18" s="273"/>
      <c r="KQA18" s="273"/>
      <c r="KQB18" s="273"/>
      <c r="KQC18" s="273"/>
      <c r="KQD18" s="273"/>
      <c r="KQE18" s="273"/>
      <c r="KQF18" s="273"/>
      <c r="KQG18" s="273"/>
      <c r="KQH18" s="273"/>
      <c r="KQI18" s="273"/>
      <c r="KQJ18" s="273"/>
      <c r="KQK18" s="273"/>
      <c r="KQL18" s="273"/>
      <c r="KQM18" s="273"/>
      <c r="KQN18" s="273"/>
      <c r="KQO18" s="273"/>
      <c r="KQP18" s="273"/>
      <c r="KQQ18" s="273"/>
      <c r="KQR18" s="273"/>
      <c r="KQS18" s="273"/>
      <c r="KQT18" s="273"/>
      <c r="KQU18" s="273"/>
      <c r="KQV18" s="273"/>
      <c r="KQW18" s="273"/>
      <c r="KQX18" s="273"/>
      <c r="KQY18" s="273"/>
      <c r="KQZ18" s="273"/>
      <c r="KRA18" s="273"/>
      <c r="KRB18" s="273"/>
      <c r="KRC18" s="273"/>
      <c r="KRD18" s="273"/>
      <c r="KRE18" s="273"/>
      <c r="KRF18" s="273"/>
      <c r="KRG18" s="273"/>
      <c r="KRH18" s="273"/>
      <c r="KRI18" s="273"/>
      <c r="KRJ18" s="273"/>
      <c r="KRK18" s="273"/>
      <c r="KRL18" s="273"/>
      <c r="KRM18" s="273"/>
      <c r="KRN18" s="273"/>
      <c r="KRO18" s="273"/>
      <c r="KRP18" s="273"/>
      <c r="KRQ18" s="273"/>
      <c r="KRR18" s="273"/>
      <c r="KRS18" s="273"/>
      <c r="KRT18" s="273"/>
      <c r="KRU18" s="273"/>
      <c r="KRV18" s="273"/>
      <c r="KRW18" s="273"/>
      <c r="KRX18" s="273"/>
      <c r="KRY18" s="273"/>
      <c r="KRZ18" s="273"/>
      <c r="KSA18" s="273"/>
      <c r="KSB18" s="273"/>
      <c r="KSC18" s="273"/>
      <c r="KSD18" s="273"/>
      <c r="KSE18" s="273"/>
      <c r="KSF18" s="273"/>
      <c r="KSG18" s="273"/>
      <c r="KSH18" s="273"/>
      <c r="KSI18" s="273"/>
      <c r="KSJ18" s="273"/>
      <c r="KSK18" s="273"/>
      <c r="KSL18" s="273"/>
      <c r="KSM18" s="273"/>
      <c r="KSN18" s="273"/>
      <c r="KSO18" s="273"/>
      <c r="KSP18" s="273"/>
      <c r="KSQ18" s="273"/>
      <c r="KSR18" s="273"/>
      <c r="KSS18" s="273"/>
      <c r="KST18" s="273"/>
      <c r="KSU18" s="273"/>
      <c r="KSV18" s="273"/>
      <c r="KSW18" s="273"/>
      <c r="KSX18" s="273"/>
      <c r="KSY18" s="273"/>
      <c r="KSZ18" s="273"/>
      <c r="KTA18" s="273"/>
      <c r="KTB18" s="273"/>
      <c r="KTC18" s="273"/>
      <c r="KTD18" s="273"/>
      <c r="KTE18" s="273"/>
      <c r="KTF18" s="273"/>
      <c r="KTG18" s="273"/>
      <c r="KTH18" s="273"/>
      <c r="KTI18" s="273"/>
      <c r="KTJ18" s="273"/>
      <c r="KTK18" s="273"/>
      <c r="KTL18" s="273"/>
      <c r="KTM18" s="273"/>
      <c r="KTN18" s="273"/>
      <c r="KTO18" s="273"/>
      <c r="KTP18" s="273"/>
      <c r="KTQ18" s="273"/>
      <c r="KTR18" s="273"/>
      <c r="KTS18" s="273"/>
      <c r="KTT18" s="273"/>
      <c r="KTU18" s="273"/>
      <c r="KTV18" s="273"/>
      <c r="KTW18" s="273"/>
      <c r="KTX18" s="273"/>
      <c r="KTY18" s="273"/>
      <c r="KTZ18" s="273"/>
      <c r="KUA18" s="273"/>
      <c r="KUB18" s="273"/>
      <c r="KUC18" s="273"/>
      <c r="KUD18" s="273"/>
      <c r="KUE18" s="273"/>
      <c r="KUF18" s="273"/>
      <c r="KUG18" s="273"/>
      <c r="KUH18" s="273"/>
      <c r="KUI18" s="273"/>
      <c r="KUJ18" s="273"/>
      <c r="KUK18" s="273"/>
      <c r="KUL18" s="273"/>
      <c r="KUM18" s="273"/>
      <c r="KUN18" s="273"/>
      <c r="KUO18" s="273"/>
      <c r="KUP18" s="273"/>
      <c r="KUQ18" s="273"/>
      <c r="KUR18" s="273"/>
      <c r="KUS18" s="273"/>
      <c r="KUT18" s="273"/>
      <c r="KUU18" s="273"/>
      <c r="KUV18" s="273"/>
      <c r="KUW18" s="273"/>
      <c r="KUX18" s="273"/>
      <c r="KUY18" s="273"/>
      <c r="KUZ18" s="273"/>
      <c r="KVA18" s="273"/>
      <c r="KVB18" s="273"/>
      <c r="KVC18" s="273"/>
      <c r="KVD18" s="273"/>
      <c r="KVE18" s="273"/>
      <c r="KVF18" s="273"/>
      <c r="KVG18" s="273"/>
      <c r="KVH18" s="273"/>
      <c r="KVI18" s="273"/>
      <c r="KVJ18" s="273"/>
      <c r="KVK18" s="273"/>
      <c r="KVL18" s="273"/>
      <c r="KVM18" s="273"/>
      <c r="KVN18" s="273"/>
      <c r="KVO18" s="273"/>
      <c r="KVP18" s="273"/>
      <c r="KVQ18" s="273"/>
      <c r="KVR18" s="273"/>
      <c r="KVS18" s="273"/>
      <c r="KVT18" s="273"/>
      <c r="KVU18" s="273"/>
      <c r="KVV18" s="273"/>
      <c r="KVW18" s="273"/>
      <c r="KVX18" s="273"/>
      <c r="KVY18" s="273"/>
      <c r="KVZ18" s="273"/>
      <c r="KWA18" s="273"/>
      <c r="KWB18" s="273"/>
      <c r="KWC18" s="273"/>
      <c r="KWD18" s="273"/>
      <c r="KWE18" s="273"/>
      <c r="KWF18" s="273"/>
      <c r="KWG18" s="273"/>
      <c r="KWH18" s="273"/>
      <c r="KWI18" s="273"/>
      <c r="KWJ18" s="273"/>
      <c r="KWK18" s="273"/>
      <c r="KWL18" s="273"/>
      <c r="KWM18" s="273"/>
      <c r="KWN18" s="273"/>
      <c r="KWO18" s="273"/>
      <c r="KWP18" s="273"/>
      <c r="KWQ18" s="273"/>
      <c r="KWR18" s="273"/>
      <c r="KWS18" s="273"/>
      <c r="KWT18" s="273"/>
      <c r="KWU18" s="273"/>
      <c r="KWV18" s="273"/>
      <c r="KWW18" s="273"/>
      <c r="KWX18" s="273"/>
      <c r="KWY18" s="273"/>
      <c r="KWZ18" s="273"/>
      <c r="KXA18" s="273"/>
      <c r="KXB18" s="273"/>
      <c r="KXC18" s="273"/>
      <c r="KXD18" s="273"/>
      <c r="KXE18" s="273"/>
      <c r="KXF18" s="273"/>
      <c r="KXG18" s="273"/>
      <c r="KXH18" s="273"/>
      <c r="KXI18" s="273"/>
      <c r="KXJ18" s="273"/>
      <c r="KXK18" s="273"/>
      <c r="KXL18" s="273"/>
      <c r="KXM18" s="273"/>
      <c r="KXN18" s="273"/>
      <c r="KXO18" s="273"/>
      <c r="KXP18" s="273"/>
      <c r="KXQ18" s="273"/>
      <c r="KXR18" s="273"/>
      <c r="KXS18" s="273"/>
      <c r="KXT18" s="273"/>
      <c r="KXU18" s="273"/>
      <c r="KXV18" s="273"/>
      <c r="KXW18" s="273"/>
      <c r="KXX18" s="273"/>
      <c r="KXY18" s="273"/>
      <c r="KXZ18" s="273"/>
      <c r="KYA18" s="273"/>
      <c r="KYB18" s="273"/>
      <c r="KYC18" s="273"/>
      <c r="KYD18" s="273"/>
      <c r="KYE18" s="273"/>
      <c r="KYF18" s="273"/>
      <c r="KYG18" s="273"/>
      <c r="KYH18" s="273"/>
      <c r="KYI18" s="273"/>
      <c r="KYJ18" s="273"/>
      <c r="KYK18" s="273"/>
      <c r="KYL18" s="273"/>
      <c r="KYM18" s="273"/>
      <c r="KYN18" s="273"/>
      <c r="KYO18" s="273"/>
      <c r="KYP18" s="273"/>
      <c r="KYQ18" s="273"/>
      <c r="KYR18" s="273"/>
      <c r="KYS18" s="273"/>
      <c r="KYT18" s="273"/>
      <c r="KYU18" s="273"/>
      <c r="KYV18" s="273"/>
      <c r="KYW18" s="273"/>
      <c r="KYX18" s="273"/>
      <c r="KYY18" s="273"/>
      <c r="KYZ18" s="273"/>
      <c r="KZA18" s="273"/>
      <c r="KZB18" s="273"/>
      <c r="KZC18" s="273"/>
      <c r="KZD18" s="273"/>
      <c r="KZE18" s="273"/>
      <c r="KZF18" s="273"/>
      <c r="KZG18" s="273"/>
      <c r="KZH18" s="273"/>
      <c r="KZI18" s="273"/>
      <c r="KZJ18" s="273"/>
      <c r="KZK18" s="273"/>
      <c r="KZL18" s="273"/>
      <c r="KZM18" s="273"/>
      <c r="KZN18" s="273"/>
      <c r="KZO18" s="273"/>
      <c r="KZP18" s="273"/>
      <c r="KZQ18" s="273"/>
      <c r="KZR18" s="273"/>
      <c r="KZS18" s="273"/>
      <c r="KZT18" s="273"/>
      <c r="KZU18" s="273"/>
      <c r="KZV18" s="273"/>
      <c r="KZW18" s="273"/>
      <c r="KZX18" s="273"/>
      <c r="KZY18" s="273"/>
      <c r="KZZ18" s="273"/>
      <c r="LAA18" s="273"/>
      <c r="LAB18" s="273"/>
      <c r="LAC18" s="273"/>
      <c r="LAD18" s="273"/>
      <c r="LAE18" s="273"/>
      <c r="LAF18" s="273"/>
      <c r="LAG18" s="273"/>
      <c r="LAH18" s="273"/>
      <c r="LAI18" s="273"/>
      <c r="LAJ18" s="273"/>
      <c r="LAK18" s="273"/>
      <c r="LAL18" s="273"/>
      <c r="LAM18" s="273"/>
      <c r="LAN18" s="273"/>
      <c r="LAO18" s="273"/>
      <c r="LAP18" s="273"/>
      <c r="LAQ18" s="273"/>
      <c r="LAR18" s="273"/>
      <c r="LAS18" s="273"/>
      <c r="LAT18" s="273"/>
      <c r="LAU18" s="273"/>
      <c r="LAV18" s="273"/>
      <c r="LAW18" s="273"/>
      <c r="LAX18" s="273"/>
      <c r="LAY18" s="273"/>
      <c r="LAZ18" s="273"/>
      <c r="LBA18" s="273"/>
      <c r="LBB18" s="273"/>
      <c r="LBC18" s="273"/>
      <c r="LBD18" s="273"/>
      <c r="LBE18" s="273"/>
      <c r="LBF18" s="273"/>
      <c r="LBG18" s="273"/>
      <c r="LBH18" s="273"/>
      <c r="LBI18" s="273"/>
      <c r="LBJ18" s="273"/>
      <c r="LBK18" s="273"/>
      <c r="LBL18" s="273"/>
      <c r="LBM18" s="273"/>
      <c r="LBN18" s="273"/>
      <c r="LBO18" s="273"/>
      <c r="LBP18" s="273"/>
      <c r="LBQ18" s="273"/>
      <c r="LBR18" s="273"/>
      <c r="LBS18" s="273"/>
      <c r="LBT18" s="273"/>
      <c r="LBU18" s="273"/>
      <c r="LBV18" s="273"/>
      <c r="LBW18" s="273"/>
      <c r="LBX18" s="273"/>
      <c r="LBY18" s="273"/>
      <c r="LBZ18" s="273"/>
      <c r="LCA18" s="273"/>
      <c r="LCB18" s="273"/>
      <c r="LCC18" s="273"/>
      <c r="LCD18" s="273"/>
      <c r="LCE18" s="273"/>
      <c r="LCF18" s="273"/>
      <c r="LCG18" s="273"/>
      <c r="LCH18" s="273"/>
      <c r="LCI18" s="273"/>
      <c r="LCJ18" s="273"/>
      <c r="LCK18" s="273"/>
      <c r="LCL18" s="273"/>
      <c r="LCM18" s="273"/>
      <c r="LCN18" s="273"/>
      <c r="LCO18" s="273"/>
      <c r="LCP18" s="273"/>
      <c r="LCQ18" s="273"/>
      <c r="LCR18" s="273"/>
      <c r="LCS18" s="273"/>
      <c r="LCT18" s="273"/>
      <c r="LCU18" s="273"/>
      <c r="LCV18" s="273"/>
      <c r="LCW18" s="273"/>
      <c r="LCX18" s="273"/>
      <c r="LCY18" s="273"/>
      <c r="LCZ18" s="273"/>
      <c r="LDA18" s="273"/>
      <c r="LDB18" s="273"/>
      <c r="LDC18" s="273"/>
      <c r="LDD18" s="273"/>
      <c r="LDE18" s="273"/>
      <c r="LDF18" s="273"/>
      <c r="LDG18" s="273"/>
      <c r="LDH18" s="273"/>
      <c r="LDI18" s="273"/>
      <c r="LDJ18" s="273"/>
      <c r="LDK18" s="273"/>
      <c r="LDL18" s="273"/>
      <c r="LDM18" s="273"/>
      <c r="LDN18" s="273"/>
      <c r="LDO18" s="273"/>
      <c r="LDP18" s="273"/>
      <c r="LDQ18" s="273"/>
      <c r="LDR18" s="273"/>
      <c r="LDS18" s="273"/>
      <c r="LDT18" s="273"/>
      <c r="LDU18" s="273"/>
      <c r="LDV18" s="273"/>
      <c r="LDW18" s="273"/>
      <c r="LDX18" s="273"/>
      <c r="LDY18" s="273"/>
      <c r="LDZ18" s="273"/>
      <c r="LEA18" s="273"/>
      <c r="LEB18" s="273"/>
      <c r="LEC18" s="273"/>
      <c r="LED18" s="273"/>
      <c r="LEE18" s="273"/>
      <c r="LEF18" s="273"/>
      <c r="LEG18" s="273"/>
      <c r="LEH18" s="273"/>
      <c r="LEI18" s="273"/>
      <c r="LEJ18" s="273"/>
      <c r="LEK18" s="273"/>
      <c r="LEL18" s="273"/>
      <c r="LEM18" s="273"/>
      <c r="LEN18" s="273"/>
      <c r="LEO18" s="273"/>
      <c r="LEP18" s="273"/>
      <c r="LEQ18" s="273"/>
      <c r="LER18" s="273"/>
      <c r="LES18" s="273"/>
      <c r="LET18" s="273"/>
      <c r="LEU18" s="273"/>
      <c r="LEV18" s="273"/>
      <c r="LEW18" s="273"/>
      <c r="LEX18" s="273"/>
      <c r="LEY18" s="273"/>
      <c r="LEZ18" s="273"/>
      <c r="LFA18" s="273"/>
      <c r="LFB18" s="273"/>
      <c r="LFC18" s="273"/>
      <c r="LFD18" s="273"/>
      <c r="LFE18" s="273"/>
      <c r="LFF18" s="273"/>
      <c r="LFG18" s="273"/>
      <c r="LFH18" s="273"/>
      <c r="LFI18" s="273"/>
      <c r="LFJ18" s="273"/>
      <c r="LFK18" s="273"/>
      <c r="LFL18" s="273"/>
      <c r="LFM18" s="273"/>
      <c r="LFN18" s="273"/>
      <c r="LFO18" s="273"/>
      <c r="LFP18" s="273"/>
      <c r="LFQ18" s="273"/>
      <c r="LFR18" s="273"/>
      <c r="LFS18" s="273"/>
      <c r="LFT18" s="273"/>
      <c r="LFU18" s="273"/>
      <c r="LFV18" s="273"/>
      <c r="LFW18" s="273"/>
      <c r="LFX18" s="273"/>
      <c r="LFY18" s="273"/>
      <c r="LFZ18" s="273"/>
      <c r="LGA18" s="273"/>
      <c r="LGB18" s="273"/>
      <c r="LGC18" s="273"/>
      <c r="LGD18" s="273"/>
      <c r="LGE18" s="273"/>
      <c r="LGF18" s="273"/>
      <c r="LGG18" s="273"/>
      <c r="LGH18" s="273"/>
      <c r="LGI18" s="273"/>
      <c r="LGJ18" s="273"/>
      <c r="LGK18" s="273"/>
      <c r="LGL18" s="273"/>
      <c r="LGM18" s="273"/>
      <c r="LGN18" s="273"/>
      <c r="LGO18" s="273"/>
      <c r="LGP18" s="273"/>
      <c r="LGQ18" s="273"/>
      <c r="LGR18" s="273"/>
      <c r="LGS18" s="273"/>
      <c r="LGT18" s="273"/>
      <c r="LGU18" s="273"/>
      <c r="LGV18" s="273"/>
      <c r="LGW18" s="273"/>
      <c r="LGX18" s="273"/>
      <c r="LGY18" s="273"/>
      <c r="LGZ18" s="273"/>
      <c r="LHA18" s="273"/>
      <c r="LHB18" s="273"/>
      <c r="LHC18" s="273"/>
      <c r="LHD18" s="273"/>
      <c r="LHE18" s="273"/>
      <c r="LHF18" s="273"/>
      <c r="LHG18" s="273"/>
      <c r="LHH18" s="273"/>
      <c r="LHI18" s="273"/>
      <c r="LHJ18" s="273"/>
      <c r="LHK18" s="273"/>
      <c r="LHL18" s="273"/>
      <c r="LHM18" s="273"/>
      <c r="LHN18" s="273"/>
      <c r="LHO18" s="273"/>
      <c r="LHP18" s="273"/>
      <c r="LHQ18" s="273"/>
      <c r="LHR18" s="273"/>
      <c r="LHS18" s="273"/>
      <c r="LHT18" s="273"/>
      <c r="LHU18" s="273"/>
      <c r="LHV18" s="273"/>
      <c r="LHW18" s="273"/>
      <c r="LHX18" s="273"/>
      <c r="LHY18" s="273"/>
      <c r="LHZ18" s="273"/>
      <c r="LIA18" s="273"/>
      <c r="LIB18" s="273"/>
      <c r="LIC18" s="273"/>
      <c r="LID18" s="273"/>
      <c r="LIE18" s="273"/>
      <c r="LIF18" s="273"/>
      <c r="LIG18" s="273"/>
      <c r="LIH18" s="273"/>
      <c r="LII18" s="273"/>
      <c r="LIJ18" s="273"/>
      <c r="LIK18" s="273"/>
      <c r="LIL18" s="273"/>
      <c r="LIM18" s="273"/>
      <c r="LIN18" s="273"/>
      <c r="LIO18" s="273"/>
      <c r="LIP18" s="273"/>
      <c r="LIQ18" s="273"/>
      <c r="LIR18" s="273"/>
      <c r="LIS18" s="273"/>
      <c r="LIT18" s="273"/>
      <c r="LIU18" s="273"/>
      <c r="LIV18" s="273"/>
      <c r="LIW18" s="273"/>
      <c r="LIX18" s="273"/>
      <c r="LIY18" s="273"/>
      <c r="LIZ18" s="273"/>
      <c r="LJA18" s="273"/>
      <c r="LJB18" s="273"/>
      <c r="LJC18" s="273"/>
      <c r="LJD18" s="273"/>
      <c r="LJE18" s="273"/>
      <c r="LJF18" s="273"/>
      <c r="LJG18" s="273"/>
      <c r="LJH18" s="273"/>
      <c r="LJI18" s="273"/>
      <c r="LJJ18" s="273"/>
      <c r="LJK18" s="273"/>
      <c r="LJL18" s="273"/>
      <c r="LJM18" s="273"/>
      <c r="LJN18" s="273"/>
      <c r="LJO18" s="273"/>
      <c r="LJP18" s="273"/>
      <c r="LJQ18" s="273"/>
      <c r="LJR18" s="273"/>
      <c r="LJS18" s="273"/>
      <c r="LJT18" s="273"/>
      <c r="LJU18" s="273"/>
      <c r="LJV18" s="273"/>
      <c r="LJW18" s="273"/>
      <c r="LJX18" s="273"/>
      <c r="LJY18" s="273"/>
      <c r="LJZ18" s="273"/>
      <c r="LKA18" s="273"/>
      <c r="LKB18" s="273"/>
      <c r="LKC18" s="273"/>
      <c r="LKD18" s="273"/>
      <c r="LKE18" s="273"/>
      <c r="LKF18" s="273"/>
      <c r="LKG18" s="273"/>
      <c r="LKH18" s="273"/>
      <c r="LKI18" s="273"/>
      <c r="LKJ18" s="273"/>
      <c r="LKK18" s="273"/>
      <c r="LKL18" s="273"/>
      <c r="LKM18" s="273"/>
      <c r="LKN18" s="273"/>
      <c r="LKO18" s="273"/>
      <c r="LKP18" s="273"/>
      <c r="LKQ18" s="273"/>
      <c r="LKR18" s="273"/>
      <c r="LKS18" s="273"/>
      <c r="LKT18" s="273"/>
      <c r="LKU18" s="273"/>
      <c r="LKV18" s="273"/>
      <c r="LKW18" s="273"/>
      <c r="LKX18" s="273"/>
      <c r="LKY18" s="273"/>
      <c r="LKZ18" s="273"/>
      <c r="LLA18" s="273"/>
      <c r="LLB18" s="273"/>
      <c r="LLC18" s="273"/>
      <c r="LLD18" s="273"/>
      <c r="LLE18" s="273"/>
      <c r="LLF18" s="273"/>
      <c r="LLG18" s="273"/>
      <c r="LLH18" s="273"/>
      <c r="LLI18" s="273"/>
      <c r="LLJ18" s="273"/>
      <c r="LLK18" s="273"/>
      <c r="LLL18" s="273"/>
      <c r="LLM18" s="273"/>
      <c r="LLN18" s="273"/>
      <c r="LLO18" s="273"/>
      <c r="LLP18" s="273"/>
      <c r="LLQ18" s="273"/>
      <c r="LLR18" s="273"/>
      <c r="LLS18" s="273"/>
      <c r="LLT18" s="273"/>
      <c r="LLU18" s="273"/>
      <c r="LLV18" s="273"/>
      <c r="LLW18" s="273"/>
      <c r="LLX18" s="273"/>
      <c r="LLY18" s="273"/>
      <c r="LLZ18" s="273"/>
      <c r="LMA18" s="273"/>
      <c r="LMB18" s="273"/>
      <c r="LMC18" s="273"/>
      <c r="LMD18" s="273"/>
      <c r="LME18" s="273"/>
      <c r="LMF18" s="273"/>
      <c r="LMG18" s="273"/>
      <c r="LMH18" s="273"/>
      <c r="LMI18" s="273"/>
      <c r="LMJ18" s="273"/>
      <c r="LMK18" s="273"/>
      <c r="LML18" s="273"/>
      <c r="LMM18" s="273"/>
      <c r="LMN18" s="273"/>
      <c r="LMO18" s="273"/>
      <c r="LMP18" s="273"/>
      <c r="LMQ18" s="273"/>
      <c r="LMR18" s="273"/>
      <c r="LMS18" s="273"/>
      <c r="LMT18" s="273"/>
      <c r="LMU18" s="273"/>
      <c r="LMV18" s="273"/>
      <c r="LMW18" s="273"/>
      <c r="LMX18" s="273"/>
      <c r="LMY18" s="273"/>
      <c r="LMZ18" s="273"/>
      <c r="LNA18" s="273"/>
      <c r="LNB18" s="273"/>
      <c r="LNC18" s="273"/>
      <c r="LND18" s="273"/>
      <c r="LNE18" s="273"/>
      <c r="LNF18" s="273"/>
      <c r="LNG18" s="273"/>
      <c r="LNH18" s="273"/>
      <c r="LNI18" s="273"/>
      <c r="LNJ18" s="273"/>
      <c r="LNK18" s="273"/>
      <c r="LNL18" s="273"/>
      <c r="LNM18" s="273"/>
      <c r="LNN18" s="273"/>
      <c r="LNO18" s="273"/>
      <c r="LNP18" s="273"/>
      <c r="LNQ18" s="273"/>
      <c r="LNR18" s="273"/>
      <c r="LNS18" s="273"/>
      <c r="LNT18" s="273"/>
      <c r="LNU18" s="273"/>
      <c r="LNV18" s="273"/>
      <c r="LNW18" s="273"/>
      <c r="LNX18" s="273"/>
      <c r="LNY18" s="273"/>
      <c r="LNZ18" s="273"/>
      <c r="LOA18" s="273"/>
      <c r="LOB18" s="273"/>
      <c r="LOC18" s="273"/>
      <c r="LOD18" s="273"/>
      <c r="LOE18" s="273"/>
      <c r="LOF18" s="273"/>
      <c r="LOG18" s="273"/>
      <c r="LOH18" s="273"/>
      <c r="LOI18" s="273"/>
      <c r="LOJ18" s="273"/>
      <c r="LOK18" s="273"/>
      <c r="LOL18" s="273"/>
      <c r="LOM18" s="273"/>
      <c r="LON18" s="273"/>
      <c r="LOO18" s="273"/>
      <c r="LOP18" s="273"/>
      <c r="LOQ18" s="273"/>
      <c r="LOR18" s="273"/>
      <c r="LOS18" s="273"/>
      <c r="LOT18" s="273"/>
      <c r="LOU18" s="273"/>
      <c r="LOV18" s="273"/>
      <c r="LOW18" s="273"/>
      <c r="LOX18" s="273"/>
      <c r="LOY18" s="273"/>
      <c r="LOZ18" s="273"/>
      <c r="LPA18" s="273"/>
      <c r="LPB18" s="273"/>
      <c r="LPC18" s="273"/>
      <c r="LPD18" s="273"/>
      <c r="LPE18" s="273"/>
      <c r="LPF18" s="273"/>
      <c r="LPG18" s="273"/>
      <c r="LPH18" s="273"/>
      <c r="LPI18" s="273"/>
      <c r="LPJ18" s="273"/>
      <c r="LPK18" s="273"/>
      <c r="LPL18" s="273"/>
      <c r="LPM18" s="273"/>
      <c r="LPN18" s="273"/>
      <c r="LPO18" s="273"/>
      <c r="LPP18" s="273"/>
      <c r="LPQ18" s="273"/>
      <c r="LPR18" s="273"/>
      <c r="LPS18" s="273"/>
      <c r="LPT18" s="273"/>
      <c r="LPU18" s="273"/>
      <c r="LPV18" s="273"/>
      <c r="LPW18" s="273"/>
      <c r="LPX18" s="273"/>
      <c r="LPY18" s="273"/>
      <c r="LPZ18" s="273"/>
      <c r="LQA18" s="273"/>
      <c r="LQB18" s="273"/>
      <c r="LQC18" s="273"/>
      <c r="LQD18" s="273"/>
      <c r="LQE18" s="273"/>
      <c r="LQF18" s="273"/>
      <c r="LQG18" s="273"/>
      <c r="LQH18" s="273"/>
      <c r="LQI18" s="273"/>
      <c r="LQJ18" s="273"/>
      <c r="LQK18" s="273"/>
      <c r="LQL18" s="273"/>
      <c r="LQM18" s="273"/>
      <c r="LQN18" s="273"/>
      <c r="LQO18" s="273"/>
      <c r="LQP18" s="273"/>
      <c r="LQQ18" s="273"/>
      <c r="LQR18" s="273"/>
      <c r="LQS18" s="273"/>
      <c r="LQT18" s="273"/>
      <c r="LQU18" s="273"/>
      <c r="LQV18" s="273"/>
      <c r="LQW18" s="273"/>
      <c r="LQX18" s="273"/>
      <c r="LQY18" s="273"/>
      <c r="LQZ18" s="273"/>
      <c r="LRA18" s="273"/>
      <c r="LRB18" s="273"/>
      <c r="LRC18" s="273"/>
      <c r="LRD18" s="273"/>
      <c r="LRE18" s="273"/>
      <c r="LRF18" s="273"/>
      <c r="LRG18" s="273"/>
      <c r="LRH18" s="273"/>
      <c r="LRI18" s="273"/>
      <c r="LRJ18" s="273"/>
      <c r="LRK18" s="273"/>
      <c r="LRL18" s="273"/>
      <c r="LRM18" s="273"/>
      <c r="LRN18" s="273"/>
      <c r="LRO18" s="273"/>
      <c r="LRP18" s="273"/>
      <c r="LRQ18" s="273"/>
      <c r="LRR18" s="273"/>
      <c r="LRS18" s="273"/>
      <c r="LRT18" s="273"/>
      <c r="LRU18" s="273"/>
      <c r="LRV18" s="273"/>
      <c r="LRW18" s="273"/>
      <c r="LRX18" s="273"/>
      <c r="LRY18" s="273"/>
      <c r="LRZ18" s="273"/>
      <c r="LSA18" s="273"/>
      <c r="LSB18" s="273"/>
      <c r="LSC18" s="273"/>
      <c r="LSD18" s="273"/>
      <c r="LSE18" s="273"/>
      <c r="LSF18" s="273"/>
      <c r="LSG18" s="273"/>
      <c r="LSH18" s="273"/>
      <c r="LSI18" s="273"/>
      <c r="LSJ18" s="273"/>
      <c r="LSK18" s="273"/>
      <c r="LSL18" s="273"/>
      <c r="LSM18" s="273"/>
      <c r="LSN18" s="273"/>
      <c r="LSO18" s="273"/>
      <c r="LSP18" s="273"/>
      <c r="LSQ18" s="273"/>
      <c r="LSR18" s="273"/>
      <c r="LSS18" s="273"/>
      <c r="LST18" s="273"/>
      <c r="LSU18" s="273"/>
      <c r="LSV18" s="273"/>
      <c r="LSW18" s="273"/>
      <c r="LSX18" s="273"/>
      <c r="LSY18" s="273"/>
      <c r="LSZ18" s="273"/>
      <c r="LTA18" s="273"/>
      <c r="LTB18" s="273"/>
      <c r="LTC18" s="273"/>
      <c r="LTD18" s="273"/>
      <c r="LTE18" s="273"/>
      <c r="LTF18" s="273"/>
      <c r="LTG18" s="273"/>
      <c r="LTH18" s="273"/>
      <c r="LTI18" s="273"/>
      <c r="LTJ18" s="273"/>
      <c r="LTK18" s="273"/>
      <c r="LTL18" s="273"/>
      <c r="LTM18" s="273"/>
      <c r="LTN18" s="273"/>
      <c r="LTO18" s="273"/>
      <c r="LTP18" s="273"/>
      <c r="LTQ18" s="273"/>
      <c r="LTR18" s="273"/>
      <c r="LTS18" s="273"/>
      <c r="LTT18" s="273"/>
      <c r="LTU18" s="273"/>
      <c r="LTV18" s="273"/>
      <c r="LTW18" s="273"/>
      <c r="LTX18" s="273"/>
      <c r="LTY18" s="273"/>
      <c r="LTZ18" s="273"/>
      <c r="LUA18" s="273"/>
      <c r="LUB18" s="273"/>
      <c r="LUC18" s="273"/>
      <c r="LUD18" s="273"/>
      <c r="LUE18" s="273"/>
      <c r="LUF18" s="273"/>
      <c r="LUG18" s="273"/>
      <c r="LUH18" s="273"/>
      <c r="LUI18" s="273"/>
      <c r="LUJ18" s="273"/>
      <c r="LUK18" s="273"/>
      <c r="LUL18" s="273"/>
      <c r="LUM18" s="273"/>
      <c r="LUN18" s="273"/>
      <c r="LUO18" s="273"/>
      <c r="LUP18" s="273"/>
      <c r="LUQ18" s="273"/>
      <c r="LUR18" s="273"/>
      <c r="LUS18" s="273"/>
      <c r="LUT18" s="273"/>
      <c r="LUU18" s="273"/>
      <c r="LUV18" s="273"/>
      <c r="LUW18" s="273"/>
      <c r="LUX18" s="273"/>
      <c r="LUY18" s="273"/>
      <c r="LUZ18" s="273"/>
      <c r="LVA18" s="273"/>
      <c r="LVB18" s="273"/>
      <c r="LVC18" s="273"/>
      <c r="LVD18" s="273"/>
      <c r="LVE18" s="273"/>
      <c r="LVF18" s="273"/>
      <c r="LVG18" s="273"/>
      <c r="LVH18" s="273"/>
      <c r="LVI18" s="273"/>
      <c r="LVJ18" s="273"/>
      <c r="LVK18" s="273"/>
      <c r="LVL18" s="273"/>
      <c r="LVM18" s="273"/>
      <c r="LVN18" s="273"/>
      <c r="LVO18" s="273"/>
      <c r="LVP18" s="273"/>
      <c r="LVQ18" s="273"/>
      <c r="LVR18" s="273"/>
      <c r="LVS18" s="273"/>
      <c r="LVT18" s="273"/>
      <c r="LVU18" s="273"/>
      <c r="LVV18" s="273"/>
      <c r="LVW18" s="273"/>
      <c r="LVX18" s="273"/>
      <c r="LVY18" s="273"/>
      <c r="LVZ18" s="273"/>
      <c r="LWA18" s="273"/>
      <c r="LWB18" s="273"/>
      <c r="LWC18" s="273"/>
      <c r="LWD18" s="273"/>
      <c r="LWE18" s="273"/>
      <c r="LWF18" s="273"/>
      <c r="LWG18" s="273"/>
      <c r="LWH18" s="273"/>
      <c r="LWI18" s="273"/>
      <c r="LWJ18" s="273"/>
      <c r="LWK18" s="273"/>
      <c r="LWL18" s="273"/>
      <c r="LWM18" s="273"/>
      <c r="LWN18" s="273"/>
      <c r="LWO18" s="273"/>
      <c r="LWP18" s="273"/>
      <c r="LWQ18" s="273"/>
      <c r="LWR18" s="273"/>
      <c r="LWS18" s="273"/>
      <c r="LWT18" s="273"/>
      <c r="LWU18" s="273"/>
      <c r="LWV18" s="273"/>
      <c r="LWW18" s="273"/>
      <c r="LWX18" s="273"/>
      <c r="LWY18" s="273"/>
      <c r="LWZ18" s="273"/>
      <c r="LXA18" s="273"/>
      <c r="LXB18" s="273"/>
      <c r="LXC18" s="273"/>
      <c r="LXD18" s="273"/>
      <c r="LXE18" s="273"/>
      <c r="LXF18" s="273"/>
      <c r="LXG18" s="273"/>
      <c r="LXH18" s="273"/>
      <c r="LXI18" s="273"/>
      <c r="LXJ18" s="273"/>
      <c r="LXK18" s="273"/>
      <c r="LXL18" s="273"/>
      <c r="LXM18" s="273"/>
      <c r="LXN18" s="273"/>
      <c r="LXO18" s="273"/>
      <c r="LXP18" s="273"/>
      <c r="LXQ18" s="273"/>
      <c r="LXR18" s="273"/>
      <c r="LXS18" s="273"/>
      <c r="LXT18" s="273"/>
      <c r="LXU18" s="273"/>
      <c r="LXV18" s="273"/>
      <c r="LXW18" s="273"/>
      <c r="LXX18" s="273"/>
      <c r="LXY18" s="273"/>
      <c r="LXZ18" s="273"/>
      <c r="LYA18" s="273"/>
      <c r="LYB18" s="273"/>
      <c r="LYC18" s="273"/>
      <c r="LYD18" s="273"/>
      <c r="LYE18" s="273"/>
      <c r="LYF18" s="273"/>
      <c r="LYG18" s="273"/>
      <c r="LYH18" s="273"/>
      <c r="LYI18" s="273"/>
      <c r="LYJ18" s="273"/>
      <c r="LYK18" s="273"/>
      <c r="LYL18" s="273"/>
      <c r="LYM18" s="273"/>
      <c r="LYN18" s="273"/>
      <c r="LYO18" s="273"/>
      <c r="LYP18" s="273"/>
      <c r="LYQ18" s="273"/>
      <c r="LYR18" s="273"/>
      <c r="LYS18" s="273"/>
      <c r="LYT18" s="273"/>
      <c r="LYU18" s="273"/>
      <c r="LYV18" s="273"/>
      <c r="LYW18" s="273"/>
      <c r="LYX18" s="273"/>
      <c r="LYY18" s="273"/>
      <c r="LYZ18" s="273"/>
      <c r="LZA18" s="273"/>
      <c r="LZB18" s="273"/>
      <c r="LZC18" s="273"/>
      <c r="LZD18" s="273"/>
      <c r="LZE18" s="273"/>
      <c r="LZF18" s="273"/>
      <c r="LZG18" s="273"/>
      <c r="LZH18" s="273"/>
      <c r="LZI18" s="273"/>
      <c r="LZJ18" s="273"/>
      <c r="LZK18" s="273"/>
      <c r="LZL18" s="273"/>
      <c r="LZM18" s="273"/>
      <c r="LZN18" s="273"/>
      <c r="LZO18" s="273"/>
      <c r="LZP18" s="273"/>
      <c r="LZQ18" s="273"/>
      <c r="LZR18" s="273"/>
      <c r="LZS18" s="273"/>
      <c r="LZT18" s="273"/>
      <c r="LZU18" s="273"/>
      <c r="LZV18" s="273"/>
      <c r="LZW18" s="273"/>
      <c r="LZX18" s="273"/>
      <c r="LZY18" s="273"/>
      <c r="LZZ18" s="273"/>
      <c r="MAA18" s="273"/>
      <c r="MAB18" s="273"/>
      <c r="MAC18" s="273"/>
      <c r="MAD18" s="273"/>
      <c r="MAE18" s="273"/>
      <c r="MAF18" s="273"/>
      <c r="MAG18" s="273"/>
      <c r="MAH18" s="273"/>
      <c r="MAI18" s="273"/>
      <c r="MAJ18" s="273"/>
      <c r="MAK18" s="273"/>
      <c r="MAL18" s="273"/>
      <c r="MAM18" s="273"/>
      <c r="MAN18" s="273"/>
      <c r="MAO18" s="273"/>
      <c r="MAP18" s="273"/>
      <c r="MAQ18" s="273"/>
      <c r="MAR18" s="273"/>
      <c r="MAS18" s="273"/>
      <c r="MAT18" s="273"/>
      <c r="MAU18" s="273"/>
      <c r="MAV18" s="273"/>
      <c r="MAW18" s="273"/>
      <c r="MAX18" s="273"/>
      <c r="MAY18" s="273"/>
      <c r="MAZ18" s="273"/>
      <c r="MBA18" s="273"/>
      <c r="MBB18" s="273"/>
      <c r="MBC18" s="273"/>
      <c r="MBD18" s="273"/>
      <c r="MBE18" s="273"/>
      <c r="MBF18" s="273"/>
      <c r="MBG18" s="273"/>
      <c r="MBH18" s="273"/>
      <c r="MBI18" s="273"/>
      <c r="MBJ18" s="273"/>
      <c r="MBK18" s="273"/>
      <c r="MBL18" s="273"/>
      <c r="MBM18" s="273"/>
      <c r="MBN18" s="273"/>
      <c r="MBO18" s="273"/>
      <c r="MBP18" s="273"/>
      <c r="MBQ18" s="273"/>
      <c r="MBR18" s="273"/>
      <c r="MBS18" s="273"/>
      <c r="MBT18" s="273"/>
      <c r="MBU18" s="273"/>
      <c r="MBV18" s="273"/>
      <c r="MBW18" s="273"/>
      <c r="MBX18" s="273"/>
      <c r="MBY18" s="273"/>
      <c r="MBZ18" s="273"/>
      <c r="MCA18" s="273"/>
      <c r="MCB18" s="273"/>
      <c r="MCC18" s="273"/>
      <c r="MCD18" s="273"/>
      <c r="MCE18" s="273"/>
      <c r="MCF18" s="273"/>
      <c r="MCG18" s="273"/>
      <c r="MCH18" s="273"/>
      <c r="MCI18" s="273"/>
      <c r="MCJ18" s="273"/>
      <c r="MCK18" s="273"/>
      <c r="MCL18" s="273"/>
      <c r="MCM18" s="273"/>
      <c r="MCN18" s="273"/>
      <c r="MCO18" s="273"/>
      <c r="MCP18" s="273"/>
      <c r="MCQ18" s="273"/>
      <c r="MCR18" s="273"/>
      <c r="MCS18" s="273"/>
      <c r="MCT18" s="273"/>
      <c r="MCU18" s="273"/>
      <c r="MCV18" s="273"/>
      <c r="MCW18" s="273"/>
      <c r="MCX18" s="273"/>
      <c r="MCY18" s="273"/>
      <c r="MCZ18" s="273"/>
      <c r="MDA18" s="273"/>
      <c r="MDB18" s="273"/>
      <c r="MDC18" s="273"/>
      <c r="MDD18" s="273"/>
      <c r="MDE18" s="273"/>
      <c r="MDF18" s="273"/>
      <c r="MDG18" s="273"/>
      <c r="MDH18" s="273"/>
      <c r="MDI18" s="273"/>
      <c r="MDJ18" s="273"/>
      <c r="MDK18" s="273"/>
      <c r="MDL18" s="273"/>
      <c r="MDM18" s="273"/>
      <c r="MDN18" s="273"/>
      <c r="MDO18" s="273"/>
      <c r="MDP18" s="273"/>
      <c r="MDQ18" s="273"/>
      <c r="MDR18" s="273"/>
      <c r="MDS18" s="273"/>
      <c r="MDT18" s="273"/>
      <c r="MDU18" s="273"/>
      <c r="MDV18" s="273"/>
      <c r="MDW18" s="273"/>
      <c r="MDX18" s="273"/>
      <c r="MDY18" s="273"/>
      <c r="MDZ18" s="273"/>
      <c r="MEA18" s="273"/>
      <c r="MEB18" s="273"/>
      <c r="MEC18" s="273"/>
      <c r="MED18" s="273"/>
      <c r="MEE18" s="273"/>
      <c r="MEF18" s="273"/>
      <c r="MEG18" s="273"/>
      <c r="MEH18" s="273"/>
      <c r="MEI18" s="273"/>
      <c r="MEJ18" s="273"/>
      <c r="MEK18" s="273"/>
      <c r="MEL18" s="273"/>
      <c r="MEM18" s="273"/>
      <c r="MEN18" s="273"/>
      <c r="MEO18" s="273"/>
      <c r="MEP18" s="273"/>
      <c r="MEQ18" s="273"/>
      <c r="MER18" s="273"/>
      <c r="MES18" s="273"/>
      <c r="MET18" s="273"/>
      <c r="MEU18" s="273"/>
      <c r="MEV18" s="273"/>
      <c r="MEW18" s="273"/>
      <c r="MEX18" s="273"/>
      <c r="MEY18" s="273"/>
      <c r="MEZ18" s="273"/>
      <c r="MFA18" s="273"/>
      <c r="MFB18" s="273"/>
      <c r="MFC18" s="273"/>
      <c r="MFD18" s="273"/>
      <c r="MFE18" s="273"/>
      <c r="MFF18" s="273"/>
      <c r="MFG18" s="273"/>
      <c r="MFH18" s="273"/>
      <c r="MFI18" s="273"/>
      <c r="MFJ18" s="273"/>
      <c r="MFK18" s="273"/>
      <c r="MFL18" s="273"/>
      <c r="MFM18" s="273"/>
      <c r="MFN18" s="273"/>
      <c r="MFO18" s="273"/>
      <c r="MFP18" s="273"/>
      <c r="MFQ18" s="273"/>
      <c r="MFR18" s="273"/>
      <c r="MFS18" s="273"/>
      <c r="MFT18" s="273"/>
      <c r="MFU18" s="273"/>
      <c r="MFV18" s="273"/>
      <c r="MFW18" s="273"/>
      <c r="MFX18" s="273"/>
      <c r="MFY18" s="273"/>
      <c r="MFZ18" s="273"/>
      <c r="MGA18" s="273"/>
      <c r="MGB18" s="273"/>
      <c r="MGC18" s="273"/>
      <c r="MGD18" s="273"/>
      <c r="MGE18" s="273"/>
      <c r="MGF18" s="273"/>
      <c r="MGG18" s="273"/>
      <c r="MGH18" s="273"/>
      <c r="MGI18" s="273"/>
      <c r="MGJ18" s="273"/>
      <c r="MGK18" s="273"/>
      <c r="MGL18" s="273"/>
      <c r="MGM18" s="273"/>
      <c r="MGN18" s="273"/>
      <c r="MGO18" s="273"/>
      <c r="MGP18" s="273"/>
      <c r="MGQ18" s="273"/>
      <c r="MGR18" s="273"/>
      <c r="MGS18" s="273"/>
      <c r="MGT18" s="273"/>
      <c r="MGU18" s="273"/>
      <c r="MGV18" s="273"/>
      <c r="MGW18" s="273"/>
      <c r="MGX18" s="273"/>
      <c r="MGY18" s="273"/>
      <c r="MGZ18" s="273"/>
      <c r="MHA18" s="273"/>
      <c r="MHB18" s="273"/>
      <c r="MHC18" s="273"/>
      <c r="MHD18" s="273"/>
      <c r="MHE18" s="273"/>
      <c r="MHF18" s="273"/>
      <c r="MHG18" s="273"/>
      <c r="MHH18" s="273"/>
      <c r="MHI18" s="273"/>
      <c r="MHJ18" s="273"/>
      <c r="MHK18" s="273"/>
      <c r="MHL18" s="273"/>
      <c r="MHM18" s="273"/>
      <c r="MHN18" s="273"/>
      <c r="MHO18" s="273"/>
      <c r="MHP18" s="273"/>
      <c r="MHQ18" s="273"/>
      <c r="MHR18" s="273"/>
      <c r="MHS18" s="273"/>
      <c r="MHT18" s="273"/>
      <c r="MHU18" s="273"/>
      <c r="MHV18" s="273"/>
      <c r="MHW18" s="273"/>
      <c r="MHX18" s="273"/>
      <c r="MHY18" s="273"/>
      <c r="MHZ18" s="273"/>
      <c r="MIA18" s="273"/>
      <c r="MIB18" s="273"/>
      <c r="MIC18" s="273"/>
      <c r="MID18" s="273"/>
      <c r="MIE18" s="273"/>
      <c r="MIF18" s="273"/>
      <c r="MIG18" s="273"/>
      <c r="MIH18" s="273"/>
      <c r="MII18" s="273"/>
      <c r="MIJ18" s="273"/>
      <c r="MIK18" s="273"/>
      <c r="MIL18" s="273"/>
      <c r="MIM18" s="273"/>
      <c r="MIN18" s="273"/>
      <c r="MIO18" s="273"/>
      <c r="MIP18" s="273"/>
      <c r="MIQ18" s="273"/>
      <c r="MIR18" s="273"/>
      <c r="MIS18" s="273"/>
      <c r="MIT18" s="273"/>
      <c r="MIU18" s="273"/>
      <c r="MIV18" s="273"/>
      <c r="MIW18" s="273"/>
      <c r="MIX18" s="273"/>
      <c r="MIY18" s="273"/>
      <c r="MIZ18" s="273"/>
      <c r="MJA18" s="273"/>
      <c r="MJB18" s="273"/>
      <c r="MJC18" s="273"/>
      <c r="MJD18" s="273"/>
      <c r="MJE18" s="273"/>
      <c r="MJF18" s="273"/>
      <c r="MJG18" s="273"/>
      <c r="MJH18" s="273"/>
      <c r="MJI18" s="273"/>
      <c r="MJJ18" s="273"/>
      <c r="MJK18" s="273"/>
      <c r="MJL18" s="273"/>
      <c r="MJM18" s="273"/>
      <c r="MJN18" s="273"/>
      <c r="MJO18" s="273"/>
      <c r="MJP18" s="273"/>
      <c r="MJQ18" s="273"/>
      <c r="MJR18" s="273"/>
      <c r="MJS18" s="273"/>
      <c r="MJT18" s="273"/>
      <c r="MJU18" s="273"/>
      <c r="MJV18" s="273"/>
      <c r="MJW18" s="273"/>
      <c r="MJX18" s="273"/>
      <c r="MJY18" s="273"/>
      <c r="MJZ18" s="273"/>
      <c r="MKA18" s="273"/>
      <c r="MKB18" s="273"/>
      <c r="MKC18" s="273"/>
      <c r="MKD18" s="273"/>
      <c r="MKE18" s="273"/>
      <c r="MKF18" s="273"/>
      <c r="MKG18" s="273"/>
      <c r="MKH18" s="273"/>
      <c r="MKI18" s="273"/>
      <c r="MKJ18" s="273"/>
      <c r="MKK18" s="273"/>
      <c r="MKL18" s="273"/>
      <c r="MKM18" s="273"/>
      <c r="MKN18" s="273"/>
      <c r="MKO18" s="273"/>
      <c r="MKP18" s="273"/>
      <c r="MKQ18" s="273"/>
      <c r="MKR18" s="273"/>
      <c r="MKS18" s="273"/>
      <c r="MKT18" s="273"/>
      <c r="MKU18" s="273"/>
      <c r="MKV18" s="273"/>
      <c r="MKW18" s="273"/>
      <c r="MKX18" s="273"/>
      <c r="MKY18" s="273"/>
      <c r="MKZ18" s="273"/>
      <c r="MLA18" s="273"/>
      <c r="MLB18" s="273"/>
      <c r="MLC18" s="273"/>
      <c r="MLD18" s="273"/>
      <c r="MLE18" s="273"/>
      <c r="MLF18" s="273"/>
      <c r="MLG18" s="273"/>
      <c r="MLH18" s="273"/>
      <c r="MLI18" s="273"/>
      <c r="MLJ18" s="273"/>
      <c r="MLK18" s="273"/>
      <c r="MLL18" s="273"/>
      <c r="MLM18" s="273"/>
      <c r="MLN18" s="273"/>
      <c r="MLO18" s="273"/>
      <c r="MLP18" s="273"/>
      <c r="MLQ18" s="273"/>
      <c r="MLR18" s="273"/>
      <c r="MLS18" s="273"/>
      <c r="MLT18" s="273"/>
      <c r="MLU18" s="273"/>
      <c r="MLV18" s="273"/>
      <c r="MLW18" s="273"/>
      <c r="MLX18" s="273"/>
      <c r="MLY18" s="273"/>
      <c r="MLZ18" s="273"/>
      <c r="MMA18" s="273"/>
      <c r="MMB18" s="273"/>
      <c r="MMC18" s="273"/>
      <c r="MMD18" s="273"/>
      <c r="MME18" s="273"/>
      <c r="MMF18" s="273"/>
      <c r="MMG18" s="273"/>
      <c r="MMH18" s="273"/>
      <c r="MMI18" s="273"/>
      <c r="MMJ18" s="273"/>
      <c r="MMK18" s="273"/>
      <c r="MML18" s="273"/>
      <c r="MMM18" s="273"/>
      <c r="MMN18" s="273"/>
      <c r="MMO18" s="273"/>
      <c r="MMP18" s="273"/>
      <c r="MMQ18" s="273"/>
      <c r="MMR18" s="273"/>
      <c r="MMS18" s="273"/>
      <c r="MMT18" s="273"/>
      <c r="MMU18" s="273"/>
      <c r="MMV18" s="273"/>
      <c r="MMW18" s="273"/>
      <c r="MMX18" s="273"/>
      <c r="MMY18" s="273"/>
      <c r="MMZ18" s="273"/>
      <c r="MNA18" s="273"/>
      <c r="MNB18" s="273"/>
      <c r="MNC18" s="273"/>
      <c r="MND18" s="273"/>
      <c r="MNE18" s="273"/>
      <c r="MNF18" s="273"/>
      <c r="MNG18" s="273"/>
      <c r="MNH18" s="273"/>
      <c r="MNI18" s="273"/>
      <c r="MNJ18" s="273"/>
      <c r="MNK18" s="273"/>
      <c r="MNL18" s="273"/>
      <c r="MNM18" s="273"/>
      <c r="MNN18" s="273"/>
      <c r="MNO18" s="273"/>
      <c r="MNP18" s="273"/>
      <c r="MNQ18" s="273"/>
      <c r="MNR18" s="273"/>
      <c r="MNS18" s="273"/>
      <c r="MNT18" s="273"/>
      <c r="MNU18" s="273"/>
      <c r="MNV18" s="273"/>
      <c r="MNW18" s="273"/>
      <c r="MNX18" s="273"/>
      <c r="MNY18" s="273"/>
      <c r="MNZ18" s="273"/>
      <c r="MOA18" s="273"/>
      <c r="MOB18" s="273"/>
      <c r="MOC18" s="273"/>
      <c r="MOD18" s="273"/>
      <c r="MOE18" s="273"/>
      <c r="MOF18" s="273"/>
      <c r="MOG18" s="273"/>
      <c r="MOH18" s="273"/>
      <c r="MOI18" s="273"/>
      <c r="MOJ18" s="273"/>
      <c r="MOK18" s="273"/>
      <c r="MOL18" s="273"/>
      <c r="MOM18" s="273"/>
      <c r="MON18" s="273"/>
      <c r="MOO18" s="273"/>
      <c r="MOP18" s="273"/>
      <c r="MOQ18" s="273"/>
      <c r="MOR18" s="273"/>
      <c r="MOS18" s="273"/>
      <c r="MOT18" s="273"/>
      <c r="MOU18" s="273"/>
      <c r="MOV18" s="273"/>
      <c r="MOW18" s="273"/>
      <c r="MOX18" s="273"/>
      <c r="MOY18" s="273"/>
      <c r="MOZ18" s="273"/>
      <c r="MPA18" s="273"/>
      <c r="MPB18" s="273"/>
      <c r="MPC18" s="273"/>
      <c r="MPD18" s="273"/>
      <c r="MPE18" s="273"/>
      <c r="MPF18" s="273"/>
      <c r="MPG18" s="273"/>
      <c r="MPH18" s="273"/>
      <c r="MPI18" s="273"/>
      <c r="MPJ18" s="273"/>
      <c r="MPK18" s="273"/>
      <c r="MPL18" s="273"/>
      <c r="MPM18" s="273"/>
      <c r="MPN18" s="273"/>
      <c r="MPO18" s="273"/>
      <c r="MPP18" s="273"/>
      <c r="MPQ18" s="273"/>
      <c r="MPR18" s="273"/>
      <c r="MPS18" s="273"/>
      <c r="MPT18" s="273"/>
      <c r="MPU18" s="273"/>
      <c r="MPV18" s="273"/>
      <c r="MPW18" s="273"/>
      <c r="MPX18" s="273"/>
      <c r="MPY18" s="273"/>
      <c r="MPZ18" s="273"/>
      <c r="MQA18" s="273"/>
      <c r="MQB18" s="273"/>
      <c r="MQC18" s="273"/>
      <c r="MQD18" s="273"/>
      <c r="MQE18" s="273"/>
      <c r="MQF18" s="273"/>
      <c r="MQG18" s="273"/>
      <c r="MQH18" s="273"/>
      <c r="MQI18" s="273"/>
      <c r="MQJ18" s="273"/>
      <c r="MQK18" s="273"/>
      <c r="MQL18" s="273"/>
      <c r="MQM18" s="273"/>
      <c r="MQN18" s="273"/>
      <c r="MQO18" s="273"/>
      <c r="MQP18" s="273"/>
      <c r="MQQ18" s="273"/>
      <c r="MQR18" s="273"/>
      <c r="MQS18" s="273"/>
      <c r="MQT18" s="273"/>
      <c r="MQU18" s="273"/>
      <c r="MQV18" s="273"/>
      <c r="MQW18" s="273"/>
      <c r="MQX18" s="273"/>
      <c r="MQY18" s="273"/>
      <c r="MQZ18" s="273"/>
      <c r="MRA18" s="273"/>
      <c r="MRB18" s="273"/>
      <c r="MRC18" s="273"/>
      <c r="MRD18" s="273"/>
      <c r="MRE18" s="273"/>
      <c r="MRF18" s="273"/>
      <c r="MRG18" s="273"/>
      <c r="MRH18" s="273"/>
      <c r="MRI18" s="273"/>
      <c r="MRJ18" s="273"/>
      <c r="MRK18" s="273"/>
      <c r="MRL18" s="273"/>
      <c r="MRM18" s="273"/>
      <c r="MRN18" s="273"/>
      <c r="MRO18" s="273"/>
      <c r="MRP18" s="273"/>
      <c r="MRQ18" s="273"/>
      <c r="MRR18" s="273"/>
      <c r="MRS18" s="273"/>
      <c r="MRT18" s="273"/>
      <c r="MRU18" s="273"/>
      <c r="MRV18" s="273"/>
      <c r="MRW18" s="273"/>
      <c r="MRX18" s="273"/>
      <c r="MRY18" s="273"/>
      <c r="MRZ18" s="273"/>
      <c r="MSA18" s="273"/>
      <c r="MSB18" s="273"/>
      <c r="MSC18" s="273"/>
      <c r="MSD18" s="273"/>
      <c r="MSE18" s="273"/>
      <c r="MSF18" s="273"/>
      <c r="MSG18" s="273"/>
      <c r="MSH18" s="273"/>
      <c r="MSI18" s="273"/>
      <c r="MSJ18" s="273"/>
      <c r="MSK18" s="273"/>
      <c r="MSL18" s="273"/>
      <c r="MSM18" s="273"/>
      <c r="MSN18" s="273"/>
      <c r="MSO18" s="273"/>
      <c r="MSP18" s="273"/>
      <c r="MSQ18" s="273"/>
      <c r="MSR18" s="273"/>
      <c r="MSS18" s="273"/>
      <c r="MST18" s="273"/>
      <c r="MSU18" s="273"/>
      <c r="MSV18" s="273"/>
      <c r="MSW18" s="273"/>
      <c r="MSX18" s="273"/>
      <c r="MSY18" s="273"/>
      <c r="MSZ18" s="273"/>
      <c r="MTA18" s="273"/>
      <c r="MTB18" s="273"/>
      <c r="MTC18" s="273"/>
      <c r="MTD18" s="273"/>
      <c r="MTE18" s="273"/>
      <c r="MTF18" s="273"/>
      <c r="MTG18" s="273"/>
      <c r="MTH18" s="273"/>
      <c r="MTI18" s="273"/>
      <c r="MTJ18" s="273"/>
      <c r="MTK18" s="273"/>
      <c r="MTL18" s="273"/>
      <c r="MTM18" s="273"/>
      <c r="MTN18" s="273"/>
      <c r="MTO18" s="273"/>
      <c r="MTP18" s="273"/>
      <c r="MTQ18" s="273"/>
      <c r="MTR18" s="273"/>
      <c r="MTS18" s="273"/>
      <c r="MTT18" s="273"/>
      <c r="MTU18" s="273"/>
      <c r="MTV18" s="273"/>
      <c r="MTW18" s="273"/>
      <c r="MTX18" s="273"/>
      <c r="MTY18" s="273"/>
      <c r="MTZ18" s="273"/>
      <c r="MUA18" s="273"/>
      <c r="MUB18" s="273"/>
      <c r="MUC18" s="273"/>
      <c r="MUD18" s="273"/>
      <c r="MUE18" s="273"/>
      <c r="MUF18" s="273"/>
      <c r="MUG18" s="273"/>
      <c r="MUH18" s="273"/>
      <c r="MUI18" s="273"/>
      <c r="MUJ18" s="273"/>
      <c r="MUK18" s="273"/>
      <c r="MUL18" s="273"/>
      <c r="MUM18" s="273"/>
      <c r="MUN18" s="273"/>
      <c r="MUO18" s="273"/>
      <c r="MUP18" s="273"/>
      <c r="MUQ18" s="273"/>
      <c r="MUR18" s="273"/>
      <c r="MUS18" s="273"/>
      <c r="MUT18" s="273"/>
      <c r="MUU18" s="273"/>
      <c r="MUV18" s="273"/>
      <c r="MUW18" s="273"/>
      <c r="MUX18" s="273"/>
      <c r="MUY18" s="273"/>
      <c r="MUZ18" s="273"/>
      <c r="MVA18" s="273"/>
      <c r="MVB18" s="273"/>
      <c r="MVC18" s="273"/>
      <c r="MVD18" s="273"/>
      <c r="MVE18" s="273"/>
      <c r="MVF18" s="273"/>
      <c r="MVG18" s="273"/>
      <c r="MVH18" s="273"/>
      <c r="MVI18" s="273"/>
      <c r="MVJ18" s="273"/>
      <c r="MVK18" s="273"/>
      <c r="MVL18" s="273"/>
      <c r="MVM18" s="273"/>
      <c r="MVN18" s="273"/>
      <c r="MVO18" s="273"/>
      <c r="MVP18" s="273"/>
      <c r="MVQ18" s="273"/>
      <c r="MVR18" s="273"/>
      <c r="MVS18" s="273"/>
      <c r="MVT18" s="273"/>
      <c r="MVU18" s="273"/>
      <c r="MVV18" s="273"/>
      <c r="MVW18" s="273"/>
      <c r="MVX18" s="273"/>
      <c r="MVY18" s="273"/>
      <c r="MVZ18" s="273"/>
      <c r="MWA18" s="273"/>
      <c r="MWB18" s="273"/>
      <c r="MWC18" s="273"/>
      <c r="MWD18" s="273"/>
      <c r="MWE18" s="273"/>
      <c r="MWF18" s="273"/>
      <c r="MWG18" s="273"/>
      <c r="MWH18" s="273"/>
      <c r="MWI18" s="273"/>
      <c r="MWJ18" s="273"/>
      <c r="MWK18" s="273"/>
      <c r="MWL18" s="273"/>
      <c r="MWM18" s="273"/>
      <c r="MWN18" s="273"/>
      <c r="MWO18" s="273"/>
      <c r="MWP18" s="273"/>
      <c r="MWQ18" s="273"/>
      <c r="MWR18" s="273"/>
      <c r="MWS18" s="273"/>
      <c r="MWT18" s="273"/>
      <c r="MWU18" s="273"/>
      <c r="MWV18" s="273"/>
      <c r="MWW18" s="273"/>
      <c r="MWX18" s="273"/>
      <c r="MWY18" s="273"/>
      <c r="MWZ18" s="273"/>
      <c r="MXA18" s="273"/>
      <c r="MXB18" s="273"/>
      <c r="MXC18" s="273"/>
      <c r="MXD18" s="273"/>
      <c r="MXE18" s="273"/>
      <c r="MXF18" s="273"/>
      <c r="MXG18" s="273"/>
      <c r="MXH18" s="273"/>
      <c r="MXI18" s="273"/>
      <c r="MXJ18" s="273"/>
      <c r="MXK18" s="273"/>
      <c r="MXL18" s="273"/>
      <c r="MXM18" s="273"/>
      <c r="MXN18" s="273"/>
      <c r="MXO18" s="273"/>
      <c r="MXP18" s="273"/>
      <c r="MXQ18" s="273"/>
      <c r="MXR18" s="273"/>
      <c r="MXS18" s="273"/>
      <c r="MXT18" s="273"/>
      <c r="MXU18" s="273"/>
      <c r="MXV18" s="273"/>
      <c r="MXW18" s="273"/>
      <c r="MXX18" s="273"/>
      <c r="MXY18" s="273"/>
      <c r="MXZ18" s="273"/>
      <c r="MYA18" s="273"/>
      <c r="MYB18" s="273"/>
      <c r="MYC18" s="273"/>
      <c r="MYD18" s="273"/>
      <c r="MYE18" s="273"/>
      <c r="MYF18" s="273"/>
      <c r="MYG18" s="273"/>
      <c r="MYH18" s="273"/>
      <c r="MYI18" s="273"/>
      <c r="MYJ18" s="273"/>
      <c r="MYK18" s="273"/>
      <c r="MYL18" s="273"/>
      <c r="MYM18" s="273"/>
      <c r="MYN18" s="273"/>
      <c r="MYO18" s="273"/>
      <c r="MYP18" s="273"/>
      <c r="MYQ18" s="273"/>
      <c r="MYR18" s="273"/>
      <c r="MYS18" s="273"/>
      <c r="MYT18" s="273"/>
      <c r="MYU18" s="273"/>
      <c r="MYV18" s="273"/>
      <c r="MYW18" s="273"/>
      <c r="MYX18" s="273"/>
      <c r="MYY18" s="273"/>
      <c r="MYZ18" s="273"/>
      <c r="MZA18" s="273"/>
      <c r="MZB18" s="273"/>
      <c r="MZC18" s="273"/>
      <c r="MZD18" s="273"/>
      <c r="MZE18" s="273"/>
      <c r="MZF18" s="273"/>
      <c r="MZG18" s="273"/>
      <c r="MZH18" s="273"/>
      <c r="MZI18" s="273"/>
      <c r="MZJ18" s="273"/>
      <c r="MZK18" s="273"/>
      <c r="MZL18" s="273"/>
      <c r="MZM18" s="273"/>
      <c r="MZN18" s="273"/>
      <c r="MZO18" s="273"/>
      <c r="MZP18" s="273"/>
      <c r="MZQ18" s="273"/>
      <c r="MZR18" s="273"/>
      <c r="MZS18" s="273"/>
      <c r="MZT18" s="273"/>
      <c r="MZU18" s="273"/>
      <c r="MZV18" s="273"/>
      <c r="MZW18" s="273"/>
      <c r="MZX18" s="273"/>
      <c r="MZY18" s="273"/>
      <c r="MZZ18" s="273"/>
      <c r="NAA18" s="273"/>
      <c r="NAB18" s="273"/>
      <c r="NAC18" s="273"/>
      <c r="NAD18" s="273"/>
      <c r="NAE18" s="273"/>
      <c r="NAF18" s="273"/>
      <c r="NAG18" s="273"/>
      <c r="NAH18" s="273"/>
      <c r="NAI18" s="273"/>
      <c r="NAJ18" s="273"/>
      <c r="NAK18" s="273"/>
      <c r="NAL18" s="273"/>
      <c r="NAM18" s="273"/>
      <c r="NAN18" s="273"/>
      <c r="NAO18" s="273"/>
      <c r="NAP18" s="273"/>
      <c r="NAQ18" s="273"/>
      <c r="NAR18" s="273"/>
      <c r="NAS18" s="273"/>
      <c r="NAT18" s="273"/>
      <c r="NAU18" s="273"/>
      <c r="NAV18" s="273"/>
      <c r="NAW18" s="273"/>
      <c r="NAX18" s="273"/>
      <c r="NAY18" s="273"/>
      <c r="NAZ18" s="273"/>
      <c r="NBA18" s="273"/>
      <c r="NBB18" s="273"/>
      <c r="NBC18" s="273"/>
      <c r="NBD18" s="273"/>
      <c r="NBE18" s="273"/>
      <c r="NBF18" s="273"/>
      <c r="NBG18" s="273"/>
      <c r="NBH18" s="273"/>
      <c r="NBI18" s="273"/>
      <c r="NBJ18" s="273"/>
      <c r="NBK18" s="273"/>
      <c r="NBL18" s="273"/>
      <c r="NBM18" s="273"/>
      <c r="NBN18" s="273"/>
      <c r="NBO18" s="273"/>
      <c r="NBP18" s="273"/>
      <c r="NBQ18" s="273"/>
      <c r="NBR18" s="273"/>
      <c r="NBS18" s="273"/>
      <c r="NBT18" s="273"/>
      <c r="NBU18" s="273"/>
      <c r="NBV18" s="273"/>
      <c r="NBW18" s="273"/>
      <c r="NBX18" s="273"/>
      <c r="NBY18" s="273"/>
      <c r="NBZ18" s="273"/>
      <c r="NCA18" s="273"/>
      <c r="NCB18" s="273"/>
      <c r="NCC18" s="273"/>
      <c r="NCD18" s="273"/>
      <c r="NCE18" s="273"/>
      <c r="NCF18" s="273"/>
      <c r="NCG18" s="273"/>
      <c r="NCH18" s="273"/>
      <c r="NCI18" s="273"/>
      <c r="NCJ18" s="273"/>
      <c r="NCK18" s="273"/>
      <c r="NCL18" s="273"/>
      <c r="NCM18" s="273"/>
      <c r="NCN18" s="273"/>
      <c r="NCO18" s="273"/>
      <c r="NCP18" s="273"/>
      <c r="NCQ18" s="273"/>
      <c r="NCR18" s="273"/>
      <c r="NCS18" s="273"/>
      <c r="NCT18" s="273"/>
      <c r="NCU18" s="273"/>
      <c r="NCV18" s="273"/>
      <c r="NCW18" s="273"/>
      <c r="NCX18" s="273"/>
      <c r="NCY18" s="273"/>
      <c r="NCZ18" s="273"/>
      <c r="NDA18" s="273"/>
      <c r="NDB18" s="273"/>
      <c r="NDC18" s="273"/>
      <c r="NDD18" s="273"/>
      <c r="NDE18" s="273"/>
      <c r="NDF18" s="273"/>
      <c r="NDG18" s="273"/>
      <c r="NDH18" s="273"/>
      <c r="NDI18" s="273"/>
      <c r="NDJ18" s="273"/>
      <c r="NDK18" s="273"/>
      <c r="NDL18" s="273"/>
      <c r="NDM18" s="273"/>
      <c r="NDN18" s="273"/>
      <c r="NDO18" s="273"/>
      <c r="NDP18" s="273"/>
      <c r="NDQ18" s="273"/>
      <c r="NDR18" s="273"/>
      <c r="NDS18" s="273"/>
      <c r="NDT18" s="273"/>
      <c r="NDU18" s="273"/>
      <c r="NDV18" s="273"/>
      <c r="NDW18" s="273"/>
      <c r="NDX18" s="273"/>
      <c r="NDY18" s="273"/>
      <c r="NDZ18" s="273"/>
      <c r="NEA18" s="273"/>
      <c r="NEB18" s="273"/>
      <c r="NEC18" s="273"/>
      <c r="NED18" s="273"/>
      <c r="NEE18" s="273"/>
      <c r="NEF18" s="273"/>
      <c r="NEG18" s="273"/>
      <c r="NEH18" s="273"/>
      <c r="NEI18" s="273"/>
      <c r="NEJ18" s="273"/>
      <c r="NEK18" s="273"/>
      <c r="NEL18" s="273"/>
      <c r="NEM18" s="273"/>
      <c r="NEN18" s="273"/>
      <c r="NEO18" s="273"/>
      <c r="NEP18" s="273"/>
      <c r="NEQ18" s="273"/>
      <c r="NER18" s="273"/>
      <c r="NES18" s="273"/>
      <c r="NET18" s="273"/>
      <c r="NEU18" s="273"/>
      <c r="NEV18" s="273"/>
      <c r="NEW18" s="273"/>
      <c r="NEX18" s="273"/>
      <c r="NEY18" s="273"/>
      <c r="NEZ18" s="273"/>
      <c r="NFA18" s="273"/>
      <c r="NFB18" s="273"/>
      <c r="NFC18" s="273"/>
      <c r="NFD18" s="273"/>
      <c r="NFE18" s="273"/>
      <c r="NFF18" s="273"/>
      <c r="NFG18" s="273"/>
      <c r="NFH18" s="273"/>
      <c r="NFI18" s="273"/>
      <c r="NFJ18" s="273"/>
      <c r="NFK18" s="273"/>
      <c r="NFL18" s="273"/>
      <c r="NFM18" s="273"/>
      <c r="NFN18" s="273"/>
      <c r="NFO18" s="273"/>
      <c r="NFP18" s="273"/>
      <c r="NFQ18" s="273"/>
      <c r="NFR18" s="273"/>
      <c r="NFS18" s="273"/>
      <c r="NFT18" s="273"/>
      <c r="NFU18" s="273"/>
      <c r="NFV18" s="273"/>
      <c r="NFW18" s="273"/>
      <c r="NFX18" s="273"/>
      <c r="NFY18" s="273"/>
      <c r="NFZ18" s="273"/>
      <c r="NGA18" s="273"/>
      <c r="NGB18" s="273"/>
      <c r="NGC18" s="273"/>
      <c r="NGD18" s="273"/>
      <c r="NGE18" s="273"/>
      <c r="NGF18" s="273"/>
      <c r="NGG18" s="273"/>
      <c r="NGH18" s="273"/>
      <c r="NGI18" s="273"/>
      <c r="NGJ18" s="273"/>
      <c r="NGK18" s="273"/>
      <c r="NGL18" s="273"/>
      <c r="NGM18" s="273"/>
      <c r="NGN18" s="273"/>
      <c r="NGO18" s="273"/>
      <c r="NGP18" s="273"/>
      <c r="NGQ18" s="273"/>
      <c r="NGR18" s="273"/>
      <c r="NGS18" s="273"/>
      <c r="NGT18" s="273"/>
      <c r="NGU18" s="273"/>
      <c r="NGV18" s="273"/>
      <c r="NGW18" s="273"/>
      <c r="NGX18" s="273"/>
      <c r="NGY18" s="273"/>
      <c r="NGZ18" s="273"/>
      <c r="NHA18" s="273"/>
      <c r="NHB18" s="273"/>
      <c r="NHC18" s="273"/>
      <c r="NHD18" s="273"/>
      <c r="NHE18" s="273"/>
      <c r="NHF18" s="273"/>
      <c r="NHG18" s="273"/>
      <c r="NHH18" s="273"/>
      <c r="NHI18" s="273"/>
      <c r="NHJ18" s="273"/>
      <c r="NHK18" s="273"/>
      <c r="NHL18" s="273"/>
      <c r="NHM18" s="273"/>
      <c r="NHN18" s="273"/>
      <c r="NHO18" s="273"/>
      <c r="NHP18" s="273"/>
      <c r="NHQ18" s="273"/>
      <c r="NHR18" s="273"/>
      <c r="NHS18" s="273"/>
      <c r="NHT18" s="273"/>
      <c r="NHU18" s="273"/>
      <c r="NHV18" s="273"/>
      <c r="NHW18" s="273"/>
      <c r="NHX18" s="273"/>
      <c r="NHY18" s="273"/>
      <c r="NHZ18" s="273"/>
      <c r="NIA18" s="273"/>
      <c r="NIB18" s="273"/>
      <c r="NIC18" s="273"/>
      <c r="NID18" s="273"/>
      <c r="NIE18" s="273"/>
      <c r="NIF18" s="273"/>
      <c r="NIG18" s="273"/>
      <c r="NIH18" s="273"/>
      <c r="NII18" s="273"/>
      <c r="NIJ18" s="273"/>
      <c r="NIK18" s="273"/>
      <c r="NIL18" s="273"/>
      <c r="NIM18" s="273"/>
      <c r="NIN18" s="273"/>
      <c r="NIO18" s="273"/>
      <c r="NIP18" s="273"/>
      <c r="NIQ18" s="273"/>
      <c r="NIR18" s="273"/>
      <c r="NIS18" s="273"/>
      <c r="NIT18" s="273"/>
      <c r="NIU18" s="273"/>
      <c r="NIV18" s="273"/>
      <c r="NIW18" s="273"/>
      <c r="NIX18" s="273"/>
      <c r="NIY18" s="273"/>
      <c r="NIZ18" s="273"/>
      <c r="NJA18" s="273"/>
      <c r="NJB18" s="273"/>
      <c r="NJC18" s="273"/>
      <c r="NJD18" s="273"/>
      <c r="NJE18" s="273"/>
      <c r="NJF18" s="273"/>
      <c r="NJG18" s="273"/>
      <c r="NJH18" s="273"/>
      <c r="NJI18" s="273"/>
      <c r="NJJ18" s="273"/>
      <c r="NJK18" s="273"/>
      <c r="NJL18" s="273"/>
      <c r="NJM18" s="273"/>
      <c r="NJN18" s="273"/>
      <c r="NJO18" s="273"/>
      <c r="NJP18" s="273"/>
      <c r="NJQ18" s="273"/>
      <c r="NJR18" s="273"/>
      <c r="NJS18" s="273"/>
      <c r="NJT18" s="273"/>
      <c r="NJU18" s="273"/>
      <c r="NJV18" s="273"/>
      <c r="NJW18" s="273"/>
      <c r="NJX18" s="273"/>
      <c r="NJY18" s="273"/>
      <c r="NJZ18" s="273"/>
      <c r="NKA18" s="273"/>
      <c r="NKB18" s="273"/>
      <c r="NKC18" s="273"/>
      <c r="NKD18" s="273"/>
      <c r="NKE18" s="273"/>
      <c r="NKF18" s="273"/>
      <c r="NKG18" s="273"/>
      <c r="NKH18" s="273"/>
      <c r="NKI18" s="273"/>
      <c r="NKJ18" s="273"/>
      <c r="NKK18" s="273"/>
      <c r="NKL18" s="273"/>
      <c r="NKM18" s="273"/>
      <c r="NKN18" s="273"/>
      <c r="NKO18" s="273"/>
      <c r="NKP18" s="273"/>
      <c r="NKQ18" s="273"/>
      <c r="NKR18" s="273"/>
      <c r="NKS18" s="273"/>
      <c r="NKT18" s="273"/>
      <c r="NKU18" s="273"/>
      <c r="NKV18" s="273"/>
      <c r="NKW18" s="273"/>
      <c r="NKX18" s="273"/>
      <c r="NKY18" s="273"/>
      <c r="NKZ18" s="273"/>
      <c r="NLA18" s="273"/>
      <c r="NLB18" s="273"/>
      <c r="NLC18" s="273"/>
      <c r="NLD18" s="273"/>
      <c r="NLE18" s="273"/>
      <c r="NLF18" s="273"/>
      <c r="NLG18" s="273"/>
      <c r="NLH18" s="273"/>
      <c r="NLI18" s="273"/>
      <c r="NLJ18" s="273"/>
      <c r="NLK18" s="273"/>
      <c r="NLL18" s="273"/>
      <c r="NLM18" s="273"/>
      <c r="NLN18" s="273"/>
      <c r="NLO18" s="273"/>
      <c r="NLP18" s="273"/>
      <c r="NLQ18" s="273"/>
      <c r="NLR18" s="273"/>
      <c r="NLS18" s="273"/>
      <c r="NLT18" s="273"/>
      <c r="NLU18" s="273"/>
      <c r="NLV18" s="273"/>
      <c r="NLW18" s="273"/>
      <c r="NLX18" s="273"/>
      <c r="NLY18" s="273"/>
      <c r="NLZ18" s="273"/>
      <c r="NMA18" s="273"/>
      <c r="NMB18" s="273"/>
      <c r="NMC18" s="273"/>
      <c r="NMD18" s="273"/>
      <c r="NME18" s="273"/>
      <c r="NMF18" s="273"/>
      <c r="NMG18" s="273"/>
      <c r="NMH18" s="273"/>
      <c r="NMI18" s="273"/>
      <c r="NMJ18" s="273"/>
      <c r="NMK18" s="273"/>
      <c r="NML18" s="273"/>
      <c r="NMM18" s="273"/>
      <c r="NMN18" s="273"/>
      <c r="NMO18" s="273"/>
      <c r="NMP18" s="273"/>
      <c r="NMQ18" s="273"/>
      <c r="NMR18" s="273"/>
      <c r="NMS18" s="273"/>
      <c r="NMT18" s="273"/>
      <c r="NMU18" s="273"/>
      <c r="NMV18" s="273"/>
      <c r="NMW18" s="273"/>
      <c r="NMX18" s="273"/>
      <c r="NMY18" s="273"/>
      <c r="NMZ18" s="273"/>
      <c r="NNA18" s="273"/>
      <c r="NNB18" s="273"/>
      <c r="NNC18" s="273"/>
      <c r="NND18" s="273"/>
      <c r="NNE18" s="273"/>
      <c r="NNF18" s="273"/>
      <c r="NNG18" s="273"/>
      <c r="NNH18" s="273"/>
      <c r="NNI18" s="273"/>
      <c r="NNJ18" s="273"/>
      <c r="NNK18" s="273"/>
      <c r="NNL18" s="273"/>
      <c r="NNM18" s="273"/>
      <c r="NNN18" s="273"/>
      <c r="NNO18" s="273"/>
      <c r="NNP18" s="273"/>
      <c r="NNQ18" s="273"/>
      <c r="NNR18" s="273"/>
      <c r="NNS18" s="273"/>
      <c r="NNT18" s="273"/>
      <c r="NNU18" s="273"/>
      <c r="NNV18" s="273"/>
      <c r="NNW18" s="273"/>
      <c r="NNX18" s="273"/>
      <c r="NNY18" s="273"/>
      <c r="NNZ18" s="273"/>
      <c r="NOA18" s="273"/>
      <c r="NOB18" s="273"/>
      <c r="NOC18" s="273"/>
      <c r="NOD18" s="273"/>
      <c r="NOE18" s="273"/>
      <c r="NOF18" s="273"/>
      <c r="NOG18" s="273"/>
      <c r="NOH18" s="273"/>
      <c r="NOI18" s="273"/>
      <c r="NOJ18" s="273"/>
      <c r="NOK18" s="273"/>
      <c r="NOL18" s="273"/>
      <c r="NOM18" s="273"/>
      <c r="NON18" s="273"/>
      <c r="NOO18" s="273"/>
      <c r="NOP18" s="273"/>
      <c r="NOQ18" s="273"/>
      <c r="NOR18" s="273"/>
      <c r="NOS18" s="273"/>
      <c r="NOT18" s="273"/>
      <c r="NOU18" s="273"/>
      <c r="NOV18" s="273"/>
      <c r="NOW18" s="273"/>
      <c r="NOX18" s="273"/>
      <c r="NOY18" s="273"/>
      <c r="NOZ18" s="273"/>
      <c r="NPA18" s="273"/>
      <c r="NPB18" s="273"/>
      <c r="NPC18" s="273"/>
      <c r="NPD18" s="273"/>
      <c r="NPE18" s="273"/>
      <c r="NPF18" s="273"/>
      <c r="NPG18" s="273"/>
      <c r="NPH18" s="273"/>
      <c r="NPI18" s="273"/>
      <c r="NPJ18" s="273"/>
      <c r="NPK18" s="273"/>
      <c r="NPL18" s="273"/>
      <c r="NPM18" s="273"/>
      <c r="NPN18" s="273"/>
      <c r="NPO18" s="273"/>
      <c r="NPP18" s="273"/>
      <c r="NPQ18" s="273"/>
      <c r="NPR18" s="273"/>
      <c r="NPS18" s="273"/>
      <c r="NPT18" s="273"/>
      <c r="NPU18" s="273"/>
      <c r="NPV18" s="273"/>
      <c r="NPW18" s="273"/>
      <c r="NPX18" s="273"/>
      <c r="NPY18" s="273"/>
      <c r="NPZ18" s="273"/>
      <c r="NQA18" s="273"/>
      <c r="NQB18" s="273"/>
      <c r="NQC18" s="273"/>
      <c r="NQD18" s="273"/>
      <c r="NQE18" s="273"/>
      <c r="NQF18" s="273"/>
      <c r="NQG18" s="273"/>
      <c r="NQH18" s="273"/>
      <c r="NQI18" s="273"/>
      <c r="NQJ18" s="273"/>
      <c r="NQK18" s="273"/>
      <c r="NQL18" s="273"/>
      <c r="NQM18" s="273"/>
      <c r="NQN18" s="273"/>
      <c r="NQO18" s="273"/>
      <c r="NQP18" s="273"/>
      <c r="NQQ18" s="273"/>
      <c r="NQR18" s="273"/>
      <c r="NQS18" s="273"/>
      <c r="NQT18" s="273"/>
      <c r="NQU18" s="273"/>
      <c r="NQV18" s="273"/>
      <c r="NQW18" s="273"/>
      <c r="NQX18" s="273"/>
      <c r="NQY18" s="273"/>
      <c r="NQZ18" s="273"/>
      <c r="NRA18" s="273"/>
      <c r="NRB18" s="273"/>
      <c r="NRC18" s="273"/>
      <c r="NRD18" s="273"/>
      <c r="NRE18" s="273"/>
      <c r="NRF18" s="273"/>
      <c r="NRG18" s="273"/>
      <c r="NRH18" s="273"/>
      <c r="NRI18" s="273"/>
      <c r="NRJ18" s="273"/>
      <c r="NRK18" s="273"/>
      <c r="NRL18" s="273"/>
      <c r="NRM18" s="273"/>
      <c r="NRN18" s="273"/>
      <c r="NRO18" s="273"/>
      <c r="NRP18" s="273"/>
      <c r="NRQ18" s="273"/>
      <c r="NRR18" s="273"/>
      <c r="NRS18" s="273"/>
      <c r="NRT18" s="273"/>
      <c r="NRU18" s="273"/>
      <c r="NRV18" s="273"/>
      <c r="NRW18" s="273"/>
      <c r="NRX18" s="273"/>
      <c r="NRY18" s="273"/>
      <c r="NRZ18" s="273"/>
      <c r="NSA18" s="273"/>
      <c r="NSB18" s="273"/>
      <c r="NSC18" s="273"/>
      <c r="NSD18" s="273"/>
      <c r="NSE18" s="273"/>
      <c r="NSF18" s="273"/>
      <c r="NSG18" s="273"/>
      <c r="NSH18" s="273"/>
      <c r="NSI18" s="273"/>
      <c r="NSJ18" s="273"/>
      <c r="NSK18" s="273"/>
      <c r="NSL18" s="273"/>
      <c r="NSM18" s="273"/>
      <c r="NSN18" s="273"/>
      <c r="NSO18" s="273"/>
      <c r="NSP18" s="273"/>
      <c r="NSQ18" s="273"/>
      <c r="NSR18" s="273"/>
      <c r="NSS18" s="273"/>
      <c r="NST18" s="273"/>
      <c r="NSU18" s="273"/>
      <c r="NSV18" s="273"/>
      <c r="NSW18" s="273"/>
      <c r="NSX18" s="273"/>
      <c r="NSY18" s="273"/>
      <c r="NSZ18" s="273"/>
      <c r="NTA18" s="273"/>
      <c r="NTB18" s="273"/>
      <c r="NTC18" s="273"/>
      <c r="NTD18" s="273"/>
      <c r="NTE18" s="273"/>
      <c r="NTF18" s="273"/>
      <c r="NTG18" s="273"/>
      <c r="NTH18" s="273"/>
      <c r="NTI18" s="273"/>
      <c r="NTJ18" s="273"/>
      <c r="NTK18" s="273"/>
      <c r="NTL18" s="273"/>
      <c r="NTM18" s="273"/>
      <c r="NTN18" s="273"/>
      <c r="NTO18" s="273"/>
      <c r="NTP18" s="273"/>
      <c r="NTQ18" s="273"/>
      <c r="NTR18" s="273"/>
      <c r="NTS18" s="273"/>
      <c r="NTT18" s="273"/>
      <c r="NTU18" s="273"/>
      <c r="NTV18" s="273"/>
      <c r="NTW18" s="273"/>
      <c r="NTX18" s="273"/>
      <c r="NTY18" s="273"/>
      <c r="NTZ18" s="273"/>
      <c r="NUA18" s="273"/>
      <c r="NUB18" s="273"/>
      <c r="NUC18" s="273"/>
      <c r="NUD18" s="273"/>
      <c r="NUE18" s="273"/>
      <c r="NUF18" s="273"/>
      <c r="NUG18" s="273"/>
      <c r="NUH18" s="273"/>
      <c r="NUI18" s="273"/>
      <c r="NUJ18" s="273"/>
      <c r="NUK18" s="273"/>
      <c r="NUL18" s="273"/>
      <c r="NUM18" s="273"/>
      <c r="NUN18" s="273"/>
      <c r="NUO18" s="273"/>
      <c r="NUP18" s="273"/>
      <c r="NUQ18" s="273"/>
      <c r="NUR18" s="273"/>
      <c r="NUS18" s="273"/>
      <c r="NUT18" s="273"/>
      <c r="NUU18" s="273"/>
      <c r="NUV18" s="273"/>
      <c r="NUW18" s="273"/>
      <c r="NUX18" s="273"/>
      <c r="NUY18" s="273"/>
      <c r="NUZ18" s="273"/>
      <c r="NVA18" s="273"/>
      <c r="NVB18" s="273"/>
      <c r="NVC18" s="273"/>
      <c r="NVD18" s="273"/>
      <c r="NVE18" s="273"/>
      <c r="NVF18" s="273"/>
      <c r="NVG18" s="273"/>
      <c r="NVH18" s="273"/>
      <c r="NVI18" s="273"/>
      <c r="NVJ18" s="273"/>
      <c r="NVK18" s="273"/>
      <c r="NVL18" s="273"/>
      <c r="NVM18" s="273"/>
      <c r="NVN18" s="273"/>
      <c r="NVO18" s="273"/>
      <c r="NVP18" s="273"/>
      <c r="NVQ18" s="273"/>
      <c r="NVR18" s="273"/>
      <c r="NVS18" s="273"/>
      <c r="NVT18" s="273"/>
      <c r="NVU18" s="273"/>
      <c r="NVV18" s="273"/>
      <c r="NVW18" s="273"/>
      <c r="NVX18" s="273"/>
      <c r="NVY18" s="273"/>
      <c r="NVZ18" s="273"/>
      <c r="NWA18" s="273"/>
      <c r="NWB18" s="273"/>
      <c r="NWC18" s="273"/>
      <c r="NWD18" s="273"/>
      <c r="NWE18" s="273"/>
      <c r="NWF18" s="273"/>
      <c r="NWG18" s="273"/>
      <c r="NWH18" s="273"/>
      <c r="NWI18" s="273"/>
      <c r="NWJ18" s="273"/>
      <c r="NWK18" s="273"/>
      <c r="NWL18" s="273"/>
      <c r="NWM18" s="273"/>
      <c r="NWN18" s="273"/>
      <c r="NWO18" s="273"/>
      <c r="NWP18" s="273"/>
      <c r="NWQ18" s="273"/>
      <c r="NWR18" s="273"/>
      <c r="NWS18" s="273"/>
      <c r="NWT18" s="273"/>
      <c r="NWU18" s="273"/>
      <c r="NWV18" s="273"/>
      <c r="NWW18" s="273"/>
      <c r="NWX18" s="273"/>
      <c r="NWY18" s="273"/>
      <c r="NWZ18" s="273"/>
      <c r="NXA18" s="273"/>
      <c r="NXB18" s="273"/>
      <c r="NXC18" s="273"/>
      <c r="NXD18" s="273"/>
      <c r="NXE18" s="273"/>
      <c r="NXF18" s="273"/>
      <c r="NXG18" s="273"/>
      <c r="NXH18" s="273"/>
      <c r="NXI18" s="273"/>
      <c r="NXJ18" s="273"/>
      <c r="NXK18" s="273"/>
      <c r="NXL18" s="273"/>
      <c r="NXM18" s="273"/>
      <c r="NXN18" s="273"/>
      <c r="NXO18" s="273"/>
      <c r="NXP18" s="273"/>
      <c r="NXQ18" s="273"/>
      <c r="NXR18" s="273"/>
      <c r="NXS18" s="273"/>
      <c r="NXT18" s="273"/>
      <c r="NXU18" s="273"/>
      <c r="NXV18" s="273"/>
      <c r="NXW18" s="273"/>
      <c r="NXX18" s="273"/>
      <c r="NXY18" s="273"/>
      <c r="NXZ18" s="273"/>
      <c r="NYA18" s="273"/>
      <c r="NYB18" s="273"/>
      <c r="NYC18" s="273"/>
      <c r="NYD18" s="273"/>
      <c r="NYE18" s="273"/>
      <c r="NYF18" s="273"/>
      <c r="NYG18" s="273"/>
      <c r="NYH18" s="273"/>
      <c r="NYI18" s="273"/>
      <c r="NYJ18" s="273"/>
      <c r="NYK18" s="273"/>
      <c r="NYL18" s="273"/>
      <c r="NYM18" s="273"/>
      <c r="NYN18" s="273"/>
      <c r="NYO18" s="273"/>
      <c r="NYP18" s="273"/>
      <c r="NYQ18" s="273"/>
      <c r="NYR18" s="273"/>
      <c r="NYS18" s="273"/>
      <c r="NYT18" s="273"/>
      <c r="NYU18" s="273"/>
      <c r="NYV18" s="273"/>
      <c r="NYW18" s="273"/>
      <c r="NYX18" s="273"/>
      <c r="NYY18" s="273"/>
      <c r="NYZ18" s="273"/>
      <c r="NZA18" s="273"/>
      <c r="NZB18" s="273"/>
      <c r="NZC18" s="273"/>
      <c r="NZD18" s="273"/>
      <c r="NZE18" s="273"/>
      <c r="NZF18" s="273"/>
      <c r="NZG18" s="273"/>
      <c r="NZH18" s="273"/>
      <c r="NZI18" s="273"/>
      <c r="NZJ18" s="273"/>
      <c r="NZK18" s="273"/>
      <c r="NZL18" s="273"/>
      <c r="NZM18" s="273"/>
      <c r="NZN18" s="273"/>
      <c r="NZO18" s="273"/>
      <c r="NZP18" s="273"/>
      <c r="NZQ18" s="273"/>
      <c r="NZR18" s="273"/>
      <c r="NZS18" s="273"/>
      <c r="NZT18" s="273"/>
      <c r="NZU18" s="273"/>
      <c r="NZV18" s="273"/>
      <c r="NZW18" s="273"/>
      <c r="NZX18" s="273"/>
      <c r="NZY18" s="273"/>
      <c r="NZZ18" s="273"/>
      <c r="OAA18" s="273"/>
      <c r="OAB18" s="273"/>
      <c r="OAC18" s="273"/>
      <c r="OAD18" s="273"/>
      <c r="OAE18" s="273"/>
      <c r="OAF18" s="273"/>
      <c r="OAG18" s="273"/>
      <c r="OAH18" s="273"/>
      <c r="OAI18" s="273"/>
      <c r="OAJ18" s="273"/>
      <c r="OAK18" s="273"/>
      <c r="OAL18" s="273"/>
      <c r="OAM18" s="273"/>
      <c r="OAN18" s="273"/>
      <c r="OAO18" s="273"/>
      <c r="OAP18" s="273"/>
      <c r="OAQ18" s="273"/>
      <c r="OAR18" s="273"/>
      <c r="OAS18" s="273"/>
      <c r="OAT18" s="273"/>
      <c r="OAU18" s="273"/>
      <c r="OAV18" s="273"/>
      <c r="OAW18" s="273"/>
      <c r="OAX18" s="273"/>
      <c r="OAY18" s="273"/>
      <c r="OAZ18" s="273"/>
      <c r="OBA18" s="273"/>
      <c r="OBB18" s="273"/>
      <c r="OBC18" s="273"/>
      <c r="OBD18" s="273"/>
      <c r="OBE18" s="273"/>
      <c r="OBF18" s="273"/>
      <c r="OBG18" s="273"/>
      <c r="OBH18" s="273"/>
      <c r="OBI18" s="273"/>
      <c r="OBJ18" s="273"/>
      <c r="OBK18" s="273"/>
      <c r="OBL18" s="273"/>
      <c r="OBM18" s="273"/>
      <c r="OBN18" s="273"/>
      <c r="OBO18" s="273"/>
      <c r="OBP18" s="273"/>
      <c r="OBQ18" s="273"/>
      <c r="OBR18" s="273"/>
      <c r="OBS18" s="273"/>
      <c r="OBT18" s="273"/>
      <c r="OBU18" s="273"/>
      <c r="OBV18" s="273"/>
      <c r="OBW18" s="273"/>
      <c r="OBX18" s="273"/>
      <c r="OBY18" s="273"/>
      <c r="OBZ18" s="273"/>
      <c r="OCA18" s="273"/>
      <c r="OCB18" s="273"/>
      <c r="OCC18" s="273"/>
      <c r="OCD18" s="273"/>
      <c r="OCE18" s="273"/>
      <c r="OCF18" s="273"/>
      <c r="OCG18" s="273"/>
      <c r="OCH18" s="273"/>
      <c r="OCI18" s="273"/>
      <c r="OCJ18" s="273"/>
      <c r="OCK18" s="273"/>
      <c r="OCL18" s="273"/>
      <c r="OCM18" s="273"/>
      <c r="OCN18" s="273"/>
      <c r="OCO18" s="273"/>
      <c r="OCP18" s="273"/>
      <c r="OCQ18" s="273"/>
      <c r="OCR18" s="273"/>
      <c r="OCS18" s="273"/>
      <c r="OCT18" s="273"/>
      <c r="OCU18" s="273"/>
      <c r="OCV18" s="273"/>
      <c r="OCW18" s="273"/>
      <c r="OCX18" s="273"/>
      <c r="OCY18" s="273"/>
      <c r="OCZ18" s="273"/>
      <c r="ODA18" s="273"/>
      <c r="ODB18" s="273"/>
      <c r="ODC18" s="273"/>
      <c r="ODD18" s="273"/>
      <c r="ODE18" s="273"/>
      <c r="ODF18" s="273"/>
      <c r="ODG18" s="273"/>
      <c r="ODH18" s="273"/>
      <c r="ODI18" s="273"/>
      <c r="ODJ18" s="273"/>
      <c r="ODK18" s="273"/>
      <c r="ODL18" s="273"/>
      <c r="ODM18" s="273"/>
      <c r="ODN18" s="273"/>
      <c r="ODO18" s="273"/>
      <c r="ODP18" s="273"/>
      <c r="ODQ18" s="273"/>
      <c r="ODR18" s="273"/>
      <c r="ODS18" s="273"/>
      <c r="ODT18" s="273"/>
      <c r="ODU18" s="273"/>
      <c r="ODV18" s="273"/>
      <c r="ODW18" s="273"/>
      <c r="ODX18" s="273"/>
      <c r="ODY18" s="273"/>
      <c r="ODZ18" s="273"/>
      <c r="OEA18" s="273"/>
      <c r="OEB18" s="273"/>
      <c r="OEC18" s="273"/>
      <c r="OED18" s="273"/>
      <c r="OEE18" s="273"/>
      <c r="OEF18" s="273"/>
      <c r="OEG18" s="273"/>
      <c r="OEH18" s="273"/>
      <c r="OEI18" s="273"/>
      <c r="OEJ18" s="273"/>
      <c r="OEK18" s="273"/>
      <c r="OEL18" s="273"/>
      <c r="OEM18" s="273"/>
      <c r="OEN18" s="273"/>
      <c r="OEO18" s="273"/>
      <c r="OEP18" s="273"/>
      <c r="OEQ18" s="273"/>
      <c r="OER18" s="273"/>
      <c r="OES18" s="273"/>
      <c r="OET18" s="273"/>
      <c r="OEU18" s="273"/>
      <c r="OEV18" s="273"/>
      <c r="OEW18" s="273"/>
      <c r="OEX18" s="273"/>
      <c r="OEY18" s="273"/>
      <c r="OEZ18" s="273"/>
      <c r="OFA18" s="273"/>
      <c r="OFB18" s="273"/>
      <c r="OFC18" s="273"/>
      <c r="OFD18" s="273"/>
      <c r="OFE18" s="273"/>
      <c r="OFF18" s="273"/>
      <c r="OFG18" s="273"/>
      <c r="OFH18" s="273"/>
      <c r="OFI18" s="273"/>
      <c r="OFJ18" s="273"/>
      <c r="OFK18" s="273"/>
      <c r="OFL18" s="273"/>
      <c r="OFM18" s="273"/>
      <c r="OFN18" s="273"/>
      <c r="OFO18" s="273"/>
      <c r="OFP18" s="273"/>
      <c r="OFQ18" s="273"/>
      <c r="OFR18" s="273"/>
      <c r="OFS18" s="273"/>
      <c r="OFT18" s="273"/>
      <c r="OFU18" s="273"/>
      <c r="OFV18" s="273"/>
      <c r="OFW18" s="273"/>
      <c r="OFX18" s="273"/>
      <c r="OFY18" s="273"/>
      <c r="OFZ18" s="273"/>
      <c r="OGA18" s="273"/>
      <c r="OGB18" s="273"/>
      <c r="OGC18" s="273"/>
      <c r="OGD18" s="273"/>
      <c r="OGE18" s="273"/>
      <c r="OGF18" s="273"/>
      <c r="OGG18" s="273"/>
      <c r="OGH18" s="273"/>
      <c r="OGI18" s="273"/>
      <c r="OGJ18" s="273"/>
      <c r="OGK18" s="273"/>
      <c r="OGL18" s="273"/>
      <c r="OGM18" s="273"/>
      <c r="OGN18" s="273"/>
      <c r="OGO18" s="273"/>
      <c r="OGP18" s="273"/>
      <c r="OGQ18" s="273"/>
      <c r="OGR18" s="273"/>
      <c r="OGS18" s="273"/>
      <c r="OGT18" s="273"/>
      <c r="OGU18" s="273"/>
      <c r="OGV18" s="273"/>
      <c r="OGW18" s="273"/>
      <c r="OGX18" s="273"/>
      <c r="OGY18" s="273"/>
      <c r="OGZ18" s="273"/>
      <c r="OHA18" s="273"/>
      <c r="OHB18" s="273"/>
      <c r="OHC18" s="273"/>
      <c r="OHD18" s="273"/>
      <c r="OHE18" s="273"/>
      <c r="OHF18" s="273"/>
      <c r="OHG18" s="273"/>
      <c r="OHH18" s="273"/>
      <c r="OHI18" s="273"/>
      <c r="OHJ18" s="273"/>
      <c r="OHK18" s="273"/>
      <c r="OHL18" s="273"/>
      <c r="OHM18" s="273"/>
      <c r="OHN18" s="273"/>
      <c r="OHO18" s="273"/>
      <c r="OHP18" s="273"/>
      <c r="OHQ18" s="273"/>
      <c r="OHR18" s="273"/>
      <c r="OHS18" s="273"/>
      <c r="OHT18" s="273"/>
      <c r="OHU18" s="273"/>
      <c r="OHV18" s="273"/>
      <c r="OHW18" s="273"/>
      <c r="OHX18" s="273"/>
      <c r="OHY18" s="273"/>
      <c r="OHZ18" s="273"/>
      <c r="OIA18" s="273"/>
      <c r="OIB18" s="273"/>
      <c r="OIC18" s="273"/>
      <c r="OID18" s="273"/>
      <c r="OIE18" s="273"/>
      <c r="OIF18" s="273"/>
      <c r="OIG18" s="273"/>
      <c r="OIH18" s="273"/>
      <c r="OII18" s="273"/>
      <c r="OIJ18" s="273"/>
      <c r="OIK18" s="273"/>
      <c r="OIL18" s="273"/>
      <c r="OIM18" s="273"/>
      <c r="OIN18" s="273"/>
      <c r="OIO18" s="273"/>
      <c r="OIP18" s="273"/>
      <c r="OIQ18" s="273"/>
      <c r="OIR18" s="273"/>
      <c r="OIS18" s="273"/>
      <c r="OIT18" s="273"/>
      <c r="OIU18" s="273"/>
      <c r="OIV18" s="273"/>
      <c r="OIW18" s="273"/>
      <c r="OIX18" s="273"/>
      <c r="OIY18" s="273"/>
      <c r="OIZ18" s="273"/>
      <c r="OJA18" s="273"/>
      <c r="OJB18" s="273"/>
      <c r="OJC18" s="273"/>
      <c r="OJD18" s="273"/>
      <c r="OJE18" s="273"/>
      <c r="OJF18" s="273"/>
      <c r="OJG18" s="273"/>
      <c r="OJH18" s="273"/>
      <c r="OJI18" s="273"/>
      <c r="OJJ18" s="273"/>
      <c r="OJK18" s="273"/>
      <c r="OJL18" s="273"/>
      <c r="OJM18" s="273"/>
      <c r="OJN18" s="273"/>
      <c r="OJO18" s="273"/>
      <c r="OJP18" s="273"/>
      <c r="OJQ18" s="273"/>
      <c r="OJR18" s="273"/>
      <c r="OJS18" s="273"/>
      <c r="OJT18" s="273"/>
      <c r="OJU18" s="273"/>
      <c r="OJV18" s="273"/>
      <c r="OJW18" s="273"/>
      <c r="OJX18" s="273"/>
      <c r="OJY18" s="273"/>
      <c r="OJZ18" s="273"/>
      <c r="OKA18" s="273"/>
      <c r="OKB18" s="273"/>
      <c r="OKC18" s="273"/>
      <c r="OKD18" s="273"/>
      <c r="OKE18" s="273"/>
      <c r="OKF18" s="273"/>
      <c r="OKG18" s="273"/>
      <c r="OKH18" s="273"/>
      <c r="OKI18" s="273"/>
      <c r="OKJ18" s="273"/>
      <c r="OKK18" s="273"/>
      <c r="OKL18" s="273"/>
      <c r="OKM18" s="273"/>
      <c r="OKN18" s="273"/>
      <c r="OKO18" s="273"/>
      <c r="OKP18" s="273"/>
      <c r="OKQ18" s="273"/>
      <c r="OKR18" s="273"/>
      <c r="OKS18" s="273"/>
      <c r="OKT18" s="273"/>
      <c r="OKU18" s="273"/>
      <c r="OKV18" s="273"/>
      <c r="OKW18" s="273"/>
      <c r="OKX18" s="273"/>
      <c r="OKY18" s="273"/>
      <c r="OKZ18" s="273"/>
      <c r="OLA18" s="273"/>
      <c r="OLB18" s="273"/>
      <c r="OLC18" s="273"/>
      <c r="OLD18" s="273"/>
      <c r="OLE18" s="273"/>
      <c r="OLF18" s="273"/>
      <c r="OLG18" s="273"/>
      <c r="OLH18" s="273"/>
      <c r="OLI18" s="273"/>
      <c r="OLJ18" s="273"/>
      <c r="OLK18" s="273"/>
      <c r="OLL18" s="273"/>
      <c r="OLM18" s="273"/>
      <c r="OLN18" s="273"/>
      <c r="OLO18" s="273"/>
      <c r="OLP18" s="273"/>
      <c r="OLQ18" s="273"/>
      <c r="OLR18" s="273"/>
      <c r="OLS18" s="273"/>
      <c r="OLT18" s="273"/>
      <c r="OLU18" s="273"/>
      <c r="OLV18" s="273"/>
      <c r="OLW18" s="273"/>
      <c r="OLX18" s="273"/>
      <c r="OLY18" s="273"/>
      <c r="OLZ18" s="273"/>
      <c r="OMA18" s="273"/>
      <c r="OMB18" s="273"/>
      <c r="OMC18" s="273"/>
      <c r="OMD18" s="273"/>
      <c r="OME18" s="273"/>
      <c r="OMF18" s="273"/>
      <c r="OMG18" s="273"/>
      <c r="OMH18" s="273"/>
      <c r="OMI18" s="273"/>
      <c r="OMJ18" s="273"/>
      <c r="OMK18" s="273"/>
      <c r="OML18" s="273"/>
      <c r="OMM18" s="273"/>
      <c r="OMN18" s="273"/>
      <c r="OMO18" s="273"/>
      <c r="OMP18" s="273"/>
      <c r="OMQ18" s="273"/>
      <c r="OMR18" s="273"/>
      <c r="OMS18" s="273"/>
      <c r="OMT18" s="273"/>
      <c r="OMU18" s="273"/>
      <c r="OMV18" s="273"/>
      <c r="OMW18" s="273"/>
      <c r="OMX18" s="273"/>
      <c r="OMY18" s="273"/>
      <c r="OMZ18" s="273"/>
      <c r="ONA18" s="273"/>
      <c r="ONB18" s="273"/>
      <c r="ONC18" s="273"/>
      <c r="OND18" s="273"/>
      <c r="ONE18" s="273"/>
      <c r="ONF18" s="273"/>
      <c r="ONG18" s="273"/>
      <c r="ONH18" s="273"/>
      <c r="ONI18" s="273"/>
      <c r="ONJ18" s="273"/>
      <c r="ONK18" s="273"/>
      <c r="ONL18" s="273"/>
      <c r="ONM18" s="273"/>
      <c r="ONN18" s="273"/>
      <c r="ONO18" s="273"/>
      <c r="ONP18" s="273"/>
      <c r="ONQ18" s="273"/>
      <c r="ONR18" s="273"/>
      <c r="ONS18" s="273"/>
      <c r="ONT18" s="273"/>
      <c r="ONU18" s="273"/>
      <c r="ONV18" s="273"/>
      <c r="ONW18" s="273"/>
      <c r="ONX18" s="273"/>
      <c r="ONY18" s="273"/>
      <c r="ONZ18" s="273"/>
      <c r="OOA18" s="273"/>
      <c r="OOB18" s="273"/>
      <c r="OOC18" s="273"/>
      <c r="OOD18" s="273"/>
      <c r="OOE18" s="273"/>
      <c r="OOF18" s="273"/>
      <c r="OOG18" s="273"/>
      <c r="OOH18" s="273"/>
      <c r="OOI18" s="273"/>
      <c r="OOJ18" s="273"/>
      <c r="OOK18" s="273"/>
      <c r="OOL18" s="273"/>
      <c r="OOM18" s="273"/>
      <c r="OON18" s="273"/>
      <c r="OOO18" s="273"/>
      <c r="OOP18" s="273"/>
      <c r="OOQ18" s="273"/>
      <c r="OOR18" s="273"/>
      <c r="OOS18" s="273"/>
      <c r="OOT18" s="273"/>
      <c r="OOU18" s="273"/>
      <c r="OOV18" s="273"/>
      <c r="OOW18" s="273"/>
      <c r="OOX18" s="273"/>
      <c r="OOY18" s="273"/>
      <c r="OOZ18" s="273"/>
      <c r="OPA18" s="273"/>
      <c r="OPB18" s="273"/>
      <c r="OPC18" s="273"/>
      <c r="OPD18" s="273"/>
      <c r="OPE18" s="273"/>
      <c r="OPF18" s="273"/>
      <c r="OPG18" s="273"/>
      <c r="OPH18" s="273"/>
      <c r="OPI18" s="273"/>
      <c r="OPJ18" s="273"/>
      <c r="OPK18" s="273"/>
      <c r="OPL18" s="273"/>
      <c r="OPM18" s="273"/>
      <c r="OPN18" s="273"/>
      <c r="OPO18" s="273"/>
      <c r="OPP18" s="273"/>
      <c r="OPQ18" s="273"/>
      <c r="OPR18" s="273"/>
      <c r="OPS18" s="273"/>
      <c r="OPT18" s="273"/>
      <c r="OPU18" s="273"/>
      <c r="OPV18" s="273"/>
      <c r="OPW18" s="273"/>
      <c r="OPX18" s="273"/>
      <c r="OPY18" s="273"/>
      <c r="OPZ18" s="273"/>
      <c r="OQA18" s="273"/>
      <c r="OQB18" s="273"/>
      <c r="OQC18" s="273"/>
      <c r="OQD18" s="273"/>
      <c r="OQE18" s="273"/>
      <c r="OQF18" s="273"/>
      <c r="OQG18" s="273"/>
      <c r="OQH18" s="273"/>
      <c r="OQI18" s="273"/>
      <c r="OQJ18" s="273"/>
      <c r="OQK18" s="273"/>
      <c r="OQL18" s="273"/>
      <c r="OQM18" s="273"/>
      <c r="OQN18" s="273"/>
      <c r="OQO18" s="273"/>
      <c r="OQP18" s="273"/>
      <c r="OQQ18" s="273"/>
      <c r="OQR18" s="273"/>
      <c r="OQS18" s="273"/>
      <c r="OQT18" s="273"/>
      <c r="OQU18" s="273"/>
      <c r="OQV18" s="273"/>
      <c r="OQW18" s="273"/>
      <c r="OQX18" s="273"/>
      <c r="OQY18" s="273"/>
      <c r="OQZ18" s="273"/>
      <c r="ORA18" s="273"/>
      <c r="ORB18" s="273"/>
      <c r="ORC18" s="273"/>
      <c r="ORD18" s="273"/>
      <c r="ORE18" s="273"/>
      <c r="ORF18" s="273"/>
      <c r="ORG18" s="273"/>
      <c r="ORH18" s="273"/>
      <c r="ORI18" s="273"/>
      <c r="ORJ18" s="273"/>
      <c r="ORK18" s="273"/>
      <c r="ORL18" s="273"/>
      <c r="ORM18" s="273"/>
      <c r="ORN18" s="273"/>
      <c r="ORO18" s="273"/>
      <c r="ORP18" s="273"/>
      <c r="ORQ18" s="273"/>
      <c r="ORR18" s="273"/>
      <c r="ORS18" s="273"/>
      <c r="ORT18" s="273"/>
      <c r="ORU18" s="273"/>
      <c r="ORV18" s="273"/>
      <c r="ORW18" s="273"/>
      <c r="ORX18" s="273"/>
      <c r="ORY18" s="273"/>
      <c r="ORZ18" s="273"/>
      <c r="OSA18" s="273"/>
      <c r="OSB18" s="273"/>
      <c r="OSC18" s="273"/>
      <c r="OSD18" s="273"/>
      <c r="OSE18" s="273"/>
      <c r="OSF18" s="273"/>
      <c r="OSG18" s="273"/>
      <c r="OSH18" s="273"/>
      <c r="OSI18" s="273"/>
      <c r="OSJ18" s="273"/>
      <c r="OSK18" s="273"/>
      <c r="OSL18" s="273"/>
      <c r="OSM18" s="273"/>
      <c r="OSN18" s="273"/>
      <c r="OSO18" s="273"/>
      <c r="OSP18" s="273"/>
      <c r="OSQ18" s="273"/>
      <c r="OSR18" s="273"/>
      <c r="OSS18" s="273"/>
      <c r="OST18" s="273"/>
      <c r="OSU18" s="273"/>
      <c r="OSV18" s="273"/>
      <c r="OSW18" s="273"/>
      <c r="OSX18" s="273"/>
      <c r="OSY18" s="273"/>
      <c r="OSZ18" s="273"/>
      <c r="OTA18" s="273"/>
      <c r="OTB18" s="273"/>
      <c r="OTC18" s="273"/>
      <c r="OTD18" s="273"/>
      <c r="OTE18" s="273"/>
      <c r="OTF18" s="273"/>
      <c r="OTG18" s="273"/>
      <c r="OTH18" s="273"/>
      <c r="OTI18" s="273"/>
      <c r="OTJ18" s="273"/>
      <c r="OTK18" s="273"/>
      <c r="OTL18" s="273"/>
      <c r="OTM18" s="273"/>
      <c r="OTN18" s="273"/>
      <c r="OTO18" s="273"/>
      <c r="OTP18" s="273"/>
      <c r="OTQ18" s="273"/>
      <c r="OTR18" s="273"/>
      <c r="OTS18" s="273"/>
      <c r="OTT18" s="273"/>
      <c r="OTU18" s="273"/>
      <c r="OTV18" s="273"/>
      <c r="OTW18" s="273"/>
      <c r="OTX18" s="273"/>
      <c r="OTY18" s="273"/>
      <c r="OTZ18" s="273"/>
      <c r="OUA18" s="273"/>
      <c r="OUB18" s="273"/>
      <c r="OUC18" s="273"/>
      <c r="OUD18" s="273"/>
      <c r="OUE18" s="273"/>
      <c r="OUF18" s="273"/>
      <c r="OUG18" s="273"/>
      <c r="OUH18" s="273"/>
      <c r="OUI18" s="273"/>
      <c r="OUJ18" s="273"/>
      <c r="OUK18" s="273"/>
      <c r="OUL18" s="273"/>
      <c r="OUM18" s="273"/>
      <c r="OUN18" s="273"/>
      <c r="OUO18" s="273"/>
      <c r="OUP18" s="273"/>
      <c r="OUQ18" s="273"/>
      <c r="OUR18" s="273"/>
      <c r="OUS18" s="273"/>
      <c r="OUT18" s="273"/>
      <c r="OUU18" s="273"/>
      <c r="OUV18" s="273"/>
      <c r="OUW18" s="273"/>
      <c r="OUX18" s="273"/>
      <c r="OUY18" s="273"/>
      <c r="OUZ18" s="273"/>
      <c r="OVA18" s="273"/>
      <c r="OVB18" s="273"/>
      <c r="OVC18" s="273"/>
      <c r="OVD18" s="273"/>
      <c r="OVE18" s="273"/>
      <c r="OVF18" s="273"/>
      <c r="OVG18" s="273"/>
      <c r="OVH18" s="273"/>
      <c r="OVI18" s="273"/>
      <c r="OVJ18" s="273"/>
      <c r="OVK18" s="273"/>
      <c r="OVL18" s="273"/>
      <c r="OVM18" s="273"/>
      <c r="OVN18" s="273"/>
      <c r="OVO18" s="273"/>
      <c r="OVP18" s="273"/>
      <c r="OVQ18" s="273"/>
      <c r="OVR18" s="273"/>
      <c r="OVS18" s="273"/>
      <c r="OVT18" s="273"/>
      <c r="OVU18" s="273"/>
      <c r="OVV18" s="273"/>
      <c r="OVW18" s="273"/>
      <c r="OVX18" s="273"/>
      <c r="OVY18" s="273"/>
      <c r="OVZ18" s="273"/>
      <c r="OWA18" s="273"/>
      <c r="OWB18" s="273"/>
      <c r="OWC18" s="273"/>
      <c r="OWD18" s="273"/>
      <c r="OWE18" s="273"/>
      <c r="OWF18" s="273"/>
      <c r="OWG18" s="273"/>
      <c r="OWH18" s="273"/>
      <c r="OWI18" s="273"/>
      <c r="OWJ18" s="273"/>
      <c r="OWK18" s="273"/>
      <c r="OWL18" s="273"/>
      <c r="OWM18" s="273"/>
      <c r="OWN18" s="273"/>
      <c r="OWO18" s="273"/>
      <c r="OWP18" s="273"/>
      <c r="OWQ18" s="273"/>
      <c r="OWR18" s="273"/>
      <c r="OWS18" s="273"/>
      <c r="OWT18" s="273"/>
      <c r="OWU18" s="273"/>
      <c r="OWV18" s="273"/>
      <c r="OWW18" s="273"/>
      <c r="OWX18" s="273"/>
      <c r="OWY18" s="273"/>
      <c r="OWZ18" s="273"/>
      <c r="OXA18" s="273"/>
      <c r="OXB18" s="273"/>
      <c r="OXC18" s="273"/>
      <c r="OXD18" s="273"/>
      <c r="OXE18" s="273"/>
      <c r="OXF18" s="273"/>
      <c r="OXG18" s="273"/>
      <c r="OXH18" s="273"/>
      <c r="OXI18" s="273"/>
      <c r="OXJ18" s="273"/>
      <c r="OXK18" s="273"/>
      <c r="OXL18" s="273"/>
      <c r="OXM18" s="273"/>
      <c r="OXN18" s="273"/>
      <c r="OXO18" s="273"/>
      <c r="OXP18" s="273"/>
      <c r="OXQ18" s="273"/>
      <c r="OXR18" s="273"/>
      <c r="OXS18" s="273"/>
      <c r="OXT18" s="273"/>
      <c r="OXU18" s="273"/>
      <c r="OXV18" s="273"/>
      <c r="OXW18" s="273"/>
      <c r="OXX18" s="273"/>
      <c r="OXY18" s="273"/>
      <c r="OXZ18" s="273"/>
      <c r="OYA18" s="273"/>
      <c r="OYB18" s="273"/>
      <c r="OYC18" s="273"/>
      <c r="OYD18" s="273"/>
      <c r="OYE18" s="273"/>
      <c r="OYF18" s="273"/>
      <c r="OYG18" s="273"/>
      <c r="OYH18" s="273"/>
      <c r="OYI18" s="273"/>
      <c r="OYJ18" s="273"/>
      <c r="OYK18" s="273"/>
      <c r="OYL18" s="273"/>
      <c r="OYM18" s="273"/>
      <c r="OYN18" s="273"/>
      <c r="OYO18" s="273"/>
      <c r="OYP18" s="273"/>
      <c r="OYQ18" s="273"/>
      <c r="OYR18" s="273"/>
      <c r="OYS18" s="273"/>
      <c r="OYT18" s="273"/>
      <c r="OYU18" s="273"/>
      <c r="OYV18" s="273"/>
      <c r="OYW18" s="273"/>
      <c r="OYX18" s="273"/>
      <c r="OYY18" s="273"/>
      <c r="OYZ18" s="273"/>
      <c r="OZA18" s="273"/>
      <c r="OZB18" s="273"/>
      <c r="OZC18" s="273"/>
      <c r="OZD18" s="273"/>
      <c r="OZE18" s="273"/>
      <c r="OZF18" s="273"/>
      <c r="OZG18" s="273"/>
      <c r="OZH18" s="273"/>
      <c r="OZI18" s="273"/>
      <c r="OZJ18" s="273"/>
      <c r="OZK18" s="273"/>
      <c r="OZL18" s="273"/>
      <c r="OZM18" s="273"/>
      <c r="OZN18" s="273"/>
      <c r="OZO18" s="273"/>
      <c r="OZP18" s="273"/>
      <c r="OZQ18" s="273"/>
      <c r="OZR18" s="273"/>
      <c r="OZS18" s="273"/>
      <c r="OZT18" s="273"/>
      <c r="OZU18" s="273"/>
      <c r="OZV18" s="273"/>
      <c r="OZW18" s="273"/>
      <c r="OZX18" s="273"/>
      <c r="OZY18" s="273"/>
      <c r="OZZ18" s="273"/>
      <c r="PAA18" s="273"/>
      <c r="PAB18" s="273"/>
      <c r="PAC18" s="273"/>
      <c r="PAD18" s="273"/>
      <c r="PAE18" s="273"/>
      <c r="PAF18" s="273"/>
      <c r="PAG18" s="273"/>
      <c r="PAH18" s="273"/>
      <c r="PAI18" s="273"/>
      <c r="PAJ18" s="273"/>
      <c r="PAK18" s="273"/>
      <c r="PAL18" s="273"/>
      <c r="PAM18" s="273"/>
      <c r="PAN18" s="273"/>
      <c r="PAO18" s="273"/>
      <c r="PAP18" s="273"/>
      <c r="PAQ18" s="273"/>
      <c r="PAR18" s="273"/>
      <c r="PAS18" s="273"/>
      <c r="PAT18" s="273"/>
      <c r="PAU18" s="273"/>
      <c r="PAV18" s="273"/>
      <c r="PAW18" s="273"/>
      <c r="PAX18" s="273"/>
      <c r="PAY18" s="273"/>
      <c r="PAZ18" s="273"/>
      <c r="PBA18" s="273"/>
      <c r="PBB18" s="273"/>
      <c r="PBC18" s="273"/>
      <c r="PBD18" s="273"/>
      <c r="PBE18" s="273"/>
      <c r="PBF18" s="273"/>
      <c r="PBG18" s="273"/>
      <c r="PBH18" s="273"/>
      <c r="PBI18" s="273"/>
      <c r="PBJ18" s="273"/>
      <c r="PBK18" s="273"/>
      <c r="PBL18" s="273"/>
      <c r="PBM18" s="273"/>
      <c r="PBN18" s="273"/>
      <c r="PBO18" s="273"/>
      <c r="PBP18" s="273"/>
      <c r="PBQ18" s="273"/>
      <c r="PBR18" s="273"/>
      <c r="PBS18" s="273"/>
      <c r="PBT18" s="273"/>
      <c r="PBU18" s="273"/>
      <c r="PBV18" s="273"/>
      <c r="PBW18" s="273"/>
      <c r="PBX18" s="273"/>
      <c r="PBY18" s="273"/>
      <c r="PBZ18" s="273"/>
      <c r="PCA18" s="273"/>
      <c r="PCB18" s="273"/>
      <c r="PCC18" s="273"/>
      <c r="PCD18" s="273"/>
      <c r="PCE18" s="273"/>
      <c r="PCF18" s="273"/>
      <c r="PCG18" s="273"/>
      <c r="PCH18" s="273"/>
      <c r="PCI18" s="273"/>
      <c r="PCJ18" s="273"/>
      <c r="PCK18" s="273"/>
      <c r="PCL18" s="273"/>
      <c r="PCM18" s="273"/>
      <c r="PCN18" s="273"/>
      <c r="PCO18" s="273"/>
      <c r="PCP18" s="273"/>
      <c r="PCQ18" s="273"/>
      <c r="PCR18" s="273"/>
      <c r="PCS18" s="273"/>
      <c r="PCT18" s="273"/>
      <c r="PCU18" s="273"/>
      <c r="PCV18" s="273"/>
      <c r="PCW18" s="273"/>
      <c r="PCX18" s="273"/>
      <c r="PCY18" s="273"/>
      <c r="PCZ18" s="273"/>
      <c r="PDA18" s="273"/>
      <c r="PDB18" s="273"/>
      <c r="PDC18" s="273"/>
      <c r="PDD18" s="273"/>
      <c r="PDE18" s="273"/>
      <c r="PDF18" s="273"/>
      <c r="PDG18" s="273"/>
      <c r="PDH18" s="273"/>
      <c r="PDI18" s="273"/>
      <c r="PDJ18" s="273"/>
      <c r="PDK18" s="273"/>
      <c r="PDL18" s="273"/>
      <c r="PDM18" s="273"/>
      <c r="PDN18" s="273"/>
      <c r="PDO18" s="273"/>
      <c r="PDP18" s="273"/>
      <c r="PDQ18" s="273"/>
      <c r="PDR18" s="273"/>
      <c r="PDS18" s="273"/>
      <c r="PDT18" s="273"/>
      <c r="PDU18" s="273"/>
      <c r="PDV18" s="273"/>
      <c r="PDW18" s="273"/>
      <c r="PDX18" s="273"/>
      <c r="PDY18" s="273"/>
      <c r="PDZ18" s="273"/>
      <c r="PEA18" s="273"/>
      <c r="PEB18" s="273"/>
      <c r="PEC18" s="273"/>
      <c r="PED18" s="273"/>
      <c r="PEE18" s="273"/>
      <c r="PEF18" s="273"/>
      <c r="PEG18" s="273"/>
      <c r="PEH18" s="273"/>
      <c r="PEI18" s="273"/>
      <c r="PEJ18" s="273"/>
      <c r="PEK18" s="273"/>
      <c r="PEL18" s="273"/>
      <c r="PEM18" s="273"/>
      <c r="PEN18" s="273"/>
      <c r="PEO18" s="273"/>
      <c r="PEP18" s="273"/>
      <c r="PEQ18" s="273"/>
      <c r="PER18" s="273"/>
      <c r="PES18" s="273"/>
      <c r="PET18" s="273"/>
      <c r="PEU18" s="273"/>
      <c r="PEV18" s="273"/>
      <c r="PEW18" s="273"/>
      <c r="PEX18" s="273"/>
      <c r="PEY18" s="273"/>
      <c r="PEZ18" s="273"/>
      <c r="PFA18" s="273"/>
      <c r="PFB18" s="273"/>
      <c r="PFC18" s="273"/>
      <c r="PFD18" s="273"/>
      <c r="PFE18" s="273"/>
      <c r="PFF18" s="273"/>
      <c r="PFG18" s="273"/>
      <c r="PFH18" s="273"/>
      <c r="PFI18" s="273"/>
      <c r="PFJ18" s="273"/>
      <c r="PFK18" s="273"/>
      <c r="PFL18" s="273"/>
      <c r="PFM18" s="273"/>
      <c r="PFN18" s="273"/>
      <c r="PFO18" s="273"/>
      <c r="PFP18" s="273"/>
      <c r="PFQ18" s="273"/>
      <c r="PFR18" s="273"/>
      <c r="PFS18" s="273"/>
      <c r="PFT18" s="273"/>
      <c r="PFU18" s="273"/>
      <c r="PFV18" s="273"/>
      <c r="PFW18" s="273"/>
      <c r="PFX18" s="273"/>
      <c r="PFY18" s="273"/>
      <c r="PFZ18" s="273"/>
      <c r="PGA18" s="273"/>
      <c r="PGB18" s="273"/>
      <c r="PGC18" s="273"/>
      <c r="PGD18" s="273"/>
      <c r="PGE18" s="273"/>
      <c r="PGF18" s="273"/>
      <c r="PGG18" s="273"/>
      <c r="PGH18" s="273"/>
      <c r="PGI18" s="273"/>
      <c r="PGJ18" s="273"/>
      <c r="PGK18" s="273"/>
      <c r="PGL18" s="273"/>
      <c r="PGM18" s="273"/>
      <c r="PGN18" s="273"/>
      <c r="PGO18" s="273"/>
      <c r="PGP18" s="273"/>
      <c r="PGQ18" s="273"/>
      <c r="PGR18" s="273"/>
      <c r="PGS18" s="273"/>
      <c r="PGT18" s="273"/>
      <c r="PGU18" s="273"/>
      <c r="PGV18" s="273"/>
      <c r="PGW18" s="273"/>
      <c r="PGX18" s="273"/>
      <c r="PGY18" s="273"/>
      <c r="PGZ18" s="273"/>
      <c r="PHA18" s="273"/>
      <c r="PHB18" s="273"/>
      <c r="PHC18" s="273"/>
      <c r="PHD18" s="273"/>
      <c r="PHE18" s="273"/>
      <c r="PHF18" s="273"/>
      <c r="PHG18" s="273"/>
      <c r="PHH18" s="273"/>
      <c r="PHI18" s="273"/>
      <c r="PHJ18" s="273"/>
      <c r="PHK18" s="273"/>
      <c r="PHL18" s="273"/>
      <c r="PHM18" s="273"/>
      <c r="PHN18" s="273"/>
      <c r="PHO18" s="273"/>
      <c r="PHP18" s="273"/>
      <c r="PHQ18" s="273"/>
      <c r="PHR18" s="273"/>
      <c r="PHS18" s="273"/>
      <c r="PHT18" s="273"/>
      <c r="PHU18" s="273"/>
      <c r="PHV18" s="273"/>
      <c r="PHW18" s="273"/>
      <c r="PHX18" s="273"/>
      <c r="PHY18" s="273"/>
      <c r="PHZ18" s="273"/>
      <c r="PIA18" s="273"/>
      <c r="PIB18" s="273"/>
      <c r="PIC18" s="273"/>
      <c r="PID18" s="273"/>
      <c r="PIE18" s="273"/>
      <c r="PIF18" s="273"/>
      <c r="PIG18" s="273"/>
      <c r="PIH18" s="273"/>
      <c r="PII18" s="273"/>
      <c r="PIJ18" s="273"/>
      <c r="PIK18" s="273"/>
      <c r="PIL18" s="273"/>
      <c r="PIM18" s="273"/>
      <c r="PIN18" s="273"/>
      <c r="PIO18" s="273"/>
      <c r="PIP18" s="273"/>
      <c r="PIQ18" s="273"/>
      <c r="PIR18" s="273"/>
      <c r="PIS18" s="273"/>
      <c r="PIT18" s="273"/>
      <c r="PIU18" s="273"/>
      <c r="PIV18" s="273"/>
      <c r="PIW18" s="273"/>
      <c r="PIX18" s="273"/>
      <c r="PIY18" s="273"/>
      <c r="PIZ18" s="273"/>
      <c r="PJA18" s="273"/>
      <c r="PJB18" s="273"/>
      <c r="PJC18" s="273"/>
      <c r="PJD18" s="273"/>
      <c r="PJE18" s="273"/>
      <c r="PJF18" s="273"/>
      <c r="PJG18" s="273"/>
      <c r="PJH18" s="273"/>
      <c r="PJI18" s="273"/>
      <c r="PJJ18" s="273"/>
      <c r="PJK18" s="273"/>
      <c r="PJL18" s="273"/>
      <c r="PJM18" s="273"/>
      <c r="PJN18" s="273"/>
      <c r="PJO18" s="273"/>
      <c r="PJP18" s="273"/>
      <c r="PJQ18" s="273"/>
      <c r="PJR18" s="273"/>
      <c r="PJS18" s="273"/>
      <c r="PJT18" s="273"/>
      <c r="PJU18" s="273"/>
      <c r="PJV18" s="273"/>
      <c r="PJW18" s="273"/>
      <c r="PJX18" s="273"/>
      <c r="PJY18" s="273"/>
      <c r="PJZ18" s="273"/>
      <c r="PKA18" s="273"/>
      <c r="PKB18" s="273"/>
      <c r="PKC18" s="273"/>
      <c r="PKD18" s="273"/>
      <c r="PKE18" s="273"/>
      <c r="PKF18" s="273"/>
      <c r="PKG18" s="273"/>
      <c r="PKH18" s="273"/>
      <c r="PKI18" s="273"/>
      <c r="PKJ18" s="273"/>
      <c r="PKK18" s="273"/>
      <c r="PKL18" s="273"/>
      <c r="PKM18" s="273"/>
      <c r="PKN18" s="273"/>
      <c r="PKO18" s="273"/>
      <c r="PKP18" s="273"/>
      <c r="PKQ18" s="273"/>
      <c r="PKR18" s="273"/>
      <c r="PKS18" s="273"/>
      <c r="PKT18" s="273"/>
      <c r="PKU18" s="273"/>
      <c r="PKV18" s="273"/>
      <c r="PKW18" s="273"/>
      <c r="PKX18" s="273"/>
      <c r="PKY18" s="273"/>
      <c r="PKZ18" s="273"/>
      <c r="PLA18" s="273"/>
      <c r="PLB18" s="273"/>
      <c r="PLC18" s="273"/>
      <c r="PLD18" s="273"/>
      <c r="PLE18" s="273"/>
      <c r="PLF18" s="273"/>
      <c r="PLG18" s="273"/>
      <c r="PLH18" s="273"/>
      <c r="PLI18" s="273"/>
      <c r="PLJ18" s="273"/>
      <c r="PLK18" s="273"/>
      <c r="PLL18" s="273"/>
      <c r="PLM18" s="273"/>
      <c r="PLN18" s="273"/>
      <c r="PLO18" s="273"/>
      <c r="PLP18" s="273"/>
      <c r="PLQ18" s="273"/>
      <c r="PLR18" s="273"/>
      <c r="PLS18" s="273"/>
      <c r="PLT18" s="273"/>
      <c r="PLU18" s="273"/>
      <c r="PLV18" s="273"/>
      <c r="PLW18" s="273"/>
      <c r="PLX18" s="273"/>
      <c r="PLY18" s="273"/>
      <c r="PLZ18" s="273"/>
      <c r="PMA18" s="273"/>
      <c r="PMB18" s="273"/>
      <c r="PMC18" s="273"/>
      <c r="PMD18" s="273"/>
      <c r="PME18" s="273"/>
      <c r="PMF18" s="273"/>
      <c r="PMG18" s="273"/>
      <c r="PMH18" s="273"/>
      <c r="PMI18" s="273"/>
      <c r="PMJ18" s="273"/>
      <c r="PMK18" s="273"/>
      <c r="PML18" s="273"/>
      <c r="PMM18" s="273"/>
      <c r="PMN18" s="273"/>
      <c r="PMO18" s="273"/>
      <c r="PMP18" s="273"/>
      <c r="PMQ18" s="273"/>
      <c r="PMR18" s="273"/>
      <c r="PMS18" s="273"/>
      <c r="PMT18" s="273"/>
      <c r="PMU18" s="273"/>
      <c r="PMV18" s="273"/>
      <c r="PMW18" s="273"/>
      <c r="PMX18" s="273"/>
      <c r="PMY18" s="273"/>
      <c r="PMZ18" s="273"/>
      <c r="PNA18" s="273"/>
      <c r="PNB18" s="273"/>
      <c r="PNC18" s="273"/>
      <c r="PND18" s="273"/>
      <c r="PNE18" s="273"/>
      <c r="PNF18" s="273"/>
      <c r="PNG18" s="273"/>
      <c r="PNH18" s="273"/>
      <c r="PNI18" s="273"/>
      <c r="PNJ18" s="273"/>
      <c r="PNK18" s="273"/>
      <c r="PNL18" s="273"/>
      <c r="PNM18" s="273"/>
      <c r="PNN18" s="273"/>
      <c r="PNO18" s="273"/>
      <c r="PNP18" s="273"/>
      <c r="PNQ18" s="273"/>
      <c r="PNR18" s="273"/>
      <c r="PNS18" s="273"/>
      <c r="PNT18" s="273"/>
      <c r="PNU18" s="273"/>
      <c r="PNV18" s="273"/>
      <c r="PNW18" s="273"/>
      <c r="PNX18" s="273"/>
      <c r="PNY18" s="273"/>
      <c r="PNZ18" s="273"/>
      <c r="POA18" s="273"/>
      <c r="POB18" s="273"/>
      <c r="POC18" s="273"/>
      <c r="POD18" s="273"/>
      <c r="POE18" s="273"/>
      <c r="POF18" s="273"/>
      <c r="POG18" s="273"/>
      <c r="POH18" s="273"/>
      <c r="POI18" s="273"/>
      <c r="POJ18" s="273"/>
      <c r="POK18" s="273"/>
      <c r="POL18" s="273"/>
      <c r="POM18" s="273"/>
      <c r="PON18" s="273"/>
      <c r="POO18" s="273"/>
      <c r="POP18" s="273"/>
      <c r="POQ18" s="273"/>
      <c r="POR18" s="273"/>
      <c r="POS18" s="273"/>
      <c r="POT18" s="273"/>
      <c r="POU18" s="273"/>
      <c r="POV18" s="273"/>
      <c r="POW18" s="273"/>
      <c r="POX18" s="273"/>
      <c r="POY18" s="273"/>
      <c r="POZ18" s="273"/>
      <c r="PPA18" s="273"/>
      <c r="PPB18" s="273"/>
      <c r="PPC18" s="273"/>
      <c r="PPD18" s="273"/>
      <c r="PPE18" s="273"/>
      <c r="PPF18" s="273"/>
      <c r="PPG18" s="273"/>
      <c r="PPH18" s="273"/>
      <c r="PPI18" s="273"/>
      <c r="PPJ18" s="273"/>
      <c r="PPK18" s="273"/>
      <c r="PPL18" s="273"/>
      <c r="PPM18" s="273"/>
      <c r="PPN18" s="273"/>
      <c r="PPO18" s="273"/>
      <c r="PPP18" s="273"/>
      <c r="PPQ18" s="273"/>
      <c r="PPR18" s="273"/>
      <c r="PPS18" s="273"/>
      <c r="PPT18" s="273"/>
      <c r="PPU18" s="273"/>
      <c r="PPV18" s="273"/>
      <c r="PPW18" s="273"/>
      <c r="PPX18" s="273"/>
      <c r="PPY18" s="273"/>
      <c r="PPZ18" s="273"/>
      <c r="PQA18" s="273"/>
      <c r="PQB18" s="273"/>
      <c r="PQC18" s="273"/>
      <c r="PQD18" s="273"/>
      <c r="PQE18" s="273"/>
      <c r="PQF18" s="273"/>
      <c r="PQG18" s="273"/>
      <c r="PQH18" s="273"/>
      <c r="PQI18" s="273"/>
      <c r="PQJ18" s="273"/>
      <c r="PQK18" s="273"/>
      <c r="PQL18" s="273"/>
      <c r="PQM18" s="273"/>
      <c r="PQN18" s="273"/>
      <c r="PQO18" s="273"/>
      <c r="PQP18" s="273"/>
      <c r="PQQ18" s="273"/>
      <c r="PQR18" s="273"/>
      <c r="PQS18" s="273"/>
      <c r="PQT18" s="273"/>
      <c r="PQU18" s="273"/>
      <c r="PQV18" s="273"/>
      <c r="PQW18" s="273"/>
      <c r="PQX18" s="273"/>
      <c r="PQY18" s="273"/>
      <c r="PQZ18" s="273"/>
      <c r="PRA18" s="273"/>
      <c r="PRB18" s="273"/>
      <c r="PRC18" s="273"/>
      <c r="PRD18" s="273"/>
      <c r="PRE18" s="273"/>
      <c r="PRF18" s="273"/>
      <c r="PRG18" s="273"/>
      <c r="PRH18" s="273"/>
      <c r="PRI18" s="273"/>
      <c r="PRJ18" s="273"/>
      <c r="PRK18" s="273"/>
      <c r="PRL18" s="273"/>
      <c r="PRM18" s="273"/>
      <c r="PRN18" s="273"/>
      <c r="PRO18" s="273"/>
      <c r="PRP18" s="273"/>
      <c r="PRQ18" s="273"/>
      <c r="PRR18" s="273"/>
      <c r="PRS18" s="273"/>
      <c r="PRT18" s="273"/>
      <c r="PRU18" s="273"/>
      <c r="PRV18" s="273"/>
      <c r="PRW18" s="273"/>
      <c r="PRX18" s="273"/>
      <c r="PRY18" s="273"/>
      <c r="PRZ18" s="273"/>
      <c r="PSA18" s="273"/>
      <c r="PSB18" s="273"/>
      <c r="PSC18" s="273"/>
      <c r="PSD18" s="273"/>
      <c r="PSE18" s="273"/>
      <c r="PSF18" s="273"/>
      <c r="PSG18" s="273"/>
      <c r="PSH18" s="273"/>
      <c r="PSI18" s="273"/>
      <c r="PSJ18" s="273"/>
      <c r="PSK18" s="273"/>
      <c r="PSL18" s="273"/>
      <c r="PSM18" s="273"/>
      <c r="PSN18" s="273"/>
      <c r="PSO18" s="273"/>
      <c r="PSP18" s="273"/>
      <c r="PSQ18" s="273"/>
      <c r="PSR18" s="273"/>
      <c r="PSS18" s="273"/>
      <c r="PST18" s="273"/>
      <c r="PSU18" s="273"/>
      <c r="PSV18" s="273"/>
      <c r="PSW18" s="273"/>
      <c r="PSX18" s="273"/>
      <c r="PSY18" s="273"/>
      <c r="PSZ18" s="273"/>
      <c r="PTA18" s="273"/>
      <c r="PTB18" s="273"/>
      <c r="PTC18" s="273"/>
      <c r="PTD18" s="273"/>
      <c r="PTE18" s="273"/>
      <c r="PTF18" s="273"/>
      <c r="PTG18" s="273"/>
      <c r="PTH18" s="273"/>
      <c r="PTI18" s="273"/>
      <c r="PTJ18" s="273"/>
      <c r="PTK18" s="273"/>
      <c r="PTL18" s="273"/>
      <c r="PTM18" s="273"/>
      <c r="PTN18" s="273"/>
      <c r="PTO18" s="273"/>
      <c r="PTP18" s="273"/>
      <c r="PTQ18" s="273"/>
      <c r="PTR18" s="273"/>
      <c r="PTS18" s="273"/>
      <c r="PTT18" s="273"/>
      <c r="PTU18" s="273"/>
      <c r="PTV18" s="273"/>
      <c r="PTW18" s="273"/>
      <c r="PTX18" s="273"/>
      <c r="PTY18" s="273"/>
      <c r="PTZ18" s="273"/>
      <c r="PUA18" s="273"/>
      <c r="PUB18" s="273"/>
      <c r="PUC18" s="273"/>
      <c r="PUD18" s="273"/>
      <c r="PUE18" s="273"/>
      <c r="PUF18" s="273"/>
      <c r="PUG18" s="273"/>
      <c r="PUH18" s="273"/>
      <c r="PUI18" s="273"/>
      <c r="PUJ18" s="273"/>
      <c r="PUK18" s="273"/>
      <c r="PUL18" s="273"/>
      <c r="PUM18" s="273"/>
      <c r="PUN18" s="273"/>
      <c r="PUO18" s="273"/>
      <c r="PUP18" s="273"/>
      <c r="PUQ18" s="273"/>
      <c r="PUR18" s="273"/>
      <c r="PUS18" s="273"/>
      <c r="PUT18" s="273"/>
      <c r="PUU18" s="273"/>
      <c r="PUV18" s="273"/>
      <c r="PUW18" s="273"/>
      <c r="PUX18" s="273"/>
      <c r="PUY18" s="273"/>
      <c r="PUZ18" s="273"/>
      <c r="PVA18" s="273"/>
      <c r="PVB18" s="273"/>
      <c r="PVC18" s="273"/>
      <c r="PVD18" s="273"/>
      <c r="PVE18" s="273"/>
      <c r="PVF18" s="273"/>
      <c r="PVG18" s="273"/>
      <c r="PVH18" s="273"/>
      <c r="PVI18" s="273"/>
      <c r="PVJ18" s="273"/>
      <c r="PVK18" s="273"/>
      <c r="PVL18" s="273"/>
      <c r="PVM18" s="273"/>
      <c r="PVN18" s="273"/>
      <c r="PVO18" s="273"/>
      <c r="PVP18" s="273"/>
      <c r="PVQ18" s="273"/>
      <c r="PVR18" s="273"/>
      <c r="PVS18" s="273"/>
      <c r="PVT18" s="273"/>
      <c r="PVU18" s="273"/>
      <c r="PVV18" s="273"/>
      <c r="PVW18" s="273"/>
      <c r="PVX18" s="273"/>
      <c r="PVY18" s="273"/>
      <c r="PVZ18" s="273"/>
      <c r="PWA18" s="273"/>
      <c r="PWB18" s="273"/>
      <c r="PWC18" s="273"/>
      <c r="PWD18" s="273"/>
      <c r="PWE18" s="273"/>
      <c r="PWF18" s="273"/>
      <c r="PWG18" s="273"/>
      <c r="PWH18" s="273"/>
      <c r="PWI18" s="273"/>
      <c r="PWJ18" s="273"/>
      <c r="PWK18" s="273"/>
      <c r="PWL18" s="273"/>
      <c r="PWM18" s="273"/>
      <c r="PWN18" s="273"/>
      <c r="PWO18" s="273"/>
      <c r="PWP18" s="273"/>
      <c r="PWQ18" s="273"/>
      <c r="PWR18" s="273"/>
      <c r="PWS18" s="273"/>
      <c r="PWT18" s="273"/>
      <c r="PWU18" s="273"/>
      <c r="PWV18" s="273"/>
      <c r="PWW18" s="273"/>
      <c r="PWX18" s="273"/>
      <c r="PWY18" s="273"/>
      <c r="PWZ18" s="273"/>
      <c r="PXA18" s="273"/>
      <c r="PXB18" s="273"/>
      <c r="PXC18" s="273"/>
      <c r="PXD18" s="273"/>
      <c r="PXE18" s="273"/>
      <c r="PXF18" s="273"/>
      <c r="PXG18" s="273"/>
      <c r="PXH18" s="273"/>
      <c r="PXI18" s="273"/>
      <c r="PXJ18" s="273"/>
      <c r="PXK18" s="273"/>
      <c r="PXL18" s="273"/>
      <c r="PXM18" s="273"/>
      <c r="PXN18" s="273"/>
      <c r="PXO18" s="273"/>
      <c r="PXP18" s="273"/>
      <c r="PXQ18" s="273"/>
      <c r="PXR18" s="273"/>
      <c r="PXS18" s="273"/>
      <c r="PXT18" s="273"/>
      <c r="PXU18" s="273"/>
      <c r="PXV18" s="273"/>
      <c r="PXW18" s="273"/>
      <c r="PXX18" s="273"/>
      <c r="PXY18" s="273"/>
      <c r="PXZ18" s="273"/>
      <c r="PYA18" s="273"/>
      <c r="PYB18" s="273"/>
      <c r="PYC18" s="273"/>
      <c r="PYD18" s="273"/>
      <c r="PYE18" s="273"/>
      <c r="PYF18" s="273"/>
      <c r="PYG18" s="273"/>
      <c r="PYH18" s="273"/>
      <c r="PYI18" s="273"/>
      <c r="PYJ18" s="273"/>
      <c r="PYK18" s="273"/>
      <c r="PYL18" s="273"/>
      <c r="PYM18" s="273"/>
      <c r="PYN18" s="273"/>
      <c r="PYO18" s="273"/>
      <c r="PYP18" s="273"/>
      <c r="PYQ18" s="273"/>
      <c r="PYR18" s="273"/>
      <c r="PYS18" s="273"/>
      <c r="PYT18" s="273"/>
      <c r="PYU18" s="273"/>
      <c r="PYV18" s="273"/>
      <c r="PYW18" s="273"/>
      <c r="PYX18" s="273"/>
      <c r="PYY18" s="273"/>
      <c r="PYZ18" s="273"/>
      <c r="PZA18" s="273"/>
      <c r="PZB18" s="273"/>
      <c r="PZC18" s="273"/>
      <c r="PZD18" s="273"/>
      <c r="PZE18" s="273"/>
      <c r="PZF18" s="273"/>
      <c r="PZG18" s="273"/>
      <c r="PZH18" s="273"/>
      <c r="PZI18" s="273"/>
      <c r="PZJ18" s="273"/>
      <c r="PZK18" s="273"/>
      <c r="PZL18" s="273"/>
      <c r="PZM18" s="273"/>
      <c r="PZN18" s="273"/>
      <c r="PZO18" s="273"/>
      <c r="PZP18" s="273"/>
      <c r="PZQ18" s="273"/>
      <c r="PZR18" s="273"/>
      <c r="PZS18" s="273"/>
      <c r="PZT18" s="273"/>
      <c r="PZU18" s="273"/>
      <c r="PZV18" s="273"/>
      <c r="PZW18" s="273"/>
      <c r="PZX18" s="273"/>
      <c r="PZY18" s="273"/>
      <c r="PZZ18" s="273"/>
      <c r="QAA18" s="273"/>
      <c r="QAB18" s="273"/>
      <c r="QAC18" s="273"/>
      <c r="QAD18" s="273"/>
      <c r="QAE18" s="273"/>
      <c r="QAF18" s="273"/>
      <c r="QAG18" s="273"/>
      <c r="QAH18" s="273"/>
      <c r="QAI18" s="273"/>
      <c r="QAJ18" s="273"/>
      <c r="QAK18" s="273"/>
      <c r="QAL18" s="273"/>
      <c r="QAM18" s="273"/>
      <c r="QAN18" s="273"/>
      <c r="QAO18" s="273"/>
      <c r="QAP18" s="273"/>
      <c r="QAQ18" s="273"/>
      <c r="QAR18" s="273"/>
      <c r="QAS18" s="273"/>
      <c r="QAT18" s="273"/>
      <c r="QAU18" s="273"/>
      <c r="QAV18" s="273"/>
      <c r="QAW18" s="273"/>
      <c r="QAX18" s="273"/>
      <c r="QAY18" s="273"/>
      <c r="QAZ18" s="273"/>
      <c r="QBA18" s="273"/>
      <c r="QBB18" s="273"/>
      <c r="QBC18" s="273"/>
      <c r="QBD18" s="273"/>
      <c r="QBE18" s="273"/>
      <c r="QBF18" s="273"/>
      <c r="QBG18" s="273"/>
      <c r="QBH18" s="273"/>
      <c r="QBI18" s="273"/>
      <c r="QBJ18" s="273"/>
      <c r="QBK18" s="273"/>
      <c r="QBL18" s="273"/>
      <c r="QBM18" s="273"/>
      <c r="QBN18" s="273"/>
      <c r="QBO18" s="273"/>
      <c r="QBP18" s="273"/>
      <c r="QBQ18" s="273"/>
      <c r="QBR18" s="273"/>
      <c r="QBS18" s="273"/>
      <c r="QBT18" s="273"/>
      <c r="QBU18" s="273"/>
      <c r="QBV18" s="273"/>
      <c r="QBW18" s="273"/>
      <c r="QBX18" s="273"/>
      <c r="QBY18" s="273"/>
      <c r="QBZ18" s="273"/>
      <c r="QCA18" s="273"/>
      <c r="QCB18" s="273"/>
      <c r="QCC18" s="273"/>
      <c r="QCD18" s="273"/>
      <c r="QCE18" s="273"/>
      <c r="QCF18" s="273"/>
      <c r="QCG18" s="273"/>
      <c r="QCH18" s="273"/>
      <c r="QCI18" s="273"/>
      <c r="QCJ18" s="273"/>
      <c r="QCK18" s="273"/>
      <c r="QCL18" s="273"/>
      <c r="QCM18" s="273"/>
      <c r="QCN18" s="273"/>
      <c r="QCO18" s="273"/>
      <c r="QCP18" s="273"/>
      <c r="QCQ18" s="273"/>
      <c r="QCR18" s="273"/>
      <c r="QCS18" s="273"/>
      <c r="QCT18" s="273"/>
      <c r="QCU18" s="273"/>
      <c r="QCV18" s="273"/>
      <c r="QCW18" s="273"/>
      <c r="QCX18" s="273"/>
      <c r="QCY18" s="273"/>
      <c r="QCZ18" s="273"/>
      <c r="QDA18" s="273"/>
      <c r="QDB18" s="273"/>
      <c r="QDC18" s="273"/>
      <c r="QDD18" s="273"/>
      <c r="QDE18" s="273"/>
      <c r="QDF18" s="273"/>
      <c r="QDG18" s="273"/>
      <c r="QDH18" s="273"/>
      <c r="QDI18" s="273"/>
      <c r="QDJ18" s="273"/>
      <c r="QDK18" s="273"/>
      <c r="QDL18" s="273"/>
      <c r="QDM18" s="273"/>
      <c r="QDN18" s="273"/>
      <c r="QDO18" s="273"/>
      <c r="QDP18" s="273"/>
      <c r="QDQ18" s="273"/>
      <c r="QDR18" s="273"/>
      <c r="QDS18" s="273"/>
      <c r="QDT18" s="273"/>
      <c r="QDU18" s="273"/>
      <c r="QDV18" s="273"/>
      <c r="QDW18" s="273"/>
      <c r="QDX18" s="273"/>
      <c r="QDY18" s="273"/>
      <c r="QDZ18" s="273"/>
      <c r="QEA18" s="273"/>
      <c r="QEB18" s="273"/>
      <c r="QEC18" s="273"/>
      <c r="QED18" s="273"/>
      <c r="QEE18" s="273"/>
      <c r="QEF18" s="273"/>
      <c r="QEG18" s="273"/>
      <c r="QEH18" s="273"/>
      <c r="QEI18" s="273"/>
      <c r="QEJ18" s="273"/>
      <c r="QEK18" s="273"/>
      <c r="QEL18" s="273"/>
      <c r="QEM18" s="273"/>
      <c r="QEN18" s="273"/>
      <c r="QEO18" s="273"/>
      <c r="QEP18" s="273"/>
      <c r="QEQ18" s="273"/>
      <c r="QER18" s="273"/>
      <c r="QES18" s="273"/>
      <c r="QET18" s="273"/>
      <c r="QEU18" s="273"/>
      <c r="QEV18" s="273"/>
      <c r="QEW18" s="273"/>
      <c r="QEX18" s="273"/>
      <c r="QEY18" s="273"/>
      <c r="QEZ18" s="273"/>
      <c r="QFA18" s="273"/>
      <c r="QFB18" s="273"/>
      <c r="QFC18" s="273"/>
      <c r="QFD18" s="273"/>
      <c r="QFE18" s="273"/>
      <c r="QFF18" s="273"/>
      <c r="QFG18" s="273"/>
      <c r="QFH18" s="273"/>
      <c r="QFI18" s="273"/>
      <c r="QFJ18" s="273"/>
      <c r="QFK18" s="273"/>
      <c r="QFL18" s="273"/>
      <c r="QFM18" s="273"/>
      <c r="QFN18" s="273"/>
      <c r="QFO18" s="273"/>
      <c r="QFP18" s="273"/>
      <c r="QFQ18" s="273"/>
      <c r="QFR18" s="273"/>
      <c r="QFS18" s="273"/>
      <c r="QFT18" s="273"/>
      <c r="QFU18" s="273"/>
      <c r="QFV18" s="273"/>
      <c r="QFW18" s="273"/>
      <c r="QFX18" s="273"/>
      <c r="QFY18" s="273"/>
      <c r="QFZ18" s="273"/>
      <c r="QGA18" s="273"/>
      <c r="QGB18" s="273"/>
      <c r="QGC18" s="273"/>
      <c r="QGD18" s="273"/>
      <c r="QGE18" s="273"/>
      <c r="QGF18" s="273"/>
      <c r="QGG18" s="273"/>
      <c r="QGH18" s="273"/>
      <c r="QGI18" s="273"/>
      <c r="QGJ18" s="273"/>
      <c r="QGK18" s="273"/>
      <c r="QGL18" s="273"/>
      <c r="QGM18" s="273"/>
      <c r="QGN18" s="273"/>
      <c r="QGO18" s="273"/>
      <c r="QGP18" s="273"/>
      <c r="QGQ18" s="273"/>
      <c r="QGR18" s="273"/>
      <c r="QGS18" s="273"/>
      <c r="QGT18" s="273"/>
      <c r="QGU18" s="273"/>
      <c r="QGV18" s="273"/>
      <c r="QGW18" s="273"/>
      <c r="QGX18" s="273"/>
      <c r="QGY18" s="273"/>
      <c r="QGZ18" s="273"/>
      <c r="QHA18" s="273"/>
      <c r="QHB18" s="273"/>
      <c r="QHC18" s="273"/>
      <c r="QHD18" s="273"/>
      <c r="QHE18" s="273"/>
      <c r="QHF18" s="273"/>
      <c r="QHG18" s="273"/>
      <c r="QHH18" s="273"/>
      <c r="QHI18" s="273"/>
      <c r="QHJ18" s="273"/>
      <c r="QHK18" s="273"/>
      <c r="QHL18" s="273"/>
      <c r="QHM18" s="273"/>
      <c r="QHN18" s="273"/>
      <c r="QHO18" s="273"/>
      <c r="QHP18" s="273"/>
      <c r="QHQ18" s="273"/>
      <c r="QHR18" s="273"/>
      <c r="QHS18" s="273"/>
      <c r="QHT18" s="273"/>
      <c r="QHU18" s="273"/>
      <c r="QHV18" s="273"/>
      <c r="QHW18" s="273"/>
      <c r="QHX18" s="273"/>
      <c r="QHY18" s="273"/>
      <c r="QHZ18" s="273"/>
      <c r="QIA18" s="273"/>
      <c r="QIB18" s="273"/>
      <c r="QIC18" s="273"/>
      <c r="QID18" s="273"/>
      <c r="QIE18" s="273"/>
      <c r="QIF18" s="273"/>
      <c r="QIG18" s="273"/>
      <c r="QIH18" s="273"/>
      <c r="QII18" s="273"/>
      <c r="QIJ18" s="273"/>
      <c r="QIK18" s="273"/>
      <c r="QIL18" s="273"/>
      <c r="QIM18" s="273"/>
      <c r="QIN18" s="273"/>
      <c r="QIO18" s="273"/>
      <c r="QIP18" s="273"/>
      <c r="QIQ18" s="273"/>
      <c r="QIR18" s="273"/>
      <c r="QIS18" s="273"/>
      <c r="QIT18" s="273"/>
      <c r="QIU18" s="273"/>
      <c r="QIV18" s="273"/>
      <c r="QIW18" s="273"/>
      <c r="QIX18" s="273"/>
      <c r="QIY18" s="273"/>
      <c r="QIZ18" s="273"/>
      <c r="QJA18" s="273"/>
      <c r="QJB18" s="273"/>
      <c r="QJC18" s="273"/>
      <c r="QJD18" s="273"/>
      <c r="QJE18" s="273"/>
      <c r="QJF18" s="273"/>
      <c r="QJG18" s="273"/>
      <c r="QJH18" s="273"/>
      <c r="QJI18" s="273"/>
      <c r="QJJ18" s="273"/>
      <c r="QJK18" s="273"/>
      <c r="QJL18" s="273"/>
      <c r="QJM18" s="273"/>
      <c r="QJN18" s="273"/>
      <c r="QJO18" s="273"/>
      <c r="QJP18" s="273"/>
      <c r="QJQ18" s="273"/>
      <c r="QJR18" s="273"/>
      <c r="QJS18" s="273"/>
      <c r="QJT18" s="273"/>
      <c r="QJU18" s="273"/>
      <c r="QJV18" s="273"/>
      <c r="QJW18" s="273"/>
      <c r="QJX18" s="273"/>
      <c r="QJY18" s="273"/>
      <c r="QJZ18" s="273"/>
      <c r="QKA18" s="273"/>
      <c r="QKB18" s="273"/>
      <c r="QKC18" s="273"/>
      <c r="QKD18" s="273"/>
      <c r="QKE18" s="273"/>
      <c r="QKF18" s="273"/>
      <c r="QKG18" s="273"/>
      <c r="QKH18" s="273"/>
      <c r="QKI18" s="273"/>
      <c r="QKJ18" s="273"/>
      <c r="QKK18" s="273"/>
      <c r="QKL18" s="273"/>
      <c r="QKM18" s="273"/>
      <c r="QKN18" s="273"/>
      <c r="QKO18" s="273"/>
      <c r="QKP18" s="273"/>
      <c r="QKQ18" s="273"/>
      <c r="QKR18" s="273"/>
      <c r="QKS18" s="273"/>
      <c r="QKT18" s="273"/>
      <c r="QKU18" s="273"/>
      <c r="QKV18" s="273"/>
      <c r="QKW18" s="273"/>
      <c r="QKX18" s="273"/>
      <c r="QKY18" s="273"/>
      <c r="QKZ18" s="273"/>
      <c r="QLA18" s="273"/>
      <c r="QLB18" s="273"/>
      <c r="QLC18" s="273"/>
      <c r="QLD18" s="273"/>
      <c r="QLE18" s="273"/>
      <c r="QLF18" s="273"/>
      <c r="QLG18" s="273"/>
      <c r="QLH18" s="273"/>
      <c r="QLI18" s="273"/>
      <c r="QLJ18" s="273"/>
      <c r="QLK18" s="273"/>
      <c r="QLL18" s="273"/>
      <c r="QLM18" s="273"/>
      <c r="QLN18" s="273"/>
      <c r="QLO18" s="273"/>
      <c r="QLP18" s="273"/>
      <c r="QLQ18" s="273"/>
      <c r="QLR18" s="273"/>
      <c r="QLS18" s="273"/>
      <c r="QLT18" s="273"/>
      <c r="QLU18" s="273"/>
      <c r="QLV18" s="273"/>
      <c r="QLW18" s="273"/>
      <c r="QLX18" s="273"/>
      <c r="QLY18" s="273"/>
      <c r="QLZ18" s="273"/>
      <c r="QMA18" s="273"/>
      <c r="QMB18" s="273"/>
      <c r="QMC18" s="273"/>
      <c r="QMD18" s="273"/>
      <c r="QME18" s="273"/>
      <c r="QMF18" s="273"/>
      <c r="QMG18" s="273"/>
      <c r="QMH18" s="273"/>
      <c r="QMI18" s="273"/>
      <c r="QMJ18" s="273"/>
      <c r="QMK18" s="273"/>
      <c r="QML18" s="273"/>
      <c r="QMM18" s="273"/>
      <c r="QMN18" s="273"/>
      <c r="QMO18" s="273"/>
      <c r="QMP18" s="273"/>
      <c r="QMQ18" s="273"/>
      <c r="QMR18" s="273"/>
      <c r="QMS18" s="273"/>
      <c r="QMT18" s="273"/>
      <c r="QMU18" s="273"/>
      <c r="QMV18" s="273"/>
      <c r="QMW18" s="273"/>
      <c r="QMX18" s="273"/>
      <c r="QMY18" s="273"/>
      <c r="QMZ18" s="273"/>
      <c r="QNA18" s="273"/>
      <c r="QNB18" s="273"/>
      <c r="QNC18" s="273"/>
      <c r="QND18" s="273"/>
      <c r="QNE18" s="273"/>
      <c r="QNF18" s="273"/>
      <c r="QNG18" s="273"/>
      <c r="QNH18" s="273"/>
      <c r="QNI18" s="273"/>
      <c r="QNJ18" s="273"/>
      <c r="QNK18" s="273"/>
      <c r="QNL18" s="273"/>
      <c r="QNM18" s="273"/>
      <c r="QNN18" s="273"/>
      <c r="QNO18" s="273"/>
      <c r="QNP18" s="273"/>
      <c r="QNQ18" s="273"/>
      <c r="QNR18" s="273"/>
      <c r="QNS18" s="273"/>
      <c r="QNT18" s="273"/>
      <c r="QNU18" s="273"/>
      <c r="QNV18" s="273"/>
      <c r="QNW18" s="273"/>
      <c r="QNX18" s="273"/>
      <c r="QNY18" s="273"/>
      <c r="QNZ18" s="273"/>
      <c r="QOA18" s="273"/>
      <c r="QOB18" s="273"/>
      <c r="QOC18" s="273"/>
      <c r="QOD18" s="273"/>
      <c r="QOE18" s="273"/>
      <c r="QOF18" s="273"/>
      <c r="QOG18" s="273"/>
      <c r="QOH18" s="273"/>
      <c r="QOI18" s="273"/>
      <c r="QOJ18" s="273"/>
      <c r="QOK18" s="273"/>
      <c r="QOL18" s="273"/>
      <c r="QOM18" s="273"/>
      <c r="QON18" s="273"/>
      <c r="QOO18" s="273"/>
      <c r="QOP18" s="273"/>
      <c r="QOQ18" s="273"/>
      <c r="QOR18" s="273"/>
      <c r="QOS18" s="273"/>
      <c r="QOT18" s="273"/>
      <c r="QOU18" s="273"/>
      <c r="QOV18" s="273"/>
      <c r="QOW18" s="273"/>
      <c r="QOX18" s="273"/>
      <c r="QOY18" s="273"/>
      <c r="QOZ18" s="273"/>
      <c r="QPA18" s="273"/>
      <c r="QPB18" s="273"/>
      <c r="QPC18" s="273"/>
      <c r="QPD18" s="273"/>
      <c r="QPE18" s="273"/>
      <c r="QPF18" s="273"/>
      <c r="QPG18" s="273"/>
      <c r="QPH18" s="273"/>
      <c r="QPI18" s="273"/>
      <c r="QPJ18" s="273"/>
      <c r="QPK18" s="273"/>
      <c r="QPL18" s="273"/>
      <c r="QPM18" s="273"/>
      <c r="QPN18" s="273"/>
      <c r="QPO18" s="273"/>
      <c r="QPP18" s="273"/>
      <c r="QPQ18" s="273"/>
      <c r="QPR18" s="273"/>
      <c r="QPS18" s="273"/>
      <c r="QPT18" s="273"/>
      <c r="QPU18" s="273"/>
      <c r="QPV18" s="273"/>
      <c r="QPW18" s="273"/>
      <c r="QPX18" s="273"/>
      <c r="QPY18" s="273"/>
      <c r="QPZ18" s="273"/>
      <c r="QQA18" s="273"/>
      <c r="QQB18" s="273"/>
      <c r="QQC18" s="273"/>
      <c r="QQD18" s="273"/>
      <c r="QQE18" s="273"/>
      <c r="QQF18" s="273"/>
      <c r="QQG18" s="273"/>
      <c r="QQH18" s="273"/>
      <c r="QQI18" s="273"/>
      <c r="QQJ18" s="273"/>
      <c r="QQK18" s="273"/>
      <c r="QQL18" s="273"/>
      <c r="QQM18" s="273"/>
      <c r="QQN18" s="273"/>
      <c r="QQO18" s="273"/>
      <c r="QQP18" s="273"/>
      <c r="QQQ18" s="273"/>
      <c r="QQR18" s="273"/>
      <c r="QQS18" s="273"/>
      <c r="QQT18" s="273"/>
      <c r="QQU18" s="273"/>
      <c r="QQV18" s="273"/>
      <c r="QQW18" s="273"/>
      <c r="QQX18" s="273"/>
      <c r="QQY18" s="273"/>
      <c r="QQZ18" s="273"/>
      <c r="QRA18" s="273"/>
      <c r="QRB18" s="273"/>
      <c r="QRC18" s="273"/>
      <c r="QRD18" s="273"/>
      <c r="QRE18" s="273"/>
      <c r="QRF18" s="273"/>
      <c r="QRG18" s="273"/>
      <c r="QRH18" s="273"/>
      <c r="QRI18" s="273"/>
      <c r="QRJ18" s="273"/>
      <c r="QRK18" s="273"/>
      <c r="QRL18" s="273"/>
      <c r="QRM18" s="273"/>
      <c r="QRN18" s="273"/>
      <c r="QRO18" s="273"/>
      <c r="QRP18" s="273"/>
      <c r="QRQ18" s="273"/>
      <c r="QRR18" s="273"/>
      <c r="QRS18" s="273"/>
      <c r="QRT18" s="273"/>
      <c r="QRU18" s="273"/>
      <c r="QRV18" s="273"/>
      <c r="QRW18" s="273"/>
      <c r="QRX18" s="273"/>
      <c r="QRY18" s="273"/>
      <c r="QRZ18" s="273"/>
      <c r="QSA18" s="273"/>
      <c r="QSB18" s="273"/>
      <c r="QSC18" s="273"/>
      <c r="QSD18" s="273"/>
      <c r="QSE18" s="273"/>
      <c r="QSF18" s="273"/>
      <c r="QSG18" s="273"/>
      <c r="QSH18" s="273"/>
      <c r="QSI18" s="273"/>
      <c r="QSJ18" s="273"/>
      <c r="QSK18" s="273"/>
      <c r="QSL18" s="273"/>
      <c r="QSM18" s="273"/>
      <c r="QSN18" s="273"/>
      <c r="QSO18" s="273"/>
      <c r="QSP18" s="273"/>
      <c r="QSQ18" s="273"/>
      <c r="QSR18" s="273"/>
      <c r="QSS18" s="273"/>
      <c r="QST18" s="273"/>
      <c r="QSU18" s="273"/>
      <c r="QSV18" s="273"/>
      <c r="QSW18" s="273"/>
      <c r="QSX18" s="273"/>
      <c r="QSY18" s="273"/>
      <c r="QSZ18" s="273"/>
      <c r="QTA18" s="273"/>
      <c r="QTB18" s="273"/>
      <c r="QTC18" s="273"/>
      <c r="QTD18" s="273"/>
      <c r="QTE18" s="273"/>
      <c r="QTF18" s="273"/>
      <c r="QTG18" s="273"/>
      <c r="QTH18" s="273"/>
      <c r="QTI18" s="273"/>
      <c r="QTJ18" s="273"/>
      <c r="QTK18" s="273"/>
      <c r="QTL18" s="273"/>
      <c r="QTM18" s="273"/>
      <c r="QTN18" s="273"/>
      <c r="QTO18" s="273"/>
      <c r="QTP18" s="273"/>
      <c r="QTQ18" s="273"/>
      <c r="QTR18" s="273"/>
      <c r="QTS18" s="273"/>
      <c r="QTT18" s="273"/>
      <c r="QTU18" s="273"/>
      <c r="QTV18" s="273"/>
      <c r="QTW18" s="273"/>
      <c r="QTX18" s="273"/>
      <c r="QTY18" s="273"/>
      <c r="QTZ18" s="273"/>
      <c r="QUA18" s="273"/>
      <c r="QUB18" s="273"/>
      <c r="QUC18" s="273"/>
      <c r="QUD18" s="273"/>
      <c r="QUE18" s="273"/>
      <c r="QUF18" s="273"/>
      <c r="QUG18" s="273"/>
      <c r="QUH18" s="273"/>
      <c r="QUI18" s="273"/>
      <c r="QUJ18" s="273"/>
      <c r="QUK18" s="273"/>
      <c r="QUL18" s="273"/>
      <c r="QUM18" s="273"/>
      <c r="QUN18" s="273"/>
      <c r="QUO18" s="273"/>
      <c r="QUP18" s="273"/>
      <c r="QUQ18" s="273"/>
      <c r="QUR18" s="273"/>
      <c r="QUS18" s="273"/>
      <c r="QUT18" s="273"/>
      <c r="QUU18" s="273"/>
      <c r="QUV18" s="273"/>
      <c r="QUW18" s="273"/>
      <c r="QUX18" s="273"/>
      <c r="QUY18" s="273"/>
      <c r="QUZ18" s="273"/>
      <c r="QVA18" s="273"/>
      <c r="QVB18" s="273"/>
      <c r="QVC18" s="273"/>
      <c r="QVD18" s="273"/>
      <c r="QVE18" s="273"/>
      <c r="QVF18" s="273"/>
      <c r="QVG18" s="273"/>
      <c r="QVH18" s="273"/>
      <c r="QVI18" s="273"/>
      <c r="QVJ18" s="273"/>
      <c r="QVK18" s="273"/>
      <c r="QVL18" s="273"/>
      <c r="QVM18" s="273"/>
      <c r="QVN18" s="273"/>
      <c r="QVO18" s="273"/>
      <c r="QVP18" s="273"/>
      <c r="QVQ18" s="273"/>
      <c r="QVR18" s="273"/>
      <c r="QVS18" s="273"/>
      <c r="QVT18" s="273"/>
      <c r="QVU18" s="273"/>
      <c r="QVV18" s="273"/>
      <c r="QVW18" s="273"/>
      <c r="QVX18" s="273"/>
      <c r="QVY18" s="273"/>
      <c r="QVZ18" s="273"/>
      <c r="QWA18" s="273"/>
      <c r="QWB18" s="273"/>
      <c r="QWC18" s="273"/>
      <c r="QWD18" s="273"/>
      <c r="QWE18" s="273"/>
      <c r="QWF18" s="273"/>
      <c r="QWG18" s="273"/>
      <c r="QWH18" s="273"/>
      <c r="QWI18" s="273"/>
      <c r="QWJ18" s="273"/>
      <c r="QWK18" s="273"/>
      <c r="QWL18" s="273"/>
      <c r="QWM18" s="273"/>
      <c r="QWN18" s="273"/>
      <c r="QWO18" s="273"/>
      <c r="QWP18" s="273"/>
      <c r="QWQ18" s="273"/>
      <c r="QWR18" s="273"/>
      <c r="QWS18" s="273"/>
      <c r="QWT18" s="273"/>
      <c r="QWU18" s="273"/>
      <c r="QWV18" s="273"/>
      <c r="QWW18" s="273"/>
      <c r="QWX18" s="273"/>
      <c r="QWY18" s="273"/>
      <c r="QWZ18" s="273"/>
      <c r="QXA18" s="273"/>
      <c r="QXB18" s="273"/>
      <c r="QXC18" s="273"/>
      <c r="QXD18" s="273"/>
      <c r="QXE18" s="273"/>
      <c r="QXF18" s="273"/>
      <c r="QXG18" s="273"/>
      <c r="QXH18" s="273"/>
      <c r="QXI18" s="273"/>
      <c r="QXJ18" s="273"/>
      <c r="QXK18" s="273"/>
      <c r="QXL18" s="273"/>
      <c r="QXM18" s="273"/>
      <c r="QXN18" s="273"/>
      <c r="QXO18" s="273"/>
      <c r="QXP18" s="273"/>
      <c r="QXQ18" s="273"/>
      <c r="QXR18" s="273"/>
      <c r="QXS18" s="273"/>
      <c r="QXT18" s="273"/>
      <c r="QXU18" s="273"/>
      <c r="QXV18" s="273"/>
      <c r="QXW18" s="273"/>
      <c r="QXX18" s="273"/>
      <c r="QXY18" s="273"/>
      <c r="QXZ18" s="273"/>
      <c r="QYA18" s="273"/>
      <c r="QYB18" s="273"/>
      <c r="QYC18" s="273"/>
      <c r="QYD18" s="273"/>
      <c r="QYE18" s="273"/>
      <c r="QYF18" s="273"/>
      <c r="QYG18" s="273"/>
      <c r="QYH18" s="273"/>
      <c r="QYI18" s="273"/>
      <c r="QYJ18" s="273"/>
      <c r="QYK18" s="273"/>
      <c r="QYL18" s="273"/>
      <c r="QYM18" s="273"/>
      <c r="QYN18" s="273"/>
      <c r="QYO18" s="273"/>
      <c r="QYP18" s="273"/>
      <c r="QYQ18" s="273"/>
      <c r="QYR18" s="273"/>
      <c r="QYS18" s="273"/>
      <c r="QYT18" s="273"/>
      <c r="QYU18" s="273"/>
      <c r="QYV18" s="273"/>
      <c r="QYW18" s="273"/>
      <c r="QYX18" s="273"/>
      <c r="QYY18" s="273"/>
      <c r="QYZ18" s="273"/>
      <c r="QZA18" s="273"/>
      <c r="QZB18" s="273"/>
      <c r="QZC18" s="273"/>
      <c r="QZD18" s="273"/>
      <c r="QZE18" s="273"/>
      <c r="QZF18" s="273"/>
      <c r="QZG18" s="273"/>
      <c r="QZH18" s="273"/>
      <c r="QZI18" s="273"/>
      <c r="QZJ18" s="273"/>
      <c r="QZK18" s="273"/>
      <c r="QZL18" s="273"/>
      <c r="QZM18" s="273"/>
      <c r="QZN18" s="273"/>
      <c r="QZO18" s="273"/>
      <c r="QZP18" s="273"/>
      <c r="QZQ18" s="273"/>
      <c r="QZR18" s="273"/>
      <c r="QZS18" s="273"/>
      <c r="QZT18" s="273"/>
      <c r="QZU18" s="273"/>
      <c r="QZV18" s="273"/>
      <c r="QZW18" s="273"/>
      <c r="QZX18" s="273"/>
      <c r="QZY18" s="273"/>
      <c r="QZZ18" s="273"/>
      <c r="RAA18" s="273"/>
      <c r="RAB18" s="273"/>
      <c r="RAC18" s="273"/>
      <c r="RAD18" s="273"/>
      <c r="RAE18" s="273"/>
      <c r="RAF18" s="273"/>
      <c r="RAG18" s="273"/>
      <c r="RAH18" s="273"/>
      <c r="RAI18" s="273"/>
      <c r="RAJ18" s="273"/>
      <c r="RAK18" s="273"/>
      <c r="RAL18" s="273"/>
      <c r="RAM18" s="273"/>
      <c r="RAN18" s="273"/>
      <c r="RAO18" s="273"/>
      <c r="RAP18" s="273"/>
      <c r="RAQ18" s="273"/>
      <c r="RAR18" s="273"/>
      <c r="RAS18" s="273"/>
      <c r="RAT18" s="273"/>
      <c r="RAU18" s="273"/>
      <c r="RAV18" s="273"/>
      <c r="RAW18" s="273"/>
      <c r="RAX18" s="273"/>
      <c r="RAY18" s="273"/>
      <c r="RAZ18" s="273"/>
      <c r="RBA18" s="273"/>
      <c r="RBB18" s="273"/>
      <c r="RBC18" s="273"/>
      <c r="RBD18" s="273"/>
      <c r="RBE18" s="273"/>
      <c r="RBF18" s="273"/>
      <c r="RBG18" s="273"/>
      <c r="RBH18" s="273"/>
      <c r="RBI18" s="273"/>
      <c r="RBJ18" s="273"/>
      <c r="RBK18" s="273"/>
      <c r="RBL18" s="273"/>
      <c r="RBM18" s="273"/>
      <c r="RBN18" s="273"/>
      <c r="RBO18" s="273"/>
      <c r="RBP18" s="273"/>
      <c r="RBQ18" s="273"/>
      <c r="RBR18" s="273"/>
      <c r="RBS18" s="273"/>
      <c r="RBT18" s="273"/>
      <c r="RBU18" s="273"/>
      <c r="RBV18" s="273"/>
      <c r="RBW18" s="273"/>
      <c r="RBX18" s="273"/>
      <c r="RBY18" s="273"/>
      <c r="RBZ18" s="273"/>
      <c r="RCA18" s="273"/>
      <c r="RCB18" s="273"/>
      <c r="RCC18" s="273"/>
      <c r="RCD18" s="273"/>
      <c r="RCE18" s="273"/>
      <c r="RCF18" s="273"/>
      <c r="RCG18" s="273"/>
      <c r="RCH18" s="273"/>
      <c r="RCI18" s="273"/>
      <c r="RCJ18" s="273"/>
      <c r="RCK18" s="273"/>
      <c r="RCL18" s="273"/>
      <c r="RCM18" s="273"/>
      <c r="RCN18" s="273"/>
      <c r="RCO18" s="273"/>
      <c r="RCP18" s="273"/>
      <c r="RCQ18" s="273"/>
      <c r="RCR18" s="273"/>
      <c r="RCS18" s="273"/>
      <c r="RCT18" s="273"/>
      <c r="RCU18" s="273"/>
      <c r="RCV18" s="273"/>
      <c r="RCW18" s="273"/>
      <c r="RCX18" s="273"/>
      <c r="RCY18" s="273"/>
      <c r="RCZ18" s="273"/>
      <c r="RDA18" s="273"/>
      <c r="RDB18" s="273"/>
      <c r="RDC18" s="273"/>
      <c r="RDD18" s="273"/>
      <c r="RDE18" s="273"/>
      <c r="RDF18" s="273"/>
      <c r="RDG18" s="273"/>
      <c r="RDH18" s="273"/>
      <c r="RDI18" s="273"/>
      <c r="RDJ18" s="273"/>
      <c r="RDK18" s="273"/>
      <c r="RDL18" s="273"/>
      <c r="RDM18" s="273"/>
      <c r="RDN18" s="273"/>
      <c r="RDO18" s="273"/>
      <c r="RDP18" s="273"/>
      <c r="RDQ18" s="273"/>
      <c r="RDR18" s="273"/>
      <c r="RDS18" s="273"/>
      <c r="RDT18" s="273"/>
      <c r="RDU18" s="273"/>
      <c r="RDV18" s="273"/>
      <c r="RDW18" s="273"/>
      <c r="RDX18" s="273"/>
      <c r="RDY18" s="273"/>
      <c r="RDZ18" s="273"/>
      <c r="REA18" s="273"/>
      <c r="REB18" s="273"/>
      <c r="REC18" s="273"/>
      <c r="RED18" s="273"/>
      <c r="REE18" s="273"/>
      <c r="REF18" s="273"/>
      <c r="REG18" s="273"/>
      <c r="REH18" s="273"/>
      <c r="REI18" s="273"/>
      <c r="REJ18" s="273"/>
      <c r="REK18" s="273"/>
      <c r="REL18" s="273"/>
      <c r="REM18" s="273"/>
      <c r="REN18" s="273"/>
      <c r="REO18" s="273"/>
      <c r="REP18" s="273"/>
      <c r="REQ18" s="273"/>
      <c r="RER18" s="273"/>
      <c r="RES18" s="273"/>
      <c r="RET18" s="273"/>
      <c r="REU18" s="273"/>
      <c r="REV18" s="273"/>
      <c r="REW18" s="273"/>
      <c r="REX18" s="273"/>
      <c r="REY18" s="273"/>
      <c r="REZ18" s="273"/>
      <c r="RFA18" s="273"/>
      <c r="RFB18" s="273"/>
      <c r="RFC18" s="273"/>
      <c r="RFD18" s="273"/>
      <c r="RFE18" s="273"/>
      <c r="RFF18" s="273"/>
      <c r="RFG18" s="273"/>
      <c r="RFH18" s="273"/>
      <c r="RFI18" s="273"/>
      <c r="RFJ18" s="273"/>
      <c r="RFK18" s="273"/>
      <c r="RFL18" s="273"/>
      <c r="RFM18" s="273"/>
      <c r="RFN18" s="273"/>
      <c r="RFO18" s="273"/>
      <c r="RFP18" s="273"/>
      <c r="RFQ18" s="273"/>
      <c r="RFR18" s="273"/>
      <c r="RFS18" s="273"/>
      <c r="RFT18" s="273"/>
      <c r="RFU18" s="273"/>
      <c r="RFV18" s="273"/>
      <c r="RFW18" s="273"/>
      <c r="RFX18" s="273"/>
      <c r="RFY18" s="273"/>
      <c r="RFZ18" s="273"/>
      <c r="RGA18" s="273"/>
      <c r="RGB18" s="273"/>
      <c r="RGC18" s="273"/>
      <c r="RGD18" s="273"/>
      <c r="RGE18" s="273"/>
      <c r="RGF18" s="273"/>
      <c r="RGG18" s="273"/>
      <c r="RGH18" s="273"/>
      <c r="RGI18" s="273"/>
      <c r="RGJ18" s="273"/>
      <c r="RGK18" s="273"/>
      <c r="RGL18" s="273"/>
      <c r="RGM18" s="273"/>
      <c r="RGN18" s="273"/>
      <c r="RGO18" s="273"/>
      <c r="RGP18" s="273"/>
      <c r="RGQ18" s="273"/>
      <c r="RGR18" s="273"/>
      <c r="RGS18" s="273"/>
      <c r="RGT18" s="273"/>
      <c r="RGU18" s="273"/>
      <c r="RGV18" s="273"/>
      <c r="RGW18" s="273"/>
      <c r="RGX18" s="273"/>
      <c r="RGY18" s="273"/>
      <c r="RGZ18" s="273"/>
      <c r="RHA18" s="273"/>
      <c r="RHB18" s="273"/>
      <c r="RHC18" s="273"/>
      <c r="RHD18" s="273"/>
      <c r="RHE18" s="273"/>
      <c r="RHF18" s="273"/>
      <c r="RHG18" s="273"/>
      <c r="RHH18" s="273"/>
      <c r="RHI18" s="273"/>
      <c r="RHJ18" s="273"/>
      <c r="RHK18" s="273"/>
      <c r="RHL18" s="273"/>
      <c r="RHM18" s="273"/>
      <c r="RHN18" s="273"/>
      <c r="RHO18" s="273"/>
      <c r="RHP18" s="273"/>
      <c r="RHQ18" s="273"/>
      <c r="RHR18" s="273"/>
      <c r="RHS18" s="273"/>
      <c r="RHT18" s="273"/>
      <c r="RHU18" s="273"/>
      <c r="RHV18" s="273"/>
      <c r="RHW18" s="273"/>
      <c r="RHX18" s="273"/>
      <c r="RHY18" s="273"/>
      <c r="RHZ18" s="273"/>
      <c r="RIA18" s="273"/>
      <c r="RIB18" s="273"/>
      <c r="RIC18" s="273"/>
      <c r="RID18" s="273"/>
      <c r="RIE18" s="273"/>
      <c r="RIF18" s="273"/>
      <c r="RIG18" s="273"/>
      <c r="RIH18" s="273"/>
      <c r="RII18" s="273"/>
      <c r="RIJ18" s="273"/>
      <c r="RIK18" s="273"/>
      <c r="RIL18" s="273"/>
      <c r="RIM18" s="273"/>
      <c r="RIN18" s="273"/>
      <c r="RIO18" s="273"/>
      <c r="RIP18" s="273"/>
      <c r="RIQ18" s="273"/>
      <c r="RIR18" s="273"/>
      <c r="RIS18" s="273"/>
      <c r="RIT18" s="273"/>
      <c r="RIU18" s="273"/>
      <c r="RIV18" s="273"/>
      <c r="RIW18" s="273"/>
      <c r="RIX18" s="273"/>
      <c r="RIY18" s="273"/>
      <c r="RIZ18" s="273"/>
      <c r="RJA18" s="273"/>
      <c r="RJB18" s="273"/>
      <c r="RJC18" s="273"/>
      <c r="RJD18" s="273"/>
      <c r="RJE18" s="273"/>
      <c r="RJF18" s="273"/>
      <c r="RJG18" s="273"/>
      <c r="RJH18" s="273"/>
      <c r="RJI18" s="273"/>
      <c r="RJJ18" s="273"/>
      <c r="RJK18" s="273"/>
      <c r="RJL18" s="273"/>
      <c r="RJM18" s="273"/>
      <c r="RJN18" s="273"/>
      <c r="RJO18" s="273"/>
      <c r="RJP18" s="273"/>
      <c r="RJQ18" s="273"/>
      <c r="RJR18" s="273"/>
      <c r="RJS18" s="273"/>
      <c r="RJT18" s="273"/>
      <c r="RJU18" s="273"/>
      <c r="RJV18" s="273"/>
      <c r="RJW18" s="273"/>
      <c r="RJX18" s="273"/>
      <c r="RJY18" s="273"/>
      <c r="RJZ18" s="273"/>
      <c r="RKA18" s="273"/>
      <c r="RKB18" s="273"/>
      <c r="RKC18" s="273"/>
      <c r="RKD18" s="273"/>
      <c r="RKE18" s="273"/>
      <c r="RKF18" s="273"/>
      <c r="RKG18" s="273"/>
      <c r="RKH18" s="273"/>
      <c r="RKI18" s="273"/>
      <c r="RKJ18" s="273"/>
      <c r="RKK18" s="273"/>
      <c r="RKL18" s="273"/>
      <c r="RKM18" s="273"/>
      <c r="RKN18" s="273"/>
      <c r="RKO18" s="273"/>
      <c r="RKP18" s="273"/>
      <c r="RKQ18" s="273"/>
      <c r="RKR18" s="273"/>
      <c r="RKS18" s="273"/>
      <c r="RKT18" s="273"/>
      <c r="RKU18" s="273"/>
      <c r="RKV18" s="273"/>
      <c r="RKW18" s="273"/>
      <c r="RKX18" s="273"/>
      <c r="RKY18" s="273"/>
      <c r="RKZ18" s="273"/>
      <c r="RLA18" s="273"/>
      <c r="RLB18" s="273"/>
      <c r="RLC18" s="273"/>
      <c r="RLD18" s="273"/>
      <c r="RLE18" s="273"/>
      <c r="RLF18" s="273"/>
      <c r="RLG18" s="273"/>
      <c r="RLH18" s="273"/>
      <c r="RLI18" s="273"/>
      <c r="RLJ18" s="273"/>
      <c r="RLK18" s="273"/>
      <c r="RLL18" s="273"/>
      <c r="RLM18" s="273"/>
      <c r="RLN18" s="273"/>
      <c r="RLO18" s="273"/>
      <c r="RLP18" s="273"/>
      <c r="RLQ18" s="273"/>
      <c r="RLR18" s="273"/>
      <c r="RLS18" s="273"/>
      <c r="RLT18" s="273"/>
      <c r="RLU18" s="273"/>
      <c r="RLV18" s="273"/>
      <c r="RLW18" s="273"/>
      <c r="RLX18" s="273"/>
      <c r="RLY18" s="273"/>
      <c r="RLZ18" s="273"/>
      <c r="RMA18" s="273"/>
      <c r="RMB18" s="273"/>
      <c r="RMC18" s="273"/>
      <c r="RMD18" s="273"/>
      <c r="RME18" s="273"/>
      <c r="RMF18" s="273"/>
      <c r="RMG18" s="273"/>
      <c r="RMH18" s="273"/>
      <c r="RMI18" s="273"/>
      <c r="RMJ18" s="273"/>
      <c r="RMK18" s="273"/>
      <c r="RML18" s="273"/>
      <c r="RMM18" s="273"/>
      <c r="RMN18" s="273"/>
      <c r="RMO18" s="273"/>
      <c r="RMP18" s="273"/>
      <c r="RMQ18" s="273"/>
      <c r="RMR18" s="273"/>
      <c r="RMS18" s="273"/>
      <c r="RMT18" s="273"/>
      <c r="RMU18" s="273"/>
      <c r="RMV18" s="273"/>
      <c r="RMW18" s="273"/>
      <c r="RMX18" s="273"/>
      <c r="RMY18" s="273"/>
      <c r="RMZ18" s="273"/>
      <c r="RNA18" s="273"/>
      <c r="RNB18" s="273"/>
      <c r="RNC18" s="273"/>
      <c r="RND18" s="273"/>
      <c r="RNE18" s="273"/>
      <c r="RNF18" s="273"/>
      <c r="RNG18" s="273"/>
      <c r="RNH18" s="273"/>
      <c r="RNI18" s="273"/>
      <c r="RNJ18" s="273"/>
      <c r="RNK18" s="273"/>
      <c r="RNL18" s="273"/>
      <c r="RNM18" s="273"/>
      <c r="RNN18" s="273"/>
      <c r="RNO18" s="273"/>
      <c r="RNP18" s="273"/>
      <c r="RNQ18" s="273"/>
      <c r="RNR18" s="273"/>
      <c r="RNS18" s="273"/>
      <c r="RNT18" s="273"/>
      <c r="RNU18" s="273"/>
      <c r="RNV18" s="273"/>
      <c r="RNW18" s="273"/>
      <c r="RNX18" s="273"/>
      <c r="RNY18" s="273"/>
      <c r="RNZ18" s="273"/>
      <c r="ROA18" s="273"/>
      <c r="ROB18" s="273"/>
      <c r="ROC18" s="273"/>
      <c r="ROD18" s="273"/>
      <c r="ROE18" s="273"/>
      <c r="ROF18" s="273"/>
      <c r="ROG18" s="273"/>
      <c r="ROH18" s="273"/>
      <c r="ROI18" s="273"/>
      <c r="ROJ18" s="273"/>
      <c r="ROK18" s="273"/>
      <c r="ROL18" s="273"/>
      <c r="ROM18" s="273"/>
      <c r="RON18" s="273"/>
      <c r="ROO18" s="273"/>
      <c r="ROP18" s="273"/>
      <c r="ROQ18" s="273"/>
      <c r="ROR18" s="273"/>
      <c r="ROS18" s="273"/>
      <c r="ROT18" s="273"/>
      <c r="ROU18" s="273"/>
      <c r="ROV18" s="273"/>
      <c r="ROW18" s="273"/>
      <c r="ROX18" s="273"/>
      <c r="ROY18" s="273"/>
      <c r="ROZ18" s="273"/>
      <c r="RPA18" s="273"/>
      <c r="RPB18" s="273"/>
      <c r="RPC18" s="273"/>
      <c r="RPD18" s="273"/>
      <c r="RPE18" s="273"/>
      <c r="RPF18" s="273"/>
      <c r="RPG18" s="273"/>
      <c r="RPH18" s="273"/>
      <c r="RPI18" s="273"/>
      <c r="RPJ18" s="273"/>
      <c r="RPK18" s="273"/>
      <c r="RPL18" s="273"/>
      <c r="RPM18" s="273"/>
      <c r="RPN18" s="273"/>
      <c r="RPO18" s="273"/>
      <c r="RPP18" s="273"/>
      <c r="RPQ18" s="273"/>
      <c r="RPR18" s="273"/>
      <c r="RPS18" s="273"/>
      <c r="RPT18" s="273"/>
      <c r="RPU18" s="273"/>
      <c r="RPV18" s="273"/>
      <c r="RPW18" s="273"/>
      <c r="RPX18" s="273"/>
      <c r="RPY18" s="273"/>
      <c r="RPZ18" s="273"/>
      <c r="RQA18" s="273"/>
      <c r="RQB18" s="273"/>
      <c r="RQC18" s="273"/>
      <c r="RQD18" s="273"/>
      <c r="RQE18" s="273"/>
      <c r="RQF18" s="273"/>
      <c r="RQG18" s="273"/>
      <c r="RQH18" s="273"/>
      <c r="RQI18" s="273"/>
      <c r="RQJ18" s="273"/>
      <c r="RQK18" s="273"/>
      <c r="RQL18" s="273"/>
      <c r="RQM18" s="273"/>
      <c r="RQN18" s="273"/>
      <c r="RQO18" s="273"/>
      <c r="RQP18" s="273"/>
      <c r="RQQ18" s="273"/>
      <c r="RQR18" s="273"/>
      <c r="RQS18" s="273"/>
      <c r="RQT18" s="273"/>
      <c r="RQU18" s="273"/>
      <c r="RQV18" s="273"/>
      <c r="RQW18" s="273"/>
      <c r="RQX18" s="273"/>
      <c r="RQY18" s="273"/>
      <c r="RQZ18" s="273"/>
      <c r="RRA18" s="273"/>
      <c r="RRB18" s="273"/>
      <c r="RRC18" s="273"/>
      <c r="RRD18" s="273"/>
      <c r="RRE18" s="273"/>
      <c r="RRF18" s="273"/>
      <c r="RRG18" s="273"/>
      <c r="RRH18" s="273"/>
      <c r="RRI18" s="273"/>
      <c r="RRJ18" s="273"/>
      <c r="RRK18" s="273"/>
      <c r="RRL18" s="273"/>
      <c r="RRM18" s="273"/>
      <c r="RRN18" s="273"/>
      <c r="RRO18" s="273"/>
      <c r="RRP18" s="273"/>
      <c r="RRQ18" s="273"/>
      <c r="RRR18" s="273"/>
      <c r="RRS18" s="273"/>
      <c r="RRT18" s="273"/>
      <c r="RRU18" s="273"/>
      <c r="RRV18" s="273"/>
      <c r="RRW18" s="273"/>
      <c r="RRX18" s="273"/>
      <c r="RRY18" s="273"/>
      <c r="RRZ18" s="273"/>
      <c r="RSA18" s="273"/>
      <c r="RSB18" s="273"/>
      <c r="RSC18" s="273"/>
      <c r="RSD18" s="273"/>
      <c r="RSE18" s="273"/>
      <c r="RSF18" s="273"/>
      <c r="RSG18" s="273"/>
      <c r="RSH18" s="273"/>
      <c r="RSI18" s="273"/>
      <c r="RSJ18" s="273"/>
      <c r="RSK18" s="273"/>
      <c r="RSL18" s="273"/>
      <c r="RSM18" s="273"/>
      <c r="RSN18" s="273"/>
      <c r="RSO18" s="273"/>
      <c r="RSP18" s="273"/>
      <c r="RSQ18" s="273"/>
      <c r="RSR18" s="273"/>
      <c r="RSS18" s="273"/>
      <c r="RST18" s="273"/>
      <c r="RSU18" s="273"/>
      <c r="RSV18" s="273"/>
      <c r="RSW18" s="273"/>
      <c r="RSX18" s="273"/>
      <c r="RSY18" s="273"/>
      <c r="RSZ18" s="273"/>
      <c r="RTA18" s="273"/>
      <c r="RTB18" s="273"/>
      <c r="RTC18" s="273"/>
      <c r="RTD18" s="273"/>
      <c r="RTE18" s="273"/>
      <c r="RTF18" s="273"/>
      <c r="RTG18" s="273"/>
      <c r="RTH18" s="273"/>
      <c r="RTI18" s="273"/>
      <c r="RTJ18" s="273"/>
      <c r="RTK18" s="273"/>
      <c r="RTL18" s="273"/>
      <c r="RTM18" s="273"/>
      <c r="RTN18" s="273"/>
      <c r="RTO18" s="273"/>
      <c r="RTP18" s="273"/>
      <c r="RTQ18" s="273"/>
      <c r="RTR18" s="273"/>
      <c r="RTS18" s="273"/>
      <c r="RTT18" s="273"/>
      <c r="RTU18" s="273"/>
      <c r="RTV18" s="273"/>
      <c r="RTW18" s="273"/>
      <c r="RTX18" s="273"/>
      <c r="RTY18" s="273"/>
      <c r="RTZ18" s="273"/>
      <c r="RUA18" s="273"/>
      <c r="RUB18" s="273"/>
      <c r="RUC18" s="273"/>
      <c r="RUD18" s="273"/>
      <c r="RUE18" s="273"/>
      <c r="RUF18" s="273"/>
      <c r="RUG18" s="273"/>
      <c r="RUH18" s="273"/>
      <c r="RUI18" s="273"/>
      <c r="RUJ18" s="273"/>
      <c r="RUK18" s="273"/>
      <c r="RUL18" s="273"/>
      <c r="RUM18" s="273"/>
      <c r="RUN18" s="273"/>
      <c r="RUO18" s="273"/>
      <c r="RUP18" s="273"/>
      <c r="RUQ18" s="273"/>
      <c r="RUR18" s="273"/>
      <c r="RUS18" s="273"/>
      <c r="RUT18" s="273"/>
      <c r="RUU18" s="273"/>
      <c r="RUV18" s="273"/>
      <c r="RUW18" s="273"/>
      <c r="RUX18" s="273"/>
      <c r="RUY18" s="273"/>
      <c r="RUZ18" s="273"/>
      <c r="RVA18" s="273"/>
      <c r="RVB18" s="273"/>
      <c r="RVC18" s="273"/>
      <c r="RVD18" s="273"/>
      <c r="RVE18" s="273"/>
      <c r="RVF18" s="273"/>
      <c r="RVG18" s="273"/>
      <c r="RVH18" s="273"/>
      <c r="RVI18" s="273"/>
      <c r="RVJ18" s="273"/>
      <c r="RVK18" s="273"/>
      <c r="RVL18" s="273"/>
      <c r="RVM18" s="273"/>
      <c r="RVN18" s="273"/>
      <c r="RVO18" s="273"/>
      <c r="RVP18" s="273"/>
      <c r="RVQ18" s="273"/>
      <c r="RVR18" s="273"/>
      <c r="RVS18" s="273"/>
      <c r="RVT18" s="273"/>
      <c r="RVU18" s="273"/>
      <c r="RVV18" s="273"/>
      <c r="RVW18" s="273"/>
      <c r="RVX18" s="273"/>
      <c r="RVY18" s="273"/>
      <c r="RVZ18" s="273"/>
      <c r="RWA18" s="273"/>
      <c r="RWB18" s="273"/>
      <c r="RWC18" s="273"/>
      <c r="RWD18" s="273"/>
      <c r="RWE18" s="273"/>
      <c r="RWF18" s="273"/>
      <c r="RWG18" s="273"/>
      <c r="RWH18" s="273"/>
      <c r="RWI18" s="273"/>
      <c r="RWJ18" s="273"/>
      <c r="RWK18" s="273"/>
      <c r="RWL18" s="273"/>
      <c r="RWM18" s="273"/>
      <c r="RWN18" s="273"/>
      <c r="RWO18" s="273"/>
      <c r="RWP18" s="273"/>
      <c r="RWQ18" s="273"/>
      <c r="RWR18" s="273"/>
      <c r="RWS18" s="273"/>
      <c r="RWT18" s="273"/>
      <c r="RWU18" s="273"/>
      <c r="RWV18" s="273"/>
      <c r="RWW18" s="273"/>
      <c r="RWX18" s="273"/>
      <c r="RWY18" s="273"/>
      <c r="RWZ18" s="273"/>
      <c r="RXA18" s="273"/>
      <c r="RXB18" s="273"/>
      <c r="RXC18" s="273"/>
      <c r="RXD18" s="273"/>
      <c r="RXE18" s="273"/>
      <c r="RXF18" s="273"/>
      <c r="RXG18" s="273"/>
      <c r="RXH18" s="273"/>
      <c r="RXI18" s="273"/>
      <c r="RXJ18" s="273"/>
      <c r="RXK18" s="273"/>
      <c r="RXL18" s="273"/>
      <c r="RXM18" s="273"/>
      <c r="RXN18" s="273"/>
      <c r="RXO18" s="273"/>
      <c r="RXP18" s="273"/>
      <c r="RXQ18" s="273"/>
      <c r="RXR18" s="273"/>
      <c r="RXS18" s="273"/>
      <c r="RXT18" s="273"/>
      <c r="RXU18" s="273"/>
      <c r="RXV18" s="273"/>
      <c r="RXW18" s="273"/>
      <c r="RXX18" s="273"/>
      <c r="RXY18" s="273"/>
      <c r="RXZ18" s="273"/>
      <c r="RYA18" s="273"/>
      <c r="RYB18" s="273"/>
      <c r="RYC18" s="273"/>
      <c r="RYD18" s="273"/>
      <c r="RYE18" s="273"/>
      <c r="RYF18" s="273"/>
      <c r="RYG18" s="273"/>
      <c r="RYH18" s="273"/>
      <c r="RYI18" s="273"/>
      <c r="RYJ18" s="273"/>
      <c r="RYK18" s="273"/>
      <c r="RYL18" s="273"/>
      <c r="RYM18" s="273"/>
      <c r="RYN18" s="273"/>
      <c r="RYO18" s="273"/>
      <c r="RYP18" s="273"/>
      <c r="RYQ18" s="273"/>
      <c r="RYR18" s="273"/>
      <c r="RYS18" s="273"/>
      <c r="RYT18" s="273"/>
      <c r="RYU18" s="273"/>
      <c r="RYV18" s="273"/>
      <c r="RYW18" s="273"/>
      <c r="RYX18" s="273"/>
      <c r="RYY18" s="273"/>
      <c r="RYZ18" s="273"/>
      <c r="RZA18" s="273"/>
      <c r="RZB18" s="273"/>
      <c r="RZC18" s="273"/>
      <c r="RZD18" s="273"/>
      <c r="RZE18" s="273"/>
      <c r="RZF18" s="273"/>
      <c r="RZG18" s="273"/>
      <c r="RZH18" s="273"/>
      <c r="RZI18" s="273"/>
      <c r="RZJ18" s="273"/>
      <c r="RZK18" s="273"/>
      <c r="RZL18" s="273"/>
      <c r="RZM18" s="273"/>
      <c r="RZN18" s="273"/>
      <c r="RZO18" s="273"/>
      <c r="RZP18" s="273"/>
      <c r="RZQ18" s="273"/>
      <c r="RZR18" s="273"/>
      <c r="RZS18" s="273"/>
      <c r="RZT18" s="273"/>
      <c r="RZU18" s="273"/>
      <c r="RZV18" s="273"/>
      <c r="RZW18" s="273"/>
      <c r="RZX18" s="273"/>
      <c r="RZY18" s="273"/>
      <c r="RZZ18" s="273"/>
      <c r="SAA18" s="273"/>
      <c r="SAB18" s="273"/>
      <c r="SAC18" s="273"/>
      <c r="SAD18" s="273"/>
      <c r="SAE18" s="273"/>
      <c r="SAF18" s="273"/>
      <c r="SAG18" s="273"/>
      <c r="SAH18" s="273"/>
      <c r="SAI18" s="273"/>
      <c r="SAJ18" s="273"/>
      <c r="SAK18" s="273"/>
      <c r="SAL18" s="273"/>
      <c r="SAM18" s="273"/>
      <c r="SAN18" s="273"/>
      <c r="SAO18" s="273"/>
      <c r="SAP18" s="273"/>
      <c r="SAQ18" s="273"/>
      <c r="SAR18" s="273"/>
      <c r="SAS18" s="273"/>
      <c r="SAT18" s="273"/>
      <c r="SAU18" s="273"/>
      <c r="SAV18" s="273"/>
      <c r="SAW18" s="273"/>
      <c r="SAX18" s="273"/>
      <c r="SAY18" s="273"/>
      <c r="SAZ18" s="273"/>
      <c r="SBA18" s="273"/>
      <c r="SBB18" s="273"/>
      <c r="SBC18" s="273"/>
      <c r="SBD18" s="273"/>
      <c r="SBE18" s="273"/>
      <c r="SBF18" s="273"/>
      <c r="SBG18" s="273"/>
      <c r="SBH18" s="273"/>
      <c r="SBI18" s="273"/>
      <c r="SBJ18" s="273"/>
      <c r="SBK18" s="273"/>
      <c r="SBL18" s="273"/>
      <c r="SBM18" s="273"/>
      <c r="SBN18" s="273"/>
      <c r="SBO18" s="273"/>
      <c r="SBP18" s="273"/>
      <c r="SBQ18" s="273"/>
      <c r="SBR18" s="273"/>
      <c r="SBS18" s="273"/>
      <c r="SBT18" s="273"/>
      <c r="SBU18" s="273"/>
      <c r="SBV18" s="273"/>
      <c r="SBW18" s="273"/>
      <c r="SBX18" s="273"/>
      <c r="SBY18" s="273"/>
      <c r="SBZ18" s="273"/>
      <c r="SCA18" s="273"/>
      <c r="SCB18" s="273"/>
      <c r="SCC18" s="273"/>
      <c r="SCD18" s="273"/>
      <c r="SCE18" s="273"/>
      <c r="SCF18" s="273"/>
      <c r="SCG18" s="273"/>
      <c r="SCH18" s="273"/>
      <c r="SCI18" s="273"/>
      <c r="SCJ18" s="273"/>
      <c r="SCK18" s="273"/>
      <c r="SCL18" s="273"/>
      <c r="SCM18" s="273"/>
      <c r="SCN18" s="273"/>
      <c r="SCO18" s="273"/>
      <c r="SCP18" s="273"/>
      <c r="SCQ18" s="273"/>
      <c r="SCR18" s="273"/>
      <c r="SCS18" s="273"/>
      <c r="SCT18" s="273"/>
      <c r="SCU18" s="273"/>
      <c r="SCV18" s="273"/>
      <c r="SCW18" s="273"/>
      <c r="SCX18" s="273"/>
      <c r="SCY18" s="273"/>
      <c r="SCZ18" s="273"/>
      <c r="SDA18" s="273"/>
      <c r="SDB18" s="273"/>
      <c r="SDC18" s="273"/>
      <c r="SDD18" s="273"/>
      <c r="SDE18" s="273"/>
      <c r="SDF18" s="273"/>
      <c r="SDG18" s="273"/>
      <c r="SDH18" s="273"/>
      <c r="SDI18" s="273"/>
      <c r="SDJ18" s="273"/>
      <c r="SDK18" s="273"/>
      <c r="SDL18" s="273"/>
      <c r="SDM18" s="273"/>
      <c r="SDN18" s="273"/>
      <c r="SDO18" s="273"/>
      <c r="SDP18" s="273"/>
      <c r="SDQ18" s="273"/>
      <c r="SDR18" s="273"/>
      <c r="SDS18" s="273"/>
      <c r="SDT18" s="273"/>
      <c r="SDU18" s="273"/>
      <c r="SDV18" s="273"/>
      <c r="SDW18" s="273"/>
      <c r="SDX18" s="273"/>
      <c r="SDY18" s="273"/>
      <c r="SDZ18" s="273"/>
      <c r="SEA18" s="273"/>
      <c r="SEB18" s="273"/>
      <c r="SEC18" s="273"/>
      <c r="SED18" s="273"/>
      <c r="SEE18" s="273"/>
      <c r="SEF18" s="273"/>
      <c r="SEG18" s="273"/>
      <c r="SEH18" s="273"/>
      <c r="SEI18" s="273"/>
      <c r="SEJ18" s="273"/>
      <c r="SEK18" s="273"/>
      <c r="SEL18" s="273"/>
      <c r="SEM18" s="273"/>
      <c r="SEN18" s="273"/>
      <c r="SEO18" s="273"/>
      <c r="SEP18" s="273"/>
      <c r="SEQ18" s="273"/>
      <c r="SER18" s="273"/>
      <c r="SES18" s="273"/>
      <c r="SET18" s="273"/>
      <c r="SEU18" s="273"/>
      <c r="SEV18" s="273"/>
      <c r="SEW18" s="273"/>
      <c r="SEX18" s="273"/>
      <c r="SEY18" s="273"/>
      <c r="SEZ18" s="273"/>
      <c r="SFA18" s="273"/>
      <c r="SFB18" s="273"/>
      <c r="SFC18" s="273"/>
      <c r="SFD18" s="273"/>
      <c r="SFE18" s="273"/>
      <c r="SFF18" s="273"/>
      <c r="SFG18" s="273"/>
      <c r="SFH18" s="273"/>
      <c r="SFI18" s="273"/>
      <c r="SFJ18" s="273"/>
      <c r="SFK18" s="273"/>
      <c r="SFL18" s="273"/>
      <c r="SFM18" s="273"/>
      <c r="SFN18" s="273"/>
      <c r="SFO18" s="273"/>
      <c r="SFP18" s="273"/>
      <c r="SFQ18" s="273"/>
      <c r="SFR18" s="273"/>
      <c r="SFS18" s="273"/>
      <c r="SFT18" s="273"/>
      <c r="SFU18" s="273"/>
      <c r="SFV18" s="273"/>
      <c r="SFW18" s="273"/>
      <c r="SFX18" s="273"/>
      <c r="SFY18" s="273"/>
      <c r="SFZ18" s="273"/>
      <c r="SGA18" s="273"/>
      <c r="SGB18" s="273"/>
      <c r="SGC18" s="273"/>
      <c r="SGD18" s="273"/>
      <c r="SGE18" s="273"/>
      <c r="SGF18" s="273"/>
      <c r="SGG18" s="273"/>
      <c r="SGH18" s="273"/>
      <c r="SGI18" s="273"/>
      <c r="SGJ18" s="273"/>
      <c r="SGK18" s="273"/>
      <c r="SGL18" s="273"/>
      <c r="SGM18" s="273"/>
      <c r="SGN18" s="273"/>
      <c r="SGO18" s="273"/>
      <c r="SGP18" s="273"/>
      <c r="SGQ18" s="273"/>
      <c r="SGR18" s="273"/>
      <c r="SGS18" s="273"/>
      <c r="SGT18" s="273"/>
      <c r="SGU18" s="273"/>
      <c r="SGV18" s="273"/>
      <c r="SGW18" s="273"/>
      <c r="SGX18" s="273"/>
      <c r="SGY18" s="273"/>
      <c r="SGZ18" s="273"/>
      <c r="SHA18" s="273"/>
      <c r="SHB18" s="273"/>
      <c r="SHC18" s="273"/>
      <c r="SHD18" s="273"/>
      <c r="SHE18" s="273"/>
      <c r="SHF18" s="273"/>
      <c r="SHG18" s="273"/>
      <c r="SHH18" s="273"/>
      <c r="SHI18" s="273"/>
      <c r="SHJ18" s="273"/>
      <c r="SHK18" s="273"/>
      <c r="SHL18" s="273"/>
      <c r="SHM18" s="273"/>
      <c r="SHN18" s="273"/>
      <c r="SHO18" s="273"/>
      <c r="SHP18" s="273"/>
      <c r="SHQ18" s="273"/>
      <c r="SHR18" s="273"/>
      <c r="SHS18" s="273"/>
      <c r="SHT18" s="273"/>
      <c r="SHU18" s="273"/>
      <c r="SHV18" s="273"/>
      <c r="SHW18" s="273"/>
      <c r="SHX18" s="273"/>
      <c r="SHY18" s="273"/>
      <c r="SHZ18" s="273"/>
      <c r="SIA18" s="273"/>
      <c r="SIB18" s="273"/>
      <c r="SIC18" s="273"/>
      <c r="SID18" s="273"/>
      <c r="SIE18" s="273"/>
      <c r="SIF18" s="273"/>
      <c r="SIG18" s="273"/>
      <c r="SIH18" s="273"/>
      <c r="SII18" s="273"/>
      <c r="SIJ18" s="273"/>
      <c r="SIK18" s="273"/>
      <c r="SIL18" s="273"/>
      <c r="SIM18" s="273"/>
      <c r="SIN18" s="273"/>
      <c r="SIO18" s="273"/>
      <c r="SIP18" s="273"/>
      <c r="SIQ18" s="273"/>
      <c r="SIR18" s="273"/>
      <c r="SIS18" s="273"/>
      <c r="SIT18" s="273"/>
      <c r="SIU18" s="273"/>
      <c r="SIV18" s="273"/>
      <c r="SIW18" s="273"/>
      <c r="SIX18" s="273"/>
      <c r="SIY18" s="273"/>
      <c r="SIZ18" s="273"/>
      <c r="SJA18" s="273"/>
      <c r="SJB18" s="273"/>
      <c r="SJC18" s="273"/>
      <c r="SJD18" s="273"/>
      <c r="SJE18" s="273"/>
      <c r="SJF18" s="273"/>
      <c r="SJG18" s="273"/>
      <c r="SJH18" s="273"/>
      <c r="SJI18" s="273"/>
      <c r="SJJ18" s="273"/>
      <c r="SJK18" s="273"/>
      <c r="SJL18" s="273"/>
      <c r="SJM18" s="273"/>
      <c r="SJN18" s="273"/>
      <c r="SJO18" s="273"/>
      <c r="SJP18" s="273"/>
      <c r="SJQ18" s="273"/>
      <c r="SJR18" s="273"/>
      <c r="SJS18" s="273"/>
      <c r="SJT18" s="273"/>
      <c r="SJU18" s="273"/>
      <c r="SJV18" s="273"/>
      <c r="SJW18" s="273"/>
      <c r="SJX18" s="273"/>
      <c r="SJY18" s="273"/>
      <c r="SJZ18" s="273"/>
      <c r="SKA18" s="273"/>
      <c r="SKB18" s="273"/>
      <c r="SKC18" s="273"/>
      <c r="SKD18" s="273"/>
      <c r="SKE18" s="273"/>
      <c r="SKF18" s="273"/>
      <c r="SKG18" s="273"/>
      <c r="SKH18" s="273"/>
      <c r="SKI18" s="273"/>
      <c r="SKJ18" s="273"/>
      <c r="SKK18" s="273"/>
      <c r="SKL18" s="273"/>
      <c r="SKM18" s="273"/>
      <c r="SKN18" s="273"/>
      <c r="SKO18" s="273"/>
      <c r="SKP18" s="273"/>
      <c r="SKQ18" s="273"/>
      <c r="SKR18" s="273"/>
      <c r="SKS18" s="273"/>
      <c r="SKT18" s="273"/>
      <c r="SKU18" s="273"/>
      <c r="SKV18" s="273"/>
      <c r="SKW18" s="273"/>
      <c r="SKX18" s="273"/>
      <c r="SKY18" s="273"/>
      <c r="SKZ18" s="273"/>
      <c r="SLA18" s="273"/>
      <c r="SLB18" s="273"/>
      <c r="SLC18" s="273"/>
      <c r="SLD18" s="273"/>
      <c r="SLE18" s="273"/>
      <c r="SLF18" s="273"/>
      <c r="SLG18" s="273"/>
      <c r="SLH18" s="273"/>
      <c r="SLI18" s="273"/>
      <c r="SLJ18" s="273"/>
      <c r="SLK18" s="273"/>
      <c r="SLL18" s="273"/>
      <c r="SLM18" s="273"/>
      <c r="SLN18" s="273"/>
      <c r="SLO18" s="273"/>
      <c r="SLP18" s="273"/>
      <c r="SLQ18" s="273"/>
      <c r="SLR18" s="273"/>
      <c r="SLS18" s="273"/>
      <c r="SLT18" s="273"/>
      <c r="SLU18" s="273"/>
      <c r="SLV18" s="273"/>
      <c r="SLW18" s="273"/>
      <c r="SLX18" s="273"/>
      <c r="SLY18" s="273"/>
      <c r="SLZ18" s="273"/>
      <c r="SMA18" s="273"/>
      <c r="SMB18" s="273"/>
      <c r="SMC18" s="273"/>
      <c r="SMD18" s="273"/>
      <c r="SME18" s="273"/>
      <c r="SMF18" s="273"/>
      <c r="SMG18" s="273"/>
      <c r="SMH18" s="273"/>
      <c r="SMI18" s="273"/>
      <c r="SMJ18" s="273"/>
      <c r="SMK18" s="273"/>
      <c r="SML18" s="273"/>
      <c r="SMM18" s="273"/>
      <c r="SMN18" s="273"/>
      <c r="SMO18" s="273"/>
      <c r="SMP18" s="273"/>
      <c r="SMQ18" s="273"/>
      <c r="SMR18" s="273"/>
      <c r="SMS18" s="273"/>
      <c r="SMT18" s="273"/>
      <c r="SMU18" s="273"/>
      <c r="SMV18" s="273"/>
      <c r="SMW18" s="273"/>
      <c r="SMX18" s="273"/>
      <c r="SMY18" s="273"/>
      <c r="SMZ18" s="273"/>
      <c r="SNA18" s="273"/>
      <c r="SNB18" s="273"/>
      <c r="SNC18" s="273"/>
      <c r="SND18" s="273"/>
      <c r="SNE18" s="273"/>
      <c r="SNF18" s="273"/>
      <c r="SNG18" s="273"/>
      <c r="SNH18" s="273"/>
      <c r="SNI18" s="273"/>
      <c r="SNJ18" s="273"/>
      <c r="SNK18" s="273"/>
      <c r="SNL18" s="273"/>
      <c r="SNM18" s="273"/>
      <c r="SNN18" s="273"/>
      <c r="SNO18" s="273"/>
      <c r="SNP18" s="273"/>
      <c r="SNQ18" s="273"/>
      <c r="SNR18" s="273"/>
      <c r="SNS18" s="273"/>
      <c r="SNT18" s="273"/>
      <c r="SNU18" s="273"/>
      <c r="SNV18" s="273"/>
      <c r="SNW18" s="273"/>
      <c r="SNX18" s="273"/>
      <c r="SNY18" s="273"/>
      <c r="SNZ18" s="273"/>
      <c r="SOA18" s="273"/>
      <c r="SOB18" s="273"/>
      <c r="SOC18" s="273"/>
      <c r="SOD18" s="273"/>
      <c r="SOE18" s="273"/>
      <c r="SOF18" s="273"/>
      <c r="SOG18" s="273"/>
      <c r="SOH18" s="273"/>
      <c r="SOI18" s="273"/>
      <c r="SOJ18" s="273"/>
      <c r="SOK18" s="273"/>
      <c r="SOL18" s="273"/>
      <c r="SOM18" s="273"/>
      <c r="SON18" s="273"/>
      <c r="SOO18" s="273"/>
      <c r="SOP18" s="273"/>
      <c r="SOQ18" s="273"/>
      <c r="SOR18" s="273"/>
      <c r="SOS18" s="273"/>
      <c r="SOT18" s="273"/>
      <c r="SOU18" s="273"/>
      <c r="SOV18" s="273"/>
      <c r="SOW18" s="273"/>
      <c r="SOX18" s="273"/>
      <c r="SOY18" s="273"/>
      <c r="SOZ18" s="273"/>
      <c r="SPA18" s="273"/>
      <c r="SPB18" s="273"/>
      <c r="SPC18" s="273"/>
      <c r="SPD18" s="273"/>
      <c r="SPE18" s="273"/>
      <c r="SPF18" s="273"/>
      <c r="SPG18" s="273"/>
      <c r="SPH18" s="273"/>
      <c r="SPI18" s="273"/>
      <c r="SPJ18" s="273"/>
      <c r="SPK18" s="273"/>
      <c r="SPL18" s="273"/>
      <c r="SPM18" s="273"/>
      <c r="SPN18" s="273"/>
      <c r="SPO18" s="273"/>
      <c r="SPP18" s="273"/>
      <c r="SPQ18" s="273"/>
      <c r="SPR18" s="273"/>
      <c r="SPS18" s="273"/>
      <c r="SPT18" s="273"/>
      <c r="SPU18" s="273"/>
      <c r="SPV18" s="273"/>
      <c r="SPW18" s="273"/>
      <c r="SPX18" s="273"/>
      <c r="SPY18" s="273"/>
      <c r="SPZ18" s="273"/>
      <c r="SQA18" s="273"/>
      <c r="SQB18" s="273"/>
      <c r="SQC18" s="273"/>
      <c r="SQD18" s="273"/>
      <c r="SQE18" s="273"/>
      <c r="SQF18" s="273"/>
      <c r="SQG18" s="273"/>
      <c r="SQH18" s="273"/>
      <c r="SQI18" s="273"/>
      <c r="SQJ18" s="273"/>
      <c r="SQK18" s="273"/>
      <c r="SQL18" s="273"/>
      <c r="SQM18" s="273"/>
      <c r="SQN18" s="273"/>
      <c r="SQO18" s="273"/>
      <c r="SQP18" s="273"/>
      <c r="SQQ18" s="273"/>
      <c r="SQR18" s="273"/>
      <c r="SQS18" s="273"/>
      <c r="SQT18" s="273"/>
      <c r="SQU18" s="273"/>
      <c r="SQV18" s="273"/>
      <c r="SQW18" s="273"/>
      <c r="SQX18" s="273"/>
      <c r="SQY18" s="273"/>
      <c r="SQZ18" s="273"/>
      <c r="SRA18" s="273"/>
      <c r="SRB18" s="273"/>
      <c r="SRC18" s="273"/>
      <c r="SRD18" s="273"/>
      <c r="SRE18" s="273"/>
      <c r="SRF18" s="273"/>
      <c r="SRG18" s="273"/>
      <c r="SRH18" s="273"/>
      <c r="SRI18" s="273"/>
      <c r="SRJ18" s="273"/>
      <c r="SRK18" s="273"/>
      <c r="SRL18" s="273"/>
      <c r="SRM18" s="273"/>
      <c r="SRN18" s="273"/>
      <c r="SRO18" s="273"/>
      <c r="SRP18" s="273"/>
      <c r="SRQ18" s="273"/>
      <c r="SRR18" s="273"/>
      <c r="SRS18" s="273"/>
      <c r="SRT18" s="273"/>
      <c r="SRU18" s="273"/>
      <c r="SRV18" s="273"/>
      <c r="SRW18" s="273"/>
      <c r="SRX18" s="273"/>
      <c r="SRY18" s="273"/>
      <c r="SRZ18" s="273"/>
      <c r="SSA18" s="273"/>
      <c r="SSB18" s="273"/>
      <c r="SSC18" s="273"/>
      <c r="SSD18" s="273"/>
      <c r="SSE18" s="273"/>
      <c r="SSF18" s="273"/>
      <c r="SSG18" s="273"/>
      <c r="SSH18" s="273"/>
      <c r="SSI18" s="273"/>
      <c r="SSJ18" s="273"/>
      <c r="SSK18" s="273"/>
      <c r="SSL18" s="273"/>
      <c r="SSM18" s="273"/>
      <c r="SSN18" s="273"/>
      <c r="SSO18" s="273"/>
      <c r="SSP18" s="273"/>
      <c r="SSQ18" s="273"/>
      <c r="SSR18" s="273"/>
      <c r="SSS18" s="273"/>
      <c r="SST18" s="273"/>
      <c r="SSU18" s="273"/>
      <c r="SSV18" s="273"/>
      <c r="SSW18" s="273"/>
      <c r="SSX18" s="273"/>
      <c r="SSY18" s="273"/>
      <c r="SSZ18" s="273"/>
      <c r="STA18" s="273"/>
      <c r="STB18" s="273"/>
      <c r="STC18" s="273"/>
      <c r="STD18" s="273"/>
      <c r="STE18" s="273"/>
      <c r="STF18" s="273"/>
      <c r="STG18" s="273"/>
      <c r="STH18" s="273"/>
      <c r="STI18" s="273"/>
      <c r="STJ18" s="273"/>
      <c r="STK18" s="273"/>
      <c r="STL18" s="273"/>
      <c r="STM18" s="273"/>
      <c r="STN18" s="273"/>
      <c r="STO18" s="273"/>
      <c r="STP18" s="273"/>
      <c r="STQ18" s="273"/>
      <c r="STR18" s="273"/>
      <c r="STS18" s="273"/>
      <c r="STT18" s="273"/>
      <c r="STU18" s="273"/>
      <c r="STV18" s="273"/>
      <c r="STW18" s="273"/>
      <c r="STX18" s="273"/>
      <c r="STY18" s="273"/>
      <c r="STZ18" s="273"/>
      <c r="SUA18" s="273"/>
      <c r="SUB18" s="273"/>
      <c r="SUC18" s="273"/>
      <c r="SUD18" s="273"/>
      <c r="SUE18" s="273"/>
      <c r="SUF18" s="273"/>
      <c r="SUG18" s="273"/>
      <c r="SUH18" s="273"/>
      <c r="SUI18" s="273"/>
      <c r="SUJ18" s="273"/>
      <c r="SUK18" s="273"/>
      <c r="SUL18" s="273"/>
      <c r="SUM18" s="273"/>
      <c r="SUN18" s="273"/>
      <c r="SUO18" s="273"/>
      <c r="SUP18" s="273"/>
      <c r="SUQ18" s="273"/>
      <c r="SUR18" s="273"/>
      <c r="SUS18" s="273"/>
      <c r="SUT18" s="273"/>
      <c r="SUU18" s="273"/>
      <c r="SUV18" s="273"/>
      <c r="SUW18" s="273"/>
      <c r="SUX18" s="273"/>
      <c r="SUY18" s="273"/>
      <c r="SUZ18" s="273"/>
      <c r="SVA18" s="273"/>
      <c r="SVB18" s="273"/>
      <c r="SVC18" s="273"/>
      <c r="SVD18" s="273"/>
      <c r="SVE18" s="273"/>
      <c r="SVF18" s="273"/>
      <c r="SVG18" s="273"/>
      <c r="SVH18" s="273"/>
      <c r="SVI18" s="273"/>
      <c r="SVJ18" s="273"/>
      <c r="SVK18" s="273"/>
      <c r="SVL18" s="273"/>
      <c r="SVM18" s="273"/>
      <c r="SVN18" s="273"/>
      <c r="SVO18" s="273"/>
      <c r="SVP18" s="273"/>
      <c r="SVQ18" s="273"/>
      <c r="SVR18" s="273"/>
      <c r="SVS18" s="273"/>
      <c r="SVT18" s="273"/>
      <c r="SVU18" s="273"/>
      <c r="SVV18" s="273"/>
      <c r="SVW18" s="273"/>
      <c r="SVX18" s="273"/>
      <c r="SVY18" s="273"/>
      <c r="SVZ18" s="273"/>
      <c r="SWA18" s="273"/>
      <c r="SWB18" s="273"/>
      <c r="SWC18" s="273"/>
      <c r="SWD18" s="273"/>
      <c r="SWE18" s="273"/>
      <c r="SWF18" s="273"/>
      <c r="SWG18" s="273"/>
      <c r="SWH18" s="273"/>
      <c r="SWI18" s="273"/>
      <c r="SWJ18" s="273"/>
      <c r="SWK18" s="273"/>
      <c r="SWL18" s="273"/>
      <c r="SWM18" s="273"/>
      <c r="SWN18" s="273"/>
      <c r="SWO18" s="273"/>
      <c r="SWP18" s="273"/>
      <c r="SWQ18" s="273"/>
      <c r="SWR18" s="273"/>
      <c r="SWS18" s="273"/>
      <c r="SWT18" s="273"/>
      <c r="SWU18" s="273"/>
      <c r="SWV18" s="273"/>
      <c r="SWW18" s="273"/>
      <c r="SWX18" s="273"/>
      <c r="SWY18" s="273"/>
      <c r="SWZ18" s="273"/>
      <c r="SXA18" s="273"/>
      <c r="SXB18" s="273"/>
      <c r="SXC18" s="273"/>
      <c r="SXD18" s="273"/>
      <c r="SXE18" s="273"/>
      <c r="SXF18" s="273"/>
      <c r="SXG18" s="273"/>
      <c r="SXH18" s="273"/>
      <c r="SXI18" s="273"/>
      <c r="SXJ18" s="273"/>
      <c r="SXK18" s="273"/>
      <c r="SXL18" s="273"/>
      <c r="SXM18" s="273"/>
      <c r="SXN18" s="273"/>
      <c r="SXO18" s="273"/>
      <c r="SXP18" s="273"/>
      <c r="SXQ18" s="273"/>
      <c r="SXR18" s="273"/>
      <c r="SXS18" s="273"/>
      <c r="SXT18" s="273"/>
      <c r="SXU18" s="273"/>
      <c r="SXV18" s="273"/>
      <c r="SXW18" s="273"/>
      <c r="SXX18" s="273"/>
      <c r="SXY18" s="273"/>
      <c r="SXZ18" s="273"/>
      <c r="SYA18" s="273"/>
      <c r="SYB18" s="273"/>
      <c r="SYC18" s="273"/>
      <c r="SYD18" s="273"/>
      <c r="SYE18" s="273"/>
      <c r="SYF18" s="273"/>
      <c r="SYG18" s="273"/>
      <c r="SYH18" s="273"/>
      <c r="SYI18" s="273"/>
      <c r="SYJ18" s="273"/>
      <c r="SYK18" s="273"/>
      <c r="SYL18" s="273"/>
      <c r="SYM18" s="273"/>
      <c r="SYN18" s="273"/>
      <c r="SYO18" s="273"/>
      <c r="SYP18" s="273"/>
      <c r="SYQ18" s="273"/>
      <c r="SYR18" s="273"/>
      <c r="SYS18" s="273"/>
      <c r="SYT18" s="273"/>
      <c r="SYU18" s="273"/>
      <c r="SYV18" s="273"/>
      <c r="SYW18" s="273"/>
      <c r="SYX18" s="273"/>
      <c r="SYY18" s="273"/>
      <c r="SYZ18" s="273"/>
      <c r="SZA18" s="273"/>
      <c r="SZB18" s="273"/>
      <c r="SZC18" s="273"/>
      <c r="SZD18" s="273"/>
      <c r="SZE18" s="273"/>
      <c r="SZF18" s="273"/>
      <c r="SZG18" s="273"/>
      <c r="SZH18" s="273"/>
      <c r="SZI18" s="273"/>
      <c r="SZJ18" s="273"/>
      <c r="SZK18" s="273"/>
      <c r="SZL18" s="273"/>
      <c r="SZM18" s="273"/>
      <c r="SZN18" s="273"/>
      <c r="SZO18" s="273"/>
      <c r="SZP18" s="273"/>
      <c r="SZQ18" s="273"/>
      <c r="SZR18" s="273"/>
      <c r="SZS18" s="273"/>
      <c r="SZT18" s="273"/>
      <c r="SZU18" s="273"/>
      <c r="SZV18" s="273"/>
      <c r="SZW18" s="273"/>
      <c r="SZX18" s="273"/>
      <c r="SZY18" s="273"/>
      <c r="SZZ18" s="273"/>
      <c r="TAA18" s="273"/>
      <c r="TAB18" s="273"/>
      <c r="TAC18" s="273"/>
      <c r="TAD18" s="273"/>
      <c r="TAE18" s="273"/>
      <c r="TAF18" s="273"/>
      <c r="TAG18" s="273"/>
      <c r="TAH18" s="273"/>
      <c r="TAI18" s="273"/>
      <c r="TAJ18" s="273"/>
      <c r="TAK18" s="273"/>
      <c r="TAL18" s="273"/>
      <c r="TAM18" s="273"/>
      <c r="TAN18" s="273"/>
      <c r="TAO18" s="273"/>
      <c r="TAP18" s="273"/>
      <c r="TAQ18" s="273"/>
      <c r="TAR18" s="273"/>
      <c r="TAS18" s="273"/>
      <c r="TAT18" s="273"/>
      <c r="TAU18" s="273"/>
      <c r="TAV18" s="273"/>
      <c r="TAW18" s="273"/>
      <c r="TAX18" s="273"/>
      <c r="TAY18" s="273"/>
      <c r="TAZ18" s="273"/>
      <c r="TBA18" s="273"/>
      <c r="TBB18" s="273"/>
      <c r="TBC18" s="273"/>
      <c r="TBD18" s="273"/>
      <c r="TBE18" s="273"/>
      <c r="TBF18" s="273"/>
      <c r="TBG18" s="273"/>
      <c r="TBH18" s="273"/>
      <c r="TBI18" s="273"/>
      <c r="TBJ18" s="273"/>
      <c r="TBK18" s="273"/>
      <c r="TBL18" s="273"/>
      <c r="TBM18" s="273"/>
      <c r="TBN18" s="273"/>
      <c r="TBO18" s="273"/>
      <c r="TBP18" s="273"/>
      <c r="TBQ18" s="273"/>
      <c r="TBR18" s="273"/>
      <c r="TBS18" s="273"/>
      <c r="TBT18" s="273"/>
      <c r="TBU18" s="273"/>
      <c r="TBV18" s="273"/>
      <c r="TBW18" s="273"/>
      <c r="TBX18" s="273"/>
      <c r="TBY18" s="273"/>
      <c r="TBZ18" s="273"/>
      <c r="TCA18" s="273"/>
      <c r="TCB18" s="273"/>
      <c r="TCC18" s="273"/>
      <c r="TCD18" s="273"/>
      <c r="TCE18" s="273"/>
      <c r="TCF18" s="273"/>
      <c r="TCG18" s="273"/>
      <c r="TCH18" s="273"/>
      <c r="TCI18" s="273"/>
      <c r="TCJ18" s="273"/>
      <c r="TCK18" s="273"/>
      <c r="TCL18" s="273"/>
      <c r="TCM18" s="273"/>
      <c r="TCN18" s="273"/>
      <c r="TCO18" s="273"/>
      <c r="TCP18" s="273"/>
      <c r="TCQ18" s="273"/>
      <c r="TCR18" s="273"/>
      <c r="TCS18" s="273"/>
      <c r="TCT18" s="273"/>
      <c r="TCU18" s="273"/>
      <c r="TCV18" s="273"/>
      <c r="TCW18" s="273"/>
      <c r="TCX18" s="273"/>
      <c r="TCY18" s="273"/>
      <c r="TCZ18" s="273"/>
      <c r="TDA18" s="273"/>
      <c r="TDB18" s="273"/>
      <c r="TDC18" s="273"/>
      <c r="TDD18" s="273"/>
      <c r="TDE18" s="273"/>
      <c r="TDF18" s="273"/>
      <c r="TDG18" s="273"/>
      <c r="TDH18" s="273"/>
      <c r="TDI18" s="273"/>
      <c r="TDJ18" s="273"/>
      <c r="TDK18" s="273"/>
      <c r="TDL18" s="273"/>
      <c r="TDM18" s="273"/>
      <c r="TDN18" s="273"/>
      <c r="TDO18" s="273"/>
      <c r="TDP18" s="273"/>
      <c r="TDQ18" s="273"/>
      <c r="TDR18" s="273"/>
      <c r="TDS18" s="273"/>
      <c r="TDT18" s="273"/>
      <c r="TDU18" s="273"/>
      <c r="TDV18" s="273"/>
      <c r="TDW18" s="273"/>
      <c r="TDX18" s="273"/>
      <c r="TDY18" s="273"/>
      <c r="TDZ18" s="273"/>
      <c r="TEA18" s="273"/>
      <c r="TEB18" s="273"/>
      <c r="TEC18" s="273"/>
      <c r="TED18" s="273"/>
      <c r="TEE18" s="273"/>
      <c r="TEF18" s="273"/>
      <c r="TEG18" s="273"/>
      <c r="TEH18" s="273"/>
      <c r="TEI18" s="273"/>
      <c r="TEJ18" s="273"/>
      <c r="TEK18" s="273"/>
      <c r="TEL18" s="273"/>
      <c r="TEM18" s="273"/>
      <c r="TEN18" s="273"/>
      <c r="TEO18" s="273"/>
      <c r="TEP18" s="273"/>
      <c r="TEQ18" s="273"/>
      <c r="TER18" s="273"/>
      <c r="TES18" s="273"/>
      <c r="TET18" s="273"/>
      <c r="TEU18" s="273"/>
      <c r="TEV18" s="273"/>
      <c r="TEW18" s="273"/>
      <c r="TEX18" s="273"/>
      <c r="TEY18" s="273"/>
      <c r="TEZ18" s="273"/>
      <c r="TFA18" s="273"/>
      <c r="TFB18" s="273"/>
      <c r="TFC18" s="273"/>
      <c r="TFD18" s="273"/>
      <c r="TFE18" s="273"/>
      <c r="TFF18" s="273"/>
      <c r="TFG18" s="273"/>
      <c r="TFH18" s="273"/>
      <c r="TFI18" s="273"/>
      <c r="TFJ18" s="273"/>
      <c r="TFK18" s="273"/>
      <c r="TFL18" s="273"/>
      <c r="TFM18" s="273"/>
      <c r="TFN18" s="273"/>
      <c r="TFO18" s="273"/>
      <c r="TFP18" s="273"/>
      <c r="TFQ18" s="273"/>
      <c r="TFR18" s="273"/>
      <c r="TFS18" s="273"/>
      <c r="TFT18" s="273"/>
      <c r="TFU18" s="273"/>
      <c r="TFV18" s="273"/>
      <c r="TFW18" s="273"/>
      <c r="TFX18" s="273"/>
      <c r="TFY18" s="273"/>
      <c r="TFZ18" s="273"/>
      <c r="TGA18" s="273"/>
      <c r="TGB18" s="273"/>
      <c r="TGC18" s="273"/>
      <c r="TGD18" s="273"/>
      <c r="TGE18" s="273"/>
      <c r="TGF18" s="273"/>
      <c r="TGG18" s="273"/>
      <c r="TGH18" s="273"/>
      <c r="TGI18" s="273"/>
      <c r="TGJ18" s="273"/>
      <c r="TGK18" s="273"/>
      <c r="TGL18" s="273"/>
      <c r="TGM18" s="273"/>
      <c r="TGN18" s="273"/>
      <c r="TGO18" s="273"/>
      <c r="TGP18" s="273"/>
      <c r="TGQ18" s="273"/>
      <c r="TGR18" s="273"/>
      <c r="TGS18" s="273"/>
      <c r="TGT18" s="273"/>
      <c r="TGU18" s="273"/>
      <c r="TGV18" s="273"/>
      <c r="TGW18" s="273"/>
      <c r="TGX18" s="273"/>
      <c r="TGY18" s="273"/>
      <c r="TGZ18" s="273"/>
      <c r="THA18" s="273"/>
      <c r="THB18" s="273"/>
      <c r="THC18" s="273"/>
      <c r="THD18" s="273"/>
      <c r="THE18" s="273"/>
      <c r="THF18" s="273"/>
      <c r="THG18" s="273"/>
      <c r="THH18" s="273"/>
      <c r="THI18" s="273"/>
      <c r="THJ18" s="273"/>
      <c r="THK18" s="273"/>
      <c r="THL18" s="273"/>
      <c r="THM18" s="273"/>
      <c r="THN18" s="273"/>
      <c r="THO18" s="273"/>
      <c r="THP18" s="273"/>
      <c r="THQ18" s="273"/>
      <c r="THR18" s="273"/>
      <c r="THS18" s="273"/>
      <c r="THT18" s="273"/>
      <c r="THU18" s="273"/>
      <c r="THV18" s="273"/>
      <c r="THW18" s="273"/>
      <c r="THX18" s="273"/>
      <c r="THY18" s="273"/>
      <c r="THZ18" s="273"/>
      <c r="TIA18" s="273"/>
      <c r="TIB18" s="273"/>
      <c r="TIC18" s="273"/>
      <c r="TID18" s="273"/>
      <c r="TIE18" s="273"/>
      <c r="TIF18" s="273"/>
      <c r="TIG18" s="273"/>
      <c r="TIH18" s="273"/>
      <c r="TII18" s="273"/>
      <c r="TIJ18" s="273"/>
      <c r="TIK18" s="273"/>
      <c r="TIL18" s="273"/>
      <c r="TIM18" s="273"/>
      <c r="TIN18" s="273"/>
      <c r="TIO18" s="273"/>
      <c r="TIP18" s="273"/>
      <c r="TIQ18" s="273"/>
      <c r="TIR18" s="273"/>
      <c r="TIS18" s="273"/>
      <c r="TIT18" s="273"/>
      <c r="TIU18" s="273"/>
      <c r="TIV18" s="273"/>
      <c r="TIW18" s="273"/>
      <c r="TIX18" s="273"/>
      <c r="TIY18" s="273"/>
      <c r="TIZ18" s="273"/>
      <c r="TJA18" s="273"/>
      <c r="TJB18" s="273"/>
      <c r="TJC18" s="273"/>
      <c r="TJD18" s="273"/>
      <c r="TJE18" s="273"/>
      <c r="TJF18" s="273"/>
      <c r="TJG18" s="273"/>
      <c r="TJH18" s="273"/>
      <c r="TJI18" s="273"/>
      <c r="TJJ18" s="273"/>
      <c r="TJK18" s="273"/>
      <c r="TJL18" s="273"/>
      <c r="TJM18" s="273"/>
      <c r="TJN18" s="273"/>
      <c r="TJO18" s="273"/>
      <c r="TJP18" s="273"/>
      <c r="TJQ18" s="273"/>
      <c r="TJR18" s="273"/>
      <c r="TJS18" s="273"/>
      <c r="TJT18" s="273"/>
      <c r="TJU18" s="273"/>
      <c r="TJV18" s="273"/>
      <c r="TJW18" s="273"/>
      <c r="TJX18" s="273"/>
      <c r="TJY18" s="273"/>
      <c r="TJZ18" s="273"/>
      <c r="TKA18" s="273"/>
      <c r="TKB18" s="273"/>
      <c r="TKC18" s="273"/>
      <c r="TKD18" s="273"/>
      <c r="TKE18" s="273"/>
      <c r="TKF18" s="273"/>
      <c r="TKG18" s="273"/>
      <c r="TKH18" s="273"/>
      <c r="TKI18" s="273"/>
      <c r="TKJ18" s="273"/>
      <c r="TKK18" s="273"/>
      <c r="TKL18" s="273"/>
      <c r="TKM18" s="273"/>
      <c r="TKN18" s="273"/>
      <c r="TKO18" s="273"/>
      <c r="TKP18" s="273"/>
      <c r="TKQ18" s="273"/>
      <c r="TKR18" s="273"/>
      <c r="TKS18" s="273"/>
      <c r="TKT18" s="273"/>
      <c r="TKU18" s="273"/>
      <c r="TKV18" s="273"/>
      <c r="TKW18" s="273"/>
      <c r="TKX18" s="273"/>
      <c r="TKY18" s="273"/>
      <c r="TKZ18" s="273"/>
      <c r="TLA18" s="273"/>
      <c r="TLB18" s="273"/>
      <c r="TLC18" s="273"/>
      <c r="TLD18" s="273"/>
      <c r="TLE18" s="273"/>
      <c r="TLF18" s="273"/>
      <c r="TLG18" s="273"/>
      <c r="TLH18" s="273"/>
      <c r="TLI18" s="273"/>
      <c r="TLJ18" s="273"/>
      <c r="TLK18" s="273"/>
      <c r="TLL18" s="273"/>
      <c r="TLM18" s="273"/>
      <c r="TLN18" s="273"/>
      <c r="TLO18" s="273"/>
      <c r="TLP18" s="273"/>
      <c r="TLQ18" s="273"/>
      <c r="TLR18" s="273"/>
      <c r="TLS18" s="273"/>
      <c r="TLT18" s="273"/>
      <c r="TLU18" s="273"/>
      <c r="TLV18" s="273"/>
      <c r="TLW18" s="273"/>
      <c r="TLX18" s="273"/>
      <c r="TLY18" s="273"/>
      <c r="TLZ18" s="273"/>
      <c r="TMA18" s="273"/>
      <c r="TMB18" s="273"/>
      <c r="TMC18" s="273"/>
      <c r="TMD18" s="273"/>
      <c r="TME18" s="273"/>
      <c r="TMF18" s="273"/>
      <c r="TMG18" s="273"/>
      <c r="TMH18" s="273"/>
      <c r="TMI18" s="273"/>
      <c r="TMJ18" s="273"/>
      <c r="TMK18" s="273"/>
      <c r="TML18" s="273"/>
      <c r="TMM18" s="273"/>
      <c r="TMN18" s="273"/>
      <c r="TMO18" s="273"/>
      <c r="TMP18" s="273"/>
      <c r="TMQ18" s="273"/>
      <c r="TMR18" s="273"/>
      <c r="TMS18" s="273"/>
      <c r="TMT18" s="273"/>
      <c r="TMU18" s="273"/>
      <c r="TMV18" s="273"/>
      <c r="TMW18" s="273"/>
      <c r="TMX18" s="273"/>
      <c r="TMY18" s="273"/>
      <c r="TMZ18" s="273"/>
      <c r="TNA18" s="273"/>
      <c r="TNB18" s="273"/>
      <c r="TNC18" s="273"/>
      <c r="TND18" s="273"/>
      <c r="TNE18" s="273"/>
      <c r="TNF18" s="273"/>
      <c r="TNG18" s="273"/>
      <c r="TNH18" s="273"/>
      <c r="TNI18" s="273"/>
      <c r="TNJ18" s="273"/>
      <c r="TNK18" s="273"/>
      <c r="TNL18" s="273"/>
      <c r="TNM18" s="273"/>
      <c r="TNN18" s="273"/>
      <c r="TNO18" s="273"/>
      <c r="TNP18" s="273"/>
      <c r="TNQ18" s="273"/>
      <c r="TNR18" s="273"/>
      <c r="TNS18" s="273"/>
      <c r="TNT18" s="273"/>
      <c r="TNU18" s="273"/>
      <c r="TNV18" s="273"/>
      <c r="TNW18" s="273"/>
      <c r="TNX18" s="273"/>
      <c r="TNY18" s="273"/>
      <c r="TNZ18" s="273"/>
      <c r="TOA18" s="273"/>
      <c r="TOB18" s="273"/>
      <c r="TOC18" s="273"/>
      <c r="TOD18" s="273"/>
      <c r="TOE18" s="273"/>
      <c r="TOF18" s="273"/>
      <c r="TOG18" s="273"/>
      <c r="TOH18" s="273"/>
      <c r="TOI18" s="273"/>
      <c r="TOJ18" s="273"/>
      <c r="TOK18" s="273"/>
      <c r="TOL18" s="273"/>
      <c r="TOM18" s="273"/>
      <c r="TON18" s="273"/>
      <c r="TOO18" s="273"/>
      <c r="TOP18" s="273"/>
      <c r="TOQ18" s="273"/>
      <c r="TOR18" s="273"/>
      <c r="TOS18" s="273"/>
      <c r="TOT18" s="273"/>
      <c r="TOU18" s="273"/>
      <c r="TOV18" s="273"/>
      <c r="TOW18" s="273"/>
      <c r="TOX18" s="273"/>
      <c r="TOY18" s="273"/>
      <c r="TOZ18" s="273"/>
      <c r="TPA18" s="273"/>
      <c r="TPB18" s="273"/>
      <c r="TPC18" s="273"/>
      <c r="TPD18" s="273"/>
      <c r="TPE18" s="273"/>
      <c r="TPF18" s="273"/>
      <c r="TPG18" s="273"/>
      <c r="TPH18" s="273"/>
      <c r="TPI18" s="273"/>
      <c r="TPJ18" s="273"/>
      <c r="TPK18" s="273"/>
      <c r="TPL18" s="273"/>
      <c r="TPM18" s="273"/>
      <c r="TPN18" s="273"/>
      <c r="TPO18" s="273"/>
      <c r="TPP18" s="273"/>
      <c r="TPQ18" s="273"/>
      <c r="TPR18" s="273"/>
      <c r="TPS18" s="273"/>
      <c r="TPT18" s="273"/>
      <c r="TPU18" s="273"/>
      <c r="TPV18" s="273"/>
      <c r="TPW18" s="273"/>
      <c r="TPX18" s="273"/>
      <c r="TPY18" s="273"/>
      <c r="TPZ18" s="273"/>
      <c r="TQA18" s="273"/>
      <c r="TQB18" s="273"/>
      <c r="TQC18" s="273"/>
      <c r="TQD18" s="273"/>
      <c r="TQE18" s="273"/>
      <c r="TQF18" s="273"/>
      <c r="TQG18" s="273"/>
      <c r="TQH18" s="273"/>
      <c r="TQI18" s="273"/>
      <c r="TQJ18" s="273"/>
      <c r="TQK18" s="273"/>
      <c r="TQL18" s="273"/>
      <c r="TQM18" s="273"/>
      <c r="TQN18" s="273"/>
      <c r="TQO18" s="273"/>
      <c r="TQP18" s="273"/>
      <c r="TQQ18" s="273"/>
      <c r="TQR18" s="273"/>
      <c r="TQS18" s="273"/>
      <c r="TQT18" s="273"/>
      <c r="TQU18" s="273"/>
      <c r="TQV18" s="273"/>
      <c r="TQW18" s="273"/>
      <c r="TQX18" s="273"/>
      <c r="TQY18" s="273"/>
      <c r="TQZ18" s="273"/>
      <c r="TRA18" s="273"/>
      <c r="TRB18" s="273"/>
      <c r="TRC18" s="273"/>
      <c r="TRD18" s="273"/>
      <c r="TRE18" s="273"/>
      <c r="TRF18" s="273"/>
      <c r="TRG18" s="273"/>
      <c r="TRH18" s="273"/>
      <c r="TRI18" s="273"/>
      <c r="TRJ18" s="273"/>
      <c r="TRK18" s="273"/>
      <c r="TRL18" s="273"/>
      <c r="TRM18" s="273"/>
      <c r="TRN18" s="273"/>
      <c r="TRO18" s="273"/>
      <c r="TRP18" s="273"/>
      <c r="TRQ18" s="273"/>
      <c r="TRR18" s="273"/>
      <c r="TRS18" s="273"/>
      <c r="TRT18" s="273"/>
      <c r="TRU18" s="273"/>
      <c r="TRV18" s="273"/>
      <c r="TRW18" s="273"/>
      <c r="TRX18" s="273"/>
      <c r="TRY18" s="273"/>
      <c r="TRZ18" s="273"/>
      <c r="TSA18" s="273"/>
      <c r="TSB18" s="273"/>
      <c r="TSC18" s="273"/>
      <c r="TSD18" s="273"/>
      <c r="TSE18" s="273"/>
      <c r="TSF18" s="273"/>
      <c r="TSG18" s="273"/>
      <c r="TSH18" s="273"/>
      <c r="TSI18" s="273"/>
      <c r="TSJ18" s="273"/>
      <c r="TSK18" s="273"/>
      <c r="TSL18" s="273"/>
      <c r="TSM18" s="273"/>
      <c r="TSN18" s="273"/>
      <c r="TSO18" s="273"/>
      <c r="TSP18" s="273"/>
      <c r="TSQ18" s="273"/>
      <c r="TSR18" s="273"/>
      <c r="TSS18" s="273"/>
      <c r="TST18" s="273"/>
      <c r="TSU18" s="273"/>
      <c r="TSV18" s="273"/>
      <c r="TSW18" s="273"/>
      <c r="TSX18" s="273"/>
      <c r="TSY18" s="273"/>
      <c r="TSZ18" s="273"/>
      <c r="TTA18" s="273"/>
      <c r="TTB18" s="273"/>
      <c r="TTC18" s="273"/>
      <c r="TTD18" s="273"/>
      <c r="TTE18" s="273"/>
      <c r="TTF18" s="273"/>
      <c r="TTG18" s="273"/>
      <c r="TTH18" s="273"/>
      <c r="TTI18" s="273"/>
      <c r="TTJ18" s="273"/>
      <c r="TTK18" s="273"/>
      <c r="TTL18" s="273"/>
      <c r="TTM18" s="273"/>
      <c r="TTN18" s="273"/>
      <c r="TTO18" s="273"/>
      <c r="TTP18" s="273"/>
      <c r="TTQ18" s="273"/>
      <c r="TTR18" s="273"/>
      <c r="TTS18" s="273"/>
      <c r="TTT18" s="273"/>
      <c r="TTU18" s="273"/>
      <c r="TTV18" s="273"/>
      <c r="TTW18" s="273"/>
      <c r="TTX18" s="273"/>
      <c r="TTY18" s="273"/>
      <c r="TTZ18" s="273"/>
      <c r="TUA18" s="273"/>
      <c r="TUB18" s="273"/>
      <c r="TUC18" s="273"/>
      <c r="TUD18" s="273"/>
      <c r="TUE18" s="273"/>
      <c r="TUF18" s="273"/>
      <c r="TUG18" s="273"/>
      <c r="TUH18" s="273"/>
      <c r="TUI18" s="273"/>
      <c r="TUJ18" s="273"/>
      <c r="TUK18" s="273"/>
      <c r="TUL18" s="273"/>
      <c r="TUM18" s="273"/>
      <c r="TUN18" s="273"/>
      <c r="TUO18" s="273"/>
      <c r="TUP18" s="273"/>
      <c r="TUQ18" s="273"/>
      <c r="TUR18" s="273"/>
      <c r="TUS18" s="273"/>
      <c r="TUT18" s="273"/>
      <c r="TUU18" s="273"/>
      <c r="TUV18" s="273"/>
      <c r="TUW18" s="273"/>
      <c r="TUX18" s="273"/>
      <c r="TUY18" s="273"/>
      <c r="TUZ18" s="273"/>
      <c r="TVA18" s="273"/>
      <c r="TVB18" s="273"/>
      <c r="TVC18" s="273"/>
      <c r="TVD18" s="273"/>
      <c r="TVE18" s="273"/>
      <c r="TVF18" s="273"/>
      <c r="TVG18" s="273"/>
      <c r="TVH18" s="273"/>
      <c r="TVI18" s="273"/>
      <c r="TVJ18" s="273"/>
      <c r="TVK18" s="273"/>
      <c r="TVL18" s="273"/>
      <c r="TVM18" s="273"/>
      <c r="TVN18" s="273"/>
      <c r="TVO18" s="273"/>
      <c r="TVP18" s="273"/>
      <c r="TVQ18" s="273"/>
      <c r="TVR18" s="273"/>
      <c r="TVS18" s="273"/>
      <c r="TVT18" s="273"/>
      <c r="TVU18" s="273"/>
      <c r="TVV18" s="273"/>
      <c r="TVW18" s="273"/>
      <c r="TVX18" s="273"/>
      <c r="TVY18" s="273"/>
      <c r="TVZ18" s="273"/>
      <c r="TWA18" s="273"/>
      <c r="TWB18" s="273"/>
      <c r="TWC18" s="273"/>
      <c r="TWD18" s="273"/>
      <c r="TWE18" s="273"/>
      <c r="TWF18" s="273"/>
      <c r="TWG18" s="273"/>
      <c r="TWH18" s="273"/>
      <c r="TWI18" s="273"/>
      <c r="TWJ18" s="273"/>
      <c r="TWK18" s="273"/>
      <c r="TWL18" s="273"/>
      <c r="TWM18" s="273"/>
      <c r="TWN18" s="273"/>
      <c r="TWO18" s="273"/>
      <c r="TWP18" s="273"/>
      <c r="TWQ18" s="273"/>
      <c r="TWR18" s="273"/>
      <c r="TWS18" s="273"/>
      <c r="TWT18" s="273"/>
      <c r="TWU18" s="273"/>
      <c r="TWV18" s="273"/>
      <c r="TWW18" s="273"/>
      <c r="TWX18" s="273"/>
      <c r="TWY18" s="273"/>
      <c r="TWZ18" s="273"/>
      <c r="TXA18" s="273"/>
      <c r="TXB18" s="273"/>
      <c r="TXC18" s="273"/>
      <c r="TXD18" s="273"/>
      <c r="TXE18" s="273"/>
      <c r="TXF18" s="273"/>
      <c r="TXG18" s="273"/>
      <c r="TXH18" s="273"/>
      <c r="TXI18" s="273"/>
      <c r="TXJ18" s="273"/>
      <c r="TXK18" s="273"/>
      <c r="TXL18" s="273"/>
      <c r="TXM18" s="273"/>
      <c r="TXN18" s="273"/>
      <c r="TXO18" s="273"/>
      <c r="TXP18" s="273"/>
      <c r="TXQ18" s="273"/>
      <c r="TXR18" s="273"/>
      <c r="TXS18" s="273"/>
      <c r="TXT18" s="273"/>
      <c r="TXU18" s="273"/>
      <c r="TXV18" s="273"/>
      <c r="TXW18" s="273"/>
      <c r="TXX18" s="273"/>
      <c r="TXY18" s="273"/>
      <c r="TXZ18" s="273"/>
      <c r="TYA18" s="273"/>
      <c r="TYB18" s="273"/>
      <c r="TYC18" s="273"/>
      <c r="TYD18" s="273"/>
      <c r="TYE18" s="273"/>
      <c r="TYF18" s="273"/>
      <c r="TYG18" s="273"/>
      <c r="TYH18" s="273"/>
      <c r="TYI18" s="273"/>
      <c r="TYJ18" s="273"/>
      <c r="TYK18" s="273"/>
      <c r="TYL18" s="273"/>
      <c r="TYM18" s="273"/>
      <c r="TYN18" s="273"/>
      <c r="TYO18" s="273"/>
      <c r="TYP18" s="273"/>
      <c r="TYQ18" s="273"/>
      <c r="TYR18" s="273"/>
      <c r="TYS18" s="273"/>
      <c r="TYT18" s="273"/>
      <c r="TYU18" s="273"/>
      <c r="TYV18" s="273"/>
      <c r="TYW18" s="273"/>
      <c r="TYX18" s="273"/>
      <c r="TYY18" s="273"/>
      <c r="TYZ18" s="273"/>
      <c r="TZA18" s="273"/>
      <c r="TZB18" s="273"/>
      <c r="TZC18" s="273"/>
      <c r="TZD18" s="273"/>
      <c r="TZE18" s="273"/>
      <c r="TZF18" s="273"/>
      <c r="TZG18" s="273"/>
      <c r="TZH18" s="273"/>
      <c r="TZI18" s="273"/>
      <c r="TZJ18" s="273"/>
      <c r="TZK18" s="273"/>
      <c r="TZL18" s="273"/>
      <c r="TZM18" s="273"/>
      <c r="TZN18" s="273"/>
      <c r="TZO18" s="273"/>
      <c r="TZP18" s="273"/>
      <c r="TZQ18" s="273"/>
      <c r="TZR18" s="273"/>
      <c r="TZS18" s="273"/>
      <c r="TZT18" s="273"/>
      <c r="TZU18" s="273"/>
      <c r="TZV18" s="273"/>
      <c r="TZW18" s="273"/>
      <c r="TZX18" s="273"/>
      <c r="TZY18" s="273"/>
      <c r="TZZ18" s="273"/>
      <c r="UAA18" s="273"/>
      <c r="UAB18" s="273"/>
      <c r="UAC18" s="273"/>
      <c r="UAD18" s="273"/>
      <c r="UAE18" s="273"/>
      <c r="UAF18" s="273"/>
      <c r="UAG18" s="273"/>
      <c r="UAH18" s="273"/>
      <c r="UAI18" s="273"/>
      <c r="UAJ18" s="273"/>
      <c r="UAK18" s="273"/>
      <c r="UAL18" s="273"/>
      <c r="UAM18" s="273"/>
      <c r="UAN18" s="273"/>
      <c r="UAO18" s="273"/>
      <c r="UAP18" s="273"/>
      <c r="UAQ18" s="273"/>
      <c r="UAR18" s="273"/>
      <c r="UAS18" s="273"/>
      <c r="UAT18" s="273"/>
      <c r="UAU18" s="273"/>
      <c r="UAV18" s="273"/>
      <c r="UAW18" s="273"/>
      <c r="UAX18" s="273"/>
      <c r="UAY18" s="273"/>
      <c r="UAZ18" s="273"/>
      <c r="UBA18" s="273"/>
      <c r="UBB18" s="273"/>
      <c r="UBC18" s="273"/>
      <c r="UBD18" s="273"/>
      <c r="UBE18" s="273"/>
      <c r="UBF18" s="273"/>
      <c r="UBG18" s="273"/>
      <c r="UBH18" s="273"/>
      <c r="UBI18" s="273"/>
      <c r="UBJ18" s="273"/>
      <c r="UBK18" s="273"/>
      <c r="UBL18" s="273"/>
      <c r="UBM18" s="273"/>
      <c r="UBN18" s="273"/>
      <c r="UBO18" s="273"/>
      <c r="UBP18" s="273"/>
      <c r="UBQ18" s="273"/>
      <c r="UBR18" s="273"/>
      <c r="UBS18" s="273"/>
      <c r="UBT18" s="273"/>
      <c r="UBU18" s="273"/>
      <c r="UBV18" s="273"/>
      <c r="UBW18" s="273"/>
      <c r="UBX18" s="273"/>
      <c r="UBY18" s="273"/>
      <c r="UBZ18" s="273"/>
      <c r="UCA18" s="273"/>
      <c r="UCB18" s="273"/>
      <c r="UCC18" s="273"/>
      <c r="UCD18" s="273"/>
      <c r="UCE18" s="273"/>
      <c r="UCF18" s="273"/>
      <c r="UCG18" s="273"/>
      <c r="UCH18" s="273"/>
      <c r="UCI18" s="273"/>
      <c r="UCJ18" s="273"/>
      <c r="UCK18" s="273"/>
      <c r="UCL18" s="273"/>
      <c r="UCM18" s="273"/>
      <c r="UCN18" s="273"/>
      <c r="UCO18" s="273"/>
      <c r="UCP18" s="273"/>
      <c r="UCQ18" s="273"/>
      <c r="UCR18" s="273"/>
      <c r="UCS18" s="273"/>
      <c r="UCT18" s="273"/>
      <c r="UCU18" s="273"/>
      <c r="UCV18" s="273"/>
      <c r="UCW18" s="273"/>
      <c r="UCX18" s="273"/>
      <c r="UCY18" s="273"/>
      <c r="UCZ18" s="273"/>
      <c r="UDA18" s="273"/>
      <c r="UDB18" s="273"/>
      <c r="UDC18" s="273"/>
      <c r="UDD18" s="273"/>
      <c r="UDE18" s="273"/>
      <c r="UDF18" s="273"/>
      <c r="UDG18" s="273"/>
      <c r="UDH18" s="273"/>
      <c r="UDI18" s="273"/>
      <c r="UDJ18" s="273"/>
      <c r="UDK18" s="273"/>
      <c r="UDL18" s="273"/>
      <c r="UDM18" s="273"/>
      <c r="UDN18" s="273"/>
      <c r="UDO18" s="273"/>
      <c r="UDP18" s="273"/>
      <c r="UDQ18" s="273"/>
      <c r="UDR18" s="273"/>
      <c r="UDS18" s="273"/>
      <c r="UDT18" s="273"/>
      <c r="UDU18" s="273"/>
      <c r="UDV18" s="273"/>
      <c r="UDW18" s="273"/>
      <c r="UDX18" s="273"/>
      <c r="UDY18" s="273"/>
      <c r="UDZ18" s="273"/>
      <c r="UEA18" s="273"/>
      <c r="UEB18" s="273"/>
      <c r="UEC18" s="273"/>
      <c r="UED18" s="273"/>
      <c r="UEE18" s="273"/>
      <c r="UEF18" s="273"/>
      <c r="UEG18" s="273"/>
      <c r="UEH18" s="273"/>
      <c r="UEI18" s="273"/>
      <c r="UEJ18" s="273"/>
      <c r="UEK18" s="273"/>
      <c r="UEL18" s="273"/>
      <c r="UEM18" s="273"/>
      <c r="UEN18" s="273"/>
      <c r="UEO18" s="273"/>
      <c r="UEP18" s="273"/>
      <c r="UEQ18" s="273"/>
      <c r="UER18" s="273"/>
      <c r="UES18" s="273"/>
      <c r="UET18" s="273"/>
      <c r="UEU18" s="273"/>
      <c r="UEV18" s="273"/>
      <c r="UEW18" s="273"/>
      <c r="UEX18" s="273"/>
      <c r="UEY18" s="273"/>
      <c r="UEZ18" s="273"/>
      <c r="UFA18" s="273"/>
      <c r="UFB18" s="273"/>
      <c r="UFC18" s="273"/>
      <c r="UFD18" s="273"/>
      <c r="UFE18" s="273"/>
      <c r="UFF18" s="273"/>
      <c r="UFG18" s="273"/>
      <c r="UFH18" s="273"/>
      <c r="UFI18" s="273"/>
      <c r="UFJ18" s="273"/>
      <c r="UFK18" s="273"/>
      <c r="UFL18" s="273"/>
      <c r="UFM18" s="273"/>
      <c r="UFN18" s="273"/>
      <c r="UFO18" s="273"/>
      <c r="UFP18" s="273"/>
      <c r="UFQ18" s="273"/>
      <c r="UFR18" s="273"/>
      <c r="UFS18" s="273"/>
      <c r="UFT18" s="273"/>
      <c r="UFU18" s="273"/>
      <c r="UFV18" s="273"/>
      <c r="UFW18" s="273"/>
      <c r="UFX18" s="273"/>
      <c r="UFY18" s="273"/>
      <c r="UFZ18" s="273"/>
      <c r="UGA18" s="273"/>
      <c r="UGB18" s="273"/>
      <c r="UGC18" s="273"/>
      <c r="UGD18" s="273"/>
      <c r="UGE18" s="273"/>
      <c r="UGF18" s="273"/>
      <c r="UGG18" s="273"/>
      <c r="UGH18" s="273"/>
      <c r="UGI18" s="273"/>
      <c r="UGJ18" s="273"/>
      <c r="UGK18" s="273"/>
      <c r="UGL18" s="273"/>
      <c r="UGM18" s="273"/>
      <c r="UGN18" s="273"/>
      <c r="UGO18" s="273"/>
      <c r="UGP18" s="273"/>
      <c r="UGQ18" s="273"/>
      <c r="UGR18" s="273"/>
      <c r="UGS18" s="273"/>
      <c r="UGT18" s="273"/>
      <c r="UGU18" s="273"/>
      <c r="UGV18" s="273"/>
      <c r="UGW18" s="273"/>
      <c r="UGX18" s="273"/>
      <c r="UGY18" s="273"/>
      <c r="UGZ18" s="273"/>
      <c r="UHA18" s="273"/>
      <c r="UHB18" s="273"/>
      <c r="UHC18" s="273"/>
      <c r="UHD18" s="273"/>
      <c r="UHE18" s="273"/>
      <c r="UHF18" s="273"/>
      <c r="UHG18" s="273"/>
      <c r="UHH18" s="273"/>
      <c r="UHI18" s="273"/>
      <c r="UHJ18" s="273"/>
      <c r="UHK18" s="273"/>
      <c r="UHL18" s="273"/>
      <c r="UHM18" s="273"/>
      <c r="UHN18" s="273"/>
      <c r="UHO18" s="273"/>
      <c r="UHP18" s="273"/>
      <c r="UHQ18" s="273"/>
      <c r="UHR18" s="273"/>
      <c r="UHS18" s="273"/>
      <c r="UHT18" s="273"/>
      <c r="UHU18" s="273"/>
      <c r="UHV18" s="273"/>
      <c r="UHW18" s="273"/>
      <c r="UHX18" s="273"/>
      <c r="UHY18" s="273"/>
      <c r="UHZ18" s="273"/>
      <c r="UIA18" s="273"/>
      <c r="UIB18" s="273"/>
      <c r="UIC18" s="273"/>
      <c r="UID18" s="273"/>
      <c r="UIE18" s="273"/>
      <c r="UIF18" s="273"/>
      <c r="UIG18" s="273"/>
      <c r="UIH18" s="273"/>
      <c r="UII18" s="273"/>
      <c r="UIJ18" s="273"/>
      <c r="UIK18" s="273"/>
      <c r="UIL18" s="273"/>
      <c r="UIM18" s="273"/>
      <c r="UIN18" s="273"/>
      <c r="UIO18" s="273"/>
      <c r="UIP18" s="273"/>
      <c r="UIQ18" s="273"/>
      <c r="UIR18" s="273"/>
      <c r="UIS18" s="273"/>
      <c r="UIT18" s="273"/>
      <c r="UIU18" s="273"/>
      <c r="UIV18" s="273"/>
      <c r="UIW18" s="273"/>
      <c r="UIX18" s="273"/>
      <c r="UIY18" s="273"/>
      <c r="UIZ18" s="273"/>
      <c r="UJA18" s="273"/>
      <c r="UJB18" s="273"/>
      <c r="UJC18" s="273"/>
      <c r="UJD18" s="273"/>
      <c r="UJE18" s="273"/>
      <c r="UJF18" s="273"/>
      <c r="UJG18" s="273"/>
      <c r="UJH18" s="273"/>
      <c r="UJI18" s="273"/>
      <c r="UJJ18" s="273"/>
      <c r="UJK18" s="273"/>
      <c r="UJL18" s="273"/>
      <c r="UJM18" s="273"/>
      <c r="UJN18" s="273"/>
      <c r="UJO18" s="273"/>
      <c r="UJP18" s="273"/>
      <c r="UJQ18" s="273"/>
      <c r="UJR18" s="273"/>
      <c r="UJS18" s="273"/>
      <c r="UJT18" s="273"/>
      <c r="UJU18" s="273"/>
      <c r="UJV18" s="273"/>
      <c r="UJW18" s="273"/>
      <c r="UJX18" s="273"/>
      <c r="UJY18" s="273"/>
      <c r="UJZ18" s="273"/>
      <c r="UKA18" s="273"/>
      <c r="UKB18" s="273"/>
      <c r="UKC18" s="273"/>
      <c r="UKD18" s="273"/>
      <c r="UKE18" s="273"/>
      <c r="UKF18" s="273"/>
      <c r="UKG18" s="273"/>
      <c r="UKH18" s="273"/>
      <c r="UKI18" s="273"/>
      <c r="UKJ18" s="273"/>
      <c r="UKK18" s="273"/>
      <c r="UKL18" s="273"/>
      <c r="UKM18" s="273"/>
      <c r="UKN18" s="273"/>
      <c r="UKO18" s="273"/>
      <c r="UKP18" s="273"/>
      <c r="UKQ18" s="273"/>
      <c r="UKR18" s="273"/>
      <c r="UKS18" s="273"/>
      <c r="UKT18" s="273"/>
      <c r="UKU18" s="273"/>
      <c r="UKV18" s="273"/>
      <c r="UKW18" s="273"/>
      <c r="UKX18" s="273"/>
      <c r="UKY18" s="273"/>
      <c r="UKZ18" s="273"/>
      <c r="ULA18" s="273"/>
      <c r="ULB18" s="273"/>
      <c r="ULC18" s="273"/>
      <c r="ULD18" s="273"/>
      <c r="ULE18" s="273"/>
      <c r="ULF18" s="273"/>
      <c r="ULG18" s="273"/>
      <c r="ULH18" s="273"/>
      <c r="ULI18" s="273"/>
      <c r="ULJ18" s="273"/>
      <c r="ULK18" s="273"/>
      <c r="ULL18" s="273"/>
      <c r="ULM18" s="273"/>
      <c r="ULN18" s="273"/>
      <c r="ULO18" s="273"/>
      <c r="ULP18" s="273"/>
      <c r="ULQ18" s="273"/>
      <c r="ULR18" s="273"/>
      <c r="ULS18" s="273"/>
      <c r="ULT18" s="273"/>
      <c r="ULU18" s="273"/>
      <c r="ULV18" s="273"/>
      <c r="ULW18" s="273"/>
      <c r="ULX18" s="273"/>
      <c r="ULY18" s="273"/>
      <c r="ULZ18" s="273"/>
      <c r="UMA18" s="273"/>
      <c r="UMB18" s="273"/>
      <c r="UMC18" s="273"/>
      <c r="UMD18" s="273"/>
      <c r="UME18" s="273"/>
      <c r="UMF18" s="273"/>
      <c r="UMG18" s="273"/>
      <c r="UMH18" s="273"/>
      <c r="UMI18" s="273"/>
      <c r="UMJ18" s="273"/>
      <c r="UMK18" s="273"/>
      <c r="UML18" s="273"/>
      <c r="UMM18" s="273"/>
      <c r="UMN18" s="273"/>
      <c r="UMO18" s="273"/>
      <c r="UMP18" s="273"/>
      <c r="UMQ18" s="273"/>
      <c r="UMR18" s="273"/>
      <c r="UMS18" s="273"/>
      <c r="UMT18" s="273"/>
      <c r="UMU18" s="273"/>
      <c r="UMV18" s="273"/>
      <c r="UMW18" s="273"/>
      <c r="UMX18" s="273"/>
      <c r="UMY18" s="273"/>
      <c r="UMZ18" s="273"/>
      <c r="UNA18" s="273"/>
      <c r="UNB18" s="273"/>
      <c r="UNC18" s="273"/>
      <c r="UND18" s="273"/>
      <c r="UNE18" s="273"/>
      <c r="UNF18" s="273"/>
      <c r="UNG18" s="273"/>
      <c r="UNH18" s="273"/>
      <c r="UNI18" s="273"/>
      <c r="UNJ18" s="273"/>
      <c r="UNK18" s="273"/>
      <c r="UNL18" s="273"/>
      <c r="UNM18" s="273"/>
      <c r="UNN18" s="273"/>
      <c r="UNO18" s="273"/>
      <c r="UNP18" s="273"/>
      <c r="UNQ18" s="273"/>
      <c r="UNR18" s="273"/>
      <c r="UNS18" s="273"/>
      <c r="UNT18" s="273"/>
      <c r="UNU18" s="273"/>
      <c r="UNV18" s="273"/>
      <c r="UNW18" s="273"/>
      <c r="UNX18" s="273"/>
      <c r="UNY18" s="273"/>
      <c r="UNZ18" s="273"/>
      <c r="UOA18" s="273"/>
      <c r="UOB18" s="273"/>
      <c r="UOC18" s="273"/>
      <c r="UOD18" s="273"/>
      <c r="UOE18" s="273"/>
      <c r="UOF18" s="273"/>
      <c r="UOG18" s="273"/>
      <c r="UOH18" s="273"/>
      <c r="UOI18" s="273"/>
      <c r="UOJ18" s="273"/>
      <c r="UOK18" s="273"/>
      <c r="UOL18" s="273"/>
      <c r="UOM18" s="273"/>
      <c r="UON18" s="273"/>
      <c r="UOO18" s="273"/>
      <c r="UOP18" s="273"/>
      <c r="UOQ18" s="273"/>
      <c r="UOR18" s="273"/>
      <c r="UOS18" s="273"/>
      <c r="UOT18" s="273"/>
      <c r="UOU18" s="273"/>
      <c r="UOV18" s="273"/>
      <c r="UOW18" s="273"/>
      <c r="UOX18" s="273"/>
      <c r="UOY18" s="273"/>
      <c r="UOZ18" s="273"/>
      <c r="UPA18" s="273"/>
      <c r="UPB18" s="273"/>
      <c r="UPC18" s="273"/>
      <c r="UPD18" s="273"/>
      <c r="UPE18" s="273"/>
      <c r="UPF18" s="273"/>
      <c r="UPG18" s="273"/>
      <c r="UPH18" s="273"/>
      <c r="UPI18" s="273"/>
      <c r="UPJ18" s="273"/>
      <c r="UPK18" s="273"/>
      <c r="UPL18" s="273"/>
      <c r="UPM18" s="273"/>
      <c r="UPN18" s="273"/>
      <c r="UPO18" s="273"/>
      <c r="UPP18" s="273"/>
      <c r="UPQ18" s="273"/>
      <c r="UPR18" s="273"/>
      <c r="UPS18" s="273"/>
      <c r="UPT18" s="273"/>
      <c r="UPU18" s="273"/>
      <c r="UPV18" s="273"/>
      <c r="UPW18" s="273"/>
      <c r="UPX18" s="273"/>
      <c r="UPY18" s="273"/>
      <c r="UPZ18" s="273"/>
      <c r="UQA18" s="273"/>
      <c r="UQB18" s="273"/>
      <c r="UQC18" s="273"/>
      <c r="UQD18" s="273"/>
      <c r="UQE18" s="273"/>
      <c r="UQF18" s="273"/>
      <c r="UQG18" s="273"/>
      <c r="UQH18" s="273"/>
      <c r="UQI18" s="273"/>
      <c r="UQJ18" s="273"/>
      <c r="UQK18" s="273"/>
      <c r="UQL18" s="273"/>
      <c r="UQM18" s="273"/>
      <c r="UQN18" s="273"/>
      <c r="UQO18" s="273"/>
      <c r="UQP18" s="273"/>
      <c r="UQQ18" s="273"/>
      <c r="UQR18" s="273"/>
      <c r="UQS18" s="273"/>
      <c r="UQT18" s="273"/>
      <c r="UQU18" s="273"/>
      <c r="UQV18" s="273"/>
      <c r="UQW18" s="273"/>
      <c r="UQX18" s="273"/>
      <c r="UQY18" s="273"/>
      <c r="UQZ18" s="273"/>
      <c r="URA18" s="273"/>
      <c r="URB18" s="273"/>
      <c r="URC18" s="273"/>
      <c r="URD18" s="273"/>
      <c r="URE18" s="273"/>
      <c r="URF18" s="273"/>
      <c r="URG18" s="273"/>
      <c r="URH18" s="273"/>
      <c r="URI18" s="273"/>
      <c r="URJ18" s="273"/>
      <c r="URK18" s="273"/>
      <c r="URL18" s="273"/>
      <c r="URM18" s="273"/>
      <c r="URN18" s="273"/>
      <c r="URO18" s="273"/>
      <c r="URP18" s="273"/>
      <c r="URQ18" s="273"/>
      <c r="URR18" s="273"/>
      <c r="URS18" s="273"/>
      <c r="URT18" s="273"/>
      <c r="URU18" s="273"/>
      <c r="URV18" s="273"/>
      <c r="URW18" s="273"/>
      <c r="URX18" s="273"/>
      <c r="URY18" s="273"/>
      <c r="URZ18" s="273"/>
      <c r="USA18" s="273"/>
      <c r="USB18" s="273"/>
      <c r="USC18" s="273"/>
      <c r="USD18" s="273"/>
      <c r="USE18" s="273"/>
      <c r="USF18" s="273"/>
      <c r="USG18" s="273"/>
      <c r="USH18" s="273"/>
      <c r="USI18" s="273"/>
      <c r="USJ18" s="273"/>
      <c r="USK18" s="273"/>
      <c r="USL18" s="273"/>
      <c r="USM18" s="273"/>
      <c r="USN18" s="273"/>
      <c r="USO18" s="273"/>
      <c r="USP18" s="273"/>
      <c r="USQ18" s="273"/>
      <c r="USR18" s="273"/>
      <c r="USS18" s="273"/>
      <c r="UST18" s="273"/>
      <c r="USU18" s="273"/>
      <c r="USV18" s="273"/>
      <c r="USW18" s="273"/>
      <c r="USX18" s="273"/>
      <c r="USY18" s="273"/>
      <c r="USZ18" s="273"/>
      <c r="UTA18" s="273"/>
      <c r="UTB18" s="273"/>
      <c r="UTC18" s="273"/>
      <c r="UTD18" s="273"/>
      <c r="UTE18" s="273"/>
      <c r="UTF18" s="273"/>
      <c r="UTG18" s="273"/>
      <c r="UTH18" s="273"/>
      <c r="UTI18" s="273"/>
      <c r="UTJ18" s="273"/>
      <c r="UTK18" s="273"/>
      <c r="UTL18" s="273"/>
      <c r="UTM18" s="273"/>
      <c r="UTN18" s="273"/>
      <c r="UTO18" s="273"/>
      <c r="UTP18" s="273"/>
      <c r="UTQ18" s="273"/>
      <c r="UTR18" s="273"/>
      <c r="UTS18" s="273"/>
      <c r="UTT18" s="273"/>
      <c r="UTU18" s="273"/>
      <c r="UTV18" s="273"/>
      <c r="UTW18" s="273"/>
      <c r="UTX18" s="273"/>
      <c r="UTY18" s="273"/>
      <c r="UTZ18" s="273"/>
      <c r="UUA18" s="273"/>
      <c r="UUB18" s="273"/>
      <c r="UUC18" s="273"/>
      <c r="UUD18" s="273"/>
      <c r="UUE18" s="273"/>
      <c r="UUF18" s="273"/>
      <c r="UUG18" s="273"/>
      <c r="UUH18" s="273"/>
      <c r="UUI18" s="273"/>
      <c r="UUJ18" s="273"/>
      <c r="UUK18" s="273"/>
      <c r="UUL18" s="273"/>
      <c r="UUM18" s="273"/>
      <c r="UUN18" s="273"/>
      <c r="UUO18" s="273"/>
      <c r="UUP18" s="273"/>
      <c r="UUQ18" s="273"/>
      <c r="UUR18" s="273"/>
      <c r="UUS18" s="273"/>
      <c r="UUT18" s="273"/>
      <c r="UUU18" s="273"/>
      <c r="UUV18" s="273"/>
      <c r="UUW18" s="273"/>
      <c r="UUX18" s="273"/>
      <c r="UUY18" s="273"/>
      <c r="UUZ18" s="273"/>
      <c r="UVA18" s="273"/>
      <c r="UVB18" s="273"/>
      <c r="UVC18" s="273"/>
      <c r="UVD18" s="273"/>
      <c r="UVE18" s="273"/>
      <c r="UVF18" s="273"/>
      <c r="UVG18" s="273"/>
      <c r="UVH18" s="273"/>
      <c r="UVI18" s="273"/>
      <c r="UVJ18" s="273"/>
      <c r="UVK18" s="273"/>
      <c r="UVL18" s="273"/>
      <c r="UVM18" s="273"/>
      <c r="UVN18" s="273"/>
      <c r="UVO18" s="273"/>
      <c r="UVP18" s="273"/>
      <c r="UVQ18" s="273"/>
      <c r="UVR18" s="273"/>
      <c r="UVS18" s="273"/>
      <c r="UVT18" s="273"/>
      <c r="UVU18" s="273"/>
      <c r="UVV18" s="273"/>
      <c r="UVW18" s="273"/>
      <c r="UVX18" s="273"/>
      <c r="UVY18" s="273"/>
      <c r="UVZ18" s="273"/>
      <c r="UWA18" s="273"/>
      <c r="UWB18" s="273"/>
      <c r="UWC18" s="273"/>
      <c r="UWD18" s="273"/>
      <c r="UWE18" s="273"/>
      <c r="UWF18" s="273"/>
      <c r="UWG18" s="273"/>
      <c r="UWH18" s="273"/>
      <c r="UWI18" s="273"/>
      <c r="UWJ18" s="273"/>
      <c r="UWK18" s="273"/>
      <c r="UWL18" s="273"/>
      <c r="UWM18" s="273"/>
      <c r="UWN18" s="273"/>
      <c r="UWO18" s="273"/>
      <c r="UWP18" s="273"/>
      <c r="UWQ18" s="273"/>
      <c r="UWR18" s="273"/>
      <c r="UWS18" s="273"/>
      <c r="UWT18" s="273"/>
      <c r="UWU18" s="273"/>
      <c r="UWV18" s="273"/>
      <c r="UWW18" s="273"/>
      <c r="UWX18" s="273"/>
      <c r="UWY18" s="273"/>
      <c r="UWZ18" s="273"/>
      <c r="UXA18" s="273"/>
      <c r="UXB18" s="273"/>
      <c r="UXC18" s="273"/>
      <c r="UXD18" s="273"/>
      <c r="UXE18" s="273"/>
      <c r="UXF18" s="273"/>
      <c r="UXG18" s="273"/>
      <c r="UXH18" s="273"/>
      <c r="UXI18" s="273"/>
      <c r="UXJ18" s="273"/>
      <c r="UXK18" s="273"/>
      <c r="UXL18" s="273"/>
      <c r="UXM18" s="273"/>
      <c r="UXN18" s="273"/>
      <c r="UXO18" s="273"/>
      <c r="UXP18" s="273"/>
      <c r="UXQ18" s="273"/>
      <c r="UXR18" s="273"/>
      <c r="UXS18" s="273"/>
      <c r="UXT18" s="273"/>
      <c r="UXU18" s="273"/>
      <c r="UXV18" s="273"/>
      <c r="UXW18" s="273"/>
      <c r="UXX18" s="273"/>
      <c r="UXY18" s="273"/>
      <c r="UXZ18" s="273"/>
      <c r="UYA18" s="273"/>
      <c r="UYB18" s="273"/>
      <c r="UYC18" s="273"/>
      <c r="UYD18" s="273"/>
      <c r="UYE18" s="273"/>
      <c r="UYF18" s="273"/>
      <c r="UYG18" s="273"/>
      <c r="UYH18" s="273"/>
      <c r="UYI18" s="273"/>
      <c r="UYJ18" s="273"/>
      <c r="UYK18" s="273"/>
      <c r="UYL18" s="273"/>
      <c r="UYM18" s="273"/>
      <c r="UYN18" s="273"/>
      <c r="UYO18" s="273"/>
      <c r="UYP18" s="273"/>
      <c r="UYQ18" s="273"/>
      <c r="UYR18" s="273"/>
      <c r="UYS18" s="273"/>
      <c r="UYT18" s="273"/>
      <c r="UYU18" s="273"/>
      <c r="UYV18" s="273"/>
      <c r="UYW18" s="273"/>
      <c r="UYX18" s="273"/>
      <c r="UYY18" s="273"/>
      <c r="UYZ18" s="273"/>
      <c r="UZA18" s="273"/>
      <c r="UZB18" s="273"/>
      <c r="UZC18" s="273"/>
      <c r="UZD18" s="273"/>
      <c r="UZE18" s="273"/>
      <c r="UZF18" s="273"/>
      <c r="UZG18" s="273"/>
      <c r="UZH18" s="273"/>
      <c r="UZI18" s="273"/>
      <c r="UZJ18" s="273"/>
      <c r="UZK18" s="273"/>
      <c r="UZL18" s="273"/>
      <c r="UZM18" s="273"/>
      <c r="UZN18" s="273"/>
      <c r="UZO18" s="273"/>
      <c r="UZP18" s="273"/>
      <c r="UZQ18" s="273"/>
      <c r="UZR18" s="273"/>
      <c r="UZS18" s="273"/>
      <c r="UZT18" s="273"/>
      <c r="UZU18" s="273"/>
      <c r="UZV18" s="273"/>
      <c r="UZW18" s="273"/>
      <c r="UZX18" s="273"/>
      <c r="UZY18" s="273"/>
      <c r="UZZ18" s="273"/>
      <c r="VAA18" s="273"/>
      <c r="VAB18" s="273"/>
      <c r="VAC18" s="273"/>
      <c r="VAD18" s="273"/>
      <c r="VAE18" s="273"/>
      <c r="VAF18" s="273"/>
      <c r="VAG18" s="273"/>
      <c r="VAH18" s="273"/>
      <c r="VAI18" s="273"/>
      <c r="VAJ18" s="273"/>
      <c r="VAK18" s="273"/>
      <c r="VAL18" s="273"/>
      <c r="VAM18" s="273"/>
      <c r="VAN18" s="273"/>
      <c r="VAO18" s="273"/>
      <c r="VAP18" s="273"/>
      <c r="VAQ18" s="273"/>
      <c r="VAR18" s="273"/>
      <c r="VAS18" s="273"/>
      <c r="VAT18" s="273"/>
      <c r="VAU18" s="273"/>
      <c r="VAV18" s="273"/>
      <c r="VAW18" s="273"/>
      <c r="VAX18" s="273"/>
      <c r="VAY18" s="273"/>
      <c r="VAZ18" s="273"/>
      <c r="VBA18" s="273"/>
      <c r="VBB18" s="273"/>
      <c r="VBC18" s="273"/>
      <c r="VBD18" s="273"/>
      <c r="VBE18" s="273"/>
      <c r="VBF18" s="273"/>
      <c r="VBG18" s="273"/>
      <c r="VBH18" s="273"/>
      <c r="VBI18" s="273"/>
      <c r="VBJ18" s="273"/>
      <c r="VBK18" s="273"/>
      <c r="VBL18" s="273"/>
      <c r="VBM18" s="273"/>
      <c r="VBN18" s="273"/>
      <c r="VBO18" s="273"/>
      <c r="VBP18" s="273"/>
      <c r="VBQ18" s="273"/>
      <c r="VBR18" s="273"/>
      <c r="VBS18" s="273"/>
      <c r="VBT18" s="273"/>
      <c r="VBU18" s="273"/>
      <c r="VBV18" s="273"/>
      <c r="VBW18" s="273"/>
      <c r="VBX18" s="273"/>
      <c r="VBY18" s="273"/>
      <c r="VBZ18" s="273"/>
      <c r="VCA18" s="273"/>
      <c r="VCB18" s="273"/>
      <c r="VCC18" s="273"/>
      <c r="VCD18" s="273"/>
      <c r="VCE18" s="273"/>
      <c r="VCF18" s="273"/>
      <c r="VCG18" s="273"/>
      <c r="VCH18" s="273"/>
      <c r="VCI18" s="273"/>
      <c r="VCJ18" s="273"/>
      <c r="VCK18" s="273"/>
      <c r="VCL18" s="273"/>
      <c r="VCM18" s="273"/>
      <c r="VCN18" s="273"/>
      <c r="VCO18" s="273"/>
      <c r="VCP18" s="273"/>
      <c r="VCQ18" s="273"/>
      <c r="VCR18" s="273"/>
      <c r="VCS18" s="273"/>
      <c r="VCT18" s="273"/>
      <c r="VCU18" s="273"/>
      <c r="VCV18" s="273"/>
      <c r="VCW18" s="273"/>
      <c r="VCX18" s="273"/>
      <c r="VCY18" s="273"/>
      <c r="VCZ18" s="273"/>
      <c r="VDA18" s="273"/>
      <c r="VDB18" s="273"/>
      <c r="VDC18" s="273"/>
      <c r="VDD18" s="273"/>
      <c r="VDE18" s="273"/>
      <c r="VDF18" s="273"/>
      <c r="VDG18" s="273"/>
      <c r="VDH18" s="273"/>
      <c r="VDI18" s="273"/>
      <c r="VDJ18" s="273"/>
      <c r="VDK18" s="273"/>
      <c r="VDL18" s="273"/>
      <c r="VDM18" s="273"/>
      <c r="VDN18" s="273"/>
      <c r="VDO18" s="273"/>
      <c r="VDP18" s="273"/>
      <c r="VDQ18" s="273"/>
      <c r="VDR18" s="273"/>
      <c r="VDS18" s="273"/>
      <c r="VDT18" s="273"/>
      <c r="VDU18" s="273"/>
      <c r="VDV18" s="273"/>
      <c r="VDW18" s="273"/>
      <c r="VDX18" s="273"/>
      <c r="VDY18" s="273"/>
      <c r="VDZ18" s="273"/>
      <c r="VEA18" s="273"/>
      <c r="VEB18" s="273"/>
      <c r="VEC18" s="273"/>
      <c r="VED18" s="273"/>
      <c r="VEE18" s="273"/>
      <c r="VEF18" s="273"/>
      <c r="VEG18" s="273"/>
      <c r="VEH18" s="273"/>
      <c r="VEI18" s="273"/>
      <c r="VEJ18" s="273"/>
      <c r="VEK18" s="273"/>
      <c r="VEL18" s="273"/>
      <c r="VEM18" s="273"/>
      <c r="VEN18" s="273"/>
      <c r="VEO18" s="273"/>
      <c r="VEP18" s="273"/>
      <c r="VEQ18" s="273"/>
      <c r="VER18" s="273"/>
      <c r="VES18" s="273"/>
      <c r="VET18" s="273"/>
      <c r="VEU18" s="273"/>
      <c r="VEV18" s="273"/>
      <c r="VEW18" s="273"/>
      <c r="VEX18" s="273"/>
      <c r="VEY18" s="273"/>
      <c r="VEZ18" s="273"/>
      <c r="VFA18" s="273"/>
      <c r="VFB18" s="273"/>
      <c r="VFC18" s="273"/>
      <c r="VFD18" s="273"/>
      <c r="VFE18" s="273"/>
      <c r="VFF18" s="273"/>
      <c r="VFG18" s="273"/>
      <c r="VFH18" s="273"/>
      <c r="VFI18" s="273"/>
      <c r="VFJ18" s="273"/>
      <c r="VFK18" s="273"/>
      <c r="VFL18" s="273"/>
      <c r="VFM18" s="273"/>
      <c r="VFN18" s="273"/>
      <c r="VFO18" s="273"/>
      <c r="VFP18" s="273"/>
      <c r="VFQ18" s="273"/>
      <c r="VFR18" s="273"/>
      <c r="VFS18" s="273"/>
      <c r="VFT18" s="273"/>
      <c r="VFU18" s="273"/>
      <c r="VFV18" s="273"/>
      <c r="VFW18" s="273"/>
      <c r="VFX18" s="273"/>
      <c r="VFY18" s="273"/>
      <c r="VFZ18" s="273"/>
      <c r="VGA18" s="273"/>
      <c r="VGB18" s="273"/>
      <c r="VGC18" s="273"/>
      <c r="VGD18" s="273"/>
      <c r="VGE18" s="273"/>
      <c r="VGF18" s="273"/>
      <c r="VGG18" s="273"/>
      <c r="VGH18" s="273"/>
      <c r="VGI18" s="273"/>
      <c r="VGJ18" s="273"/>
      <c r="VGK18" s="273"/>
      <c r="VGL18" s="273"/>
      <c r="VGM18" s="273"/>
      <c r="VGN18" s="273"/>
      <c r="VGO18" s="273"/>
      <c r="VGP18" s="273"/>
      <c r="VGQ18" s="273"/>
      <c r="VGR18" s="273"/>
      <c r="VGS18" s="273"/>
      <c r="VGT18" s="273"/>
      <c r="VGU18" s="273"/>
      <c r="VGV18" s="273"/>
      <c r="VGW18" s="273"/>
      <c r="VGX18" s="273"/>
      <c r="VGY18" s="273"/>
      <c r="VGZ18" s="273"/>
      <c r="VHA18" s="273"/>
      <c r="VHB18" s="273"/>
      <c r="VHC18" s="273"/>
      <c r="VHD18" s="273"/>
      <c r="VHE18" s="273"/>
      <c r="VHF18" s="273"/>
      <c r="VHG18" s="273"/>
      <c r="VHH18" s="273"/>
      <c r="VHI18" s="273"/>
      <c r="VHJ18" s="273"/>
      <c r="VHK18" s="273"/>
      <c r="VHL18" s="273"/>
      <c r="VHM18" s="273"/>
      <c r="VHN18" s="273"/>
      <c r="VHO18" s="273"/>
      <c r="VHP18" s="273"/>
      <c r="VHQ18" s="273"/>
      <c r="VHR18" s="273"/>
      <c r="VHS18" s="273"/>
      <c r="VHT18" s="273"/>
      <c r="VHU18" s="273"/>
      <c r="VHV18" s="273"/>
      <c r="VHW18" s="273"/>
      <c r="VHX18" s="273"/>
      <c r="VHY18" s="273"/>
      <c r="VHZ18" s="273"/>
      <c r="VIA18" s="273"/>
      <c r="VIB18" s="273"/>
      <c r="VIC18" s="273"/>
      <c r="VID18" s="273"/>
      <c r="VIE18" s="273"/>
      <c r="VIF18" s="273"/>
      <c r="VIG18" s="273"/>
      <c r="VIH18" s="273"/>
      <c r="VII18" s="273"/>
      <c r="VIJ18" s="273"/>
      <c r="VIK18" s="273"/>
      <c r="VIL18" s="273"/>
      <c r="VIM18" s="273"/>
      <c r="VIN18" s="273"/>
      <c r="VIO18" s="273"/>
      <c r="VIP18" s="273"/>
      <c r="VIQ18" s="273"/>
      <c r="VIR18" s="273"/>
      <c r="VIS18" s="273"/>
      <c r="VIT18" s="273"/>
      <c r="VIU18" s="273"/>
      <c r="VIV18" s="273"/>
      <c r="VIW18" s="273"/>
      <c r="VIX18" s="273"/>
      <c r="VIY18" s="273"/>
      <c r="VIZ18" s="273"/>
      <c r="VJA18" s="273"/>
      <c r="VJB18" s="273"/>
      <c r="VJC18" s="273"/>
      <c r="VJD18" s="273"/>
      <c r="VJE18" s="273"/>
      <c r="VJF18" s="273"/>
      <c r="VJG18" s="273"/>
      <c r="VJH18" s="273"/>
      <c r="VJI18" s="273"/>
      <c r="VJJ18" s="273"/>
      <c r="VJK18" s="273"/>
      <c r="VJL18" s="273"/>
      <c r="VJM18" s="273"/>
      <c r="VJN18" s="273"/>
      <c r="VJO18" s="273"/>
      <c r="VJP18" s="273"/>
      <c r="VJQ18" s="273"/>
      <c r="VJR18" s="273"/>
      <c r="VJS18" s="273"/>
      <c r="VJT18" s="273"/>
      <c r="VJU18" s="273"/>
      <c r="VJV18" s="273"/>
      <c r="VJW18" s="273"/>
      <c r="VJX18" s="273"/>
      <c r="VJY18" s="273"/>
      <c r="VJZ18" s="273"/>
      <c r="VKA18" s="273"/>
      <c r="VKB18" s="273"/>
      <c r="VKC18" s="273"/>
      <c r="VKD18" s="273"/>
      <c r="VKE18" s="273"/>
      <c r="VKF18" s="273"/>
      <c r="VKG18" s="273"/>
      <c r="VKH18" s="273"/>
      <c r="VKI18" s="273"/>
      <c r="VKJ18" s="273"/>
      <c r="VKK18" s="273"/>
      <c r="VKL18" s="273"/>
      <c r="VKM18" s="273"/>
      <c r="VKN18" s="273"/>
      <c r="VKO18" s="273"/>
      <c r="VKP18" s="273"/>
      <c r="VKQ18" s="273"/>
      <c r="VKR18" s="273"/>
      <c r="VKS18" s="273"/>
      <c r="VKT18" s="273"/>
      <c r="VKU18" s="273"/>
      <c r="VKV18" s="273"/>
      <c r="VKW18" s="273"/>
      <c r="VKX18" s="273"/>
      <c r="VKY18" s="273"/>
      <c r="VKZ18" s="273"/>
      <c r="VLA18" s="273"/>
      <c r="VLB18" s="273"/>
      <c r="VLC18" s="273"/>
      <c r="VLD18" s="273"/>
      <c r="VLE18" s="273"/>
      <c r="VLF18" s="273"/>
      <c r="VLG18" s="273"/>
      <c r="VLH18" s="273"/>
      <c r="VLI18" s="273"/>
      <c r="VLJ18" s="273"/>
      <c r="VLK18" s="273"/>
      <c r="VLL18" s="273"/>
      <c r="VLM18" s="273"/>
      <c r="VLN18" s="273"/>
      <c r="VLO18" s="273"/>
      <c r="VLP18" s="273"/>
      <c r="VLQ18" s="273"/>
      <c r="VLR18" s="273"/>
      <c r="VLS18" s="273"/>
      <c r="VLT18" s="273"/>
      <c r="VLU18" s="273"/>
      <c r="VLV18" s="273"/>
      <c r="VLW18" s="273"/>
      <c r="VLX18" s="273"/>
      <c r="VLY18" s="273"/>
      <c r="VLZ18" s="273"/>
      <c r="VMA18" s="273"/>
      <c r="VMB18" s="273"/>
      <c r="VMC18" s="273"/>
      <c r="VMD18" s="273"/>
      <c r="VME18" s="273"/>
      <c r="VMF18" s="273"/>
      <c r="VMG18" s="273"/>
      <c r="VMH18" s="273"/>
      <c r="VMI18" s="273"/>
      <c r="VMJ18" s="273"/>
      <c r="VMK18" s="273"/>
      <c r="VML18" s="273"/>
      <c r="VMM18" s="273"/>
      <c r="VMN18" s="273"/>
      <c r="VMO18" s="273"/>
      <c r="VMP18" s="273"/>
      <c r="VMQ18" s="273"/>
      <c r="VMR18" s="273"/>
      <c r="VMS18" s="273"/>
      <c r="VMT18" s="273"/>
      <c r="VMU18" s="273"/>
      <c r="VMV18" s="273"/>
      <c r="VMW18" s="273"/>
      <c r="VMX18" s="273"/>
      <c r="VMY18" s="273"/>
      <c r="VMZ18" s="273"/>
      <c r="VNA18" s="273"/>
      <c r="VNB18" s="273"/>
      <c r="VNC18" s="273"/>
      <c r="VND18" s="273"/>
      <c r="VNE18" s="273"/>
      <c r="VNF18" s="273"/>
      <c r="VNG18" s="273"/>
      <c r="VNH18" s="273"/>
      <c r="VNI18" s="273"/>
      <c r="VNJ18" s="273"/>
      <c r="VNK18" s="273"/>
      <c r="VNL18" s="273"/>
      <c r="VNM18" s="273"/>
      <c r="VNN18" s="273"/>
      <c r="VNO18" s="273"/>
      <c r="VNP18" s="273"/>
      <c r="VNQ18" s="273"/>
      <c r="VNR18" s="273"/>
      <c r="VNS18" s="273"/>
      <c r="VNT18" s="273"/>
      <c r="VNU18" s="273"/>
      <c r="VNV18" s="273"/>
      <c r="VNW18" s="273"/>
      <c r="VNX18" s="273"/>
      <c r="VNY18" s="273"/>
      <c r="VNZ18" s="273"/>
      <c r="VOA18" s="273"/>
      <c r="VOB18" s="273"/>
      <c r="VOC18" s="273"/>
      <c r="VOD18" s="273"/>
      <c r="VOE18" s="273"/>
      <c r="VOF18" s="273"/>
      <c r="VOG18" s="273"/>
      <c r="VOH18" s="273"/>
      <c r="VOI18" s="273"/>
      <c r="VOJ18" s="273"/>
      <c r="VOK18" s="273"/>
      <c r="VOL18" s="273"/>
      <c r="VOM18" s="273"/>
      <c r="VON18" s="273"/>
      <c r="VOO18" s="273"/>
      <c r="VOP18" s="273"/>
      <c r="VOQ18" s="273"/>
      <c r="VOR18" s="273"/>
      <c r="VOS18" s="273"/>
      <c r="VOT18" s="273"/>
      <c r="VOU18" s="273"/>
      <c r="VOV18" s="273"/>
      <c r="VOW18" s="273"/>
      <c r="VOX18" s="273"/>
      <c r="VOY18" s="273"/>
      <c r="VOZ18" s="273"/>
      <c r="VPA18" s="273"/>
      <c r="VPB18" s="273"/>
      <c r="VPC18" s="273"/>
      <c r="VPD18" s="273"/>
      <c r="VPE18" s="273"/>
      <c r="VPF18" s="273"/>
      <c r="VPG18" s="273"/>
      <c r="VPH18" s="273"/>
      <c r="VPI18" s="273"/>
      <c r="VPJ18" s="273"/>
      <c r="VPK18" s="273"/>
      <c r="VPL18" s="273"/>
      <c r="VPM18" s="273"/>
      <c r="VPN18" s="273"/>
      <c r="VPO18" s="273"/>
      <c r="VPP18" s="273"/>
      <c r="VPQ18" s="273"/>
      <c r="VPR18" s="273"/>
      <c r="VPS18" s="273"/>
      <c r="VPT18" s="273"/>
      <c r="VPU18" s="273"/>
      <c r="VPV18" s="273"/>
      <c r="VPW18" s="273"/>
      <c r="VPX18" s="273"/>
      <c r="VPY18" s="273"/>
      <c r="VPZ18" s="273"/>
      <c r="VQA18" s="273"/>
      <c r="VQB18" s="273"/>
      <c r="VQC18" s="273"/>
      <c r="VQD18" s="273"/>
      <c r="VQE18" s="273"/>
      <c r="VQF18" s="273"/>
      <c r="VQG18" s="273"/>
      <c r="VQH18" s="273"/>
      <c r="VQI18" s="273"/>
      <c r="VQJ18" s="273"/>
      <c r="VQK18" s="273"/>
      <c r="VQL18" s="273"/>
      <c r="VQM18" s="273"/>
      <c r="VQN18" s="273"/>
      <c r="VQO18" s="273"/>
      <c r="VQP18" s="273"/>
      <c r="VQQ18" s="273"/>
      <c r="VQR18" s="273"/>
      <c r="VQS18" s="273"/>
      <c r="VQT18" s="273"/>
      <c r="VQU18" s="273"/>
      <c r="VQV18" s="273"/>
      <c r="VQW18" s="273"/>
      <c r="VQX18" s="273"/>
      <c r="VQY18" s="273"/>
      <c r="VQZ18" s="273"/>
      <c r="VRA18" s="273"/>
      <c r="VRB18" s="273"/>
      <c r="VRC18" s="273"/>
      <c r="VRD18" s="273"/>
      <c r="VRE18" s="273"/>
      <c r="VRF18" s="273"/>
      <c r="VRG18" s="273"/>
      <c r="VRH18" s="273"/>
      <c r="VRI18" s="273"/>
      <c r="VRJ18" s="273"/>
      <c r="VRK18" s="273"/>
      <c r="VRL18" s="273"/>
      <c r="VRM18" s="273"/>
      <c r="VRN18" s="273"/>
      <c r="VRO18" s="273"/>
      <c r="VRP18" s="273"/>
      <c r="VRQ18" s="273"/>
      <c r="VRR18" s="273"/>
      <c r="VRS18" s="273"/>
      <c r="VRT18" s="273"/>
      <c r="VRU18" s="273"/>
      <c r="VRV18" s="273"/>
      <c r="VRW18" s="273"/>
      <c r="VRX18" s="273"/>
      <c r="VRY18" s="273"/>
      <c r="VRZ18" s="273"/>
      <c r="VSA18" s="273"/>
      <c r="VSB18" s="273"/>
      <c r="VSC18" s="273"/>
      <c r="VSD18" s="273"/>
      <c r="VSE18" s="273"/>
      <c r="VSF18" s="273"/>
      <c r="VSG18" s="273"/>
      <c r="VSH18" s="273"/>
      <c r="VSI18" s="273"/>
      <c r="VSJ18" s="273"/>
      <c r="VSK18" s="273"/>
      <c r="VSL18" s="273"/>
      <c r="VSM18" s="273"/>
      <c r="VSN18" s="273"/>
      <c r="VSO18" s="273"/>
      <c r="VSP18" s="273"/>
      <c r="VSQ18" s="273"/>
      <c r="VSR18" s="273"/>
      <c r="VSS18" s="273"/>
      <c r="VST18" s="273"/>
      <c r="VSU18" s="273"/>
      <c r="VSV18" s="273"/>
      <c r="VSW18" s="273"/>
      <c r="VSX18" s="273"/>
      <c r="VSY18" s="273"/>
      <c r="VSZ18" s="273"/>
      <c r="VTA18" s="273"/>
      <c r="VTB18" s="273"/>
      <c r="VTC18" s="273"/>
      <c r="VTD18" s="273"/>
      <c r="VTE18" s="273"/>
      <c r="VTF18" s="273"/>
      <c r="VTG18" s="273"/>
      <c r="VTH18" s="273"/>
      <c r="VTI18" s="273"/>
      <c r="VTJ18" s="273"/>
      <c r="VTK18" s="273"/>
      <c r="VTL18" s="273"/>
      <c r="VTM18" s="273"/>
      <c r="VTN18" s="273"/>
      <c r="VTO18" s="273"/>
      <c r="VTP18" s="273"/>
      <c r="VTQ18" s="273"/>
      <c r="VTR18" s="273"/>
      <c r="VTS18" s="273"/>
      <c r="VTT18" s="273"/>
      <c r="VTU18" s="273"/>
      <c r="VTV18" s="273"/>
      <c r="VTW18" s="273"/>
      <c r="VTX18" s="273"/>
      <c r="VTY18" s="273"/>
      <c r="VTZ18" s="273"/>
      <c r="VUA18" s="273"/>
      <c r="VUB18" s="273"/>
      <c r="VUC18" s="273"/>
      <c r="VUD18" s="273"/>
      <c r="VUE18" s="273"/>
      <c r="VUF18" s="273"/>
      <c r="VUG18" s="273"/>
      <c r="VUH18" s="273"/>
      <c r="VUI18" s="273"/>
      <c r="VUJ18" s="273"/>
      <c r="VUK18" s="273"/>
      <c r="VUL18" s="273"/>
      <c r="VUM18" s="273"/>
      <c r="VUN18" s="273"/>
      <c r="VUO18" s="273"/>
      <c r="VUP18" s="273"/>
      <c r="VUQ18" s="273"/>
      <c r="VUR18" s="273"/>
      <c r="VUS18" s="273"/>
      <c r="VUT18" s="273"/>
      <c r="VUU18" s="273"/>
      <c r="VUV18" s="273"/>
      <c r="VUW18" s="273"/>
      <c r="VUX18" s="273"/>
      <c r="VUY18" s="273"/>
      <c r="VUZ18" s="273"/>
      <c r="VVA18" s="273"/>
      <c r="VVB18" s="273"/>
      <c r="VVC18" s="273"/>
      <c r="VVD18" s="273"/>
      <c r="VVE18" s="273"/>
      <c r="VVF18" s="273"/>
      <c r="VVG18" s="273"/>
      <c r="VVH18" s="273"/>
      <c r="VVI18" s="273"/>
      <c r="VVJ18" s="273"/>
      <c r="VVK18" s="273"/>
      <c r="VVL18" s="273"/>
      <c r="VVM18" s="273"/>
      <c r="VVN18" s="273"/>
      <c r="VVO18" s="273"/>
      <c r="VVP18" s="273"/>
      <c r="VVQ18" s="273"/>
      <c r="VVR18" s="273"/>
      <c r="VVS18" s="273"/>
      <c r="VVT18" s="273"/>
      <c r="VVU18" s="273"/>
      <c r="VVV18" s="273"/>
      <c r="VVW18" s="273"/>
      <c r="VVX18" s="273"/>
      <c r="VVY18" s="273"/>
      <c r="VVZ18" s="273"/>
      <c r="VWA18" s="273"/>
      <c r="VWB18" s="273"/>
      <c r="VWC18" s="273"/>
      <c r="VWD18" s="273"/>
      <c r="VWE18" s="273"/>
      <c r="VWF18" s="273"/>
      <c r="VWG18" s="273"/>
      <c r="VWH18" s="273"/>
      <c r="VWI18" s="273"/>
      <c r="VWJ18" s="273"/>
      <c r="VWK18" s="273"/>
      <c r="VWL18" s="273"/>
      <c r="VWM18" s="273"/>
      <c r="VWN18" s="273"/>
      <c r="VWO18" s="273"/>
      <c r="VWP18" s="273"/>
      <c r="VWQ18" s="273"/>
      <c r="VWR18" s="273"/>
      <c r="VWS18" s="273"/>
      <c r="VWT18" s="273"/>
      <c r="VWU18" s="273"/>
      <c r="VWV18" s="273"/>
      <c r="VWW18" s="273"/>
      <c r="VWX18" s="273"/>
      <c r="VWY18" s="273"/>
      <c r="VWZ18" s="273"/>
      <c r="VXA18" s="273"/>
      <c r="VXB18" s="273"/>
      <c r="VXC18" s="273"/>
      <c r="VXD18" s="273"/>
      <c r="VXE18" s="273"/>
      <c r="VXF18" s="273"/>
      <c r="VXG18" s="273"/>
      <c r="VXH18" s="273"/>
      <c r="VXI18" s="273"/>
      <c r="VXJ18" s="273"/>
      <c r="VXK18" s="273"/>
      <c r="VXL18" s="273"/>
      <c r="VXM18" s="273"/>
      <c r="VXN18" s="273"/>
      <c r="VXO18" s="273"/>
      <c r="VXP18" s="273"/>
      <c r="VXQ18" s="273"/>
      <c r="VXR18" s="273"/>
      <c r="VXS18" s="273"/>
      <c r="VXT18" s="273"/>
      <c r="VXU18" s="273"/>
      <c r="VXV18" s="273"/>
      <c r="VXW18" s="273"/>
      <c r="VXX18" s="273"/>
      <c r="VXY18" s="273"/>
      <c r="VXZ18" s="273"/>
      <c r="VYA18" s="273"/>
      <c r="VYB18" s="273"/>
      <c r="VYC18" s="273"/>
      <c r="VYD18" s="273"/>
      <c r="VYE18" s="273"/>
      <c r="VYF18" s="273"/>
      <c r="VYG18" s="273"/>
      <c r="VYH18" s="273"/>
      <c r="VYI18" s="273"/>
      <c r="VYJ18" s="273"/>
      <c r="VYK18" s="273"/>
      <c r="VYL18" s="273"/>
      <c r="VYM18" s="273"/>
      <c r="VYN18" s="273"/>
      <c r="VYO18" s="273"/>
      <c r="VYP18" s="273"/>
      <c r="VYQ18" s="273"/>
      <c r="VYR18" s="273"/>
      <c r="VYS18" s="273"/>
      <c r="VYT18" s="273"/>
      <c r="VYU18" s="273"/>
      <c r="VYV18" s="273"/>
      <c r="VYW18" s="273"/>
      <c r="VYX18" s="273"/>
      <c r="VYY18" s="273"/>
      <c r="VYZ18" s="273"/>
      <c r="VZA18" s="273"/>
      <c r="VZB18" s="273"/>
      <c r="VZC18" s="273"/>
      <c r="VZD18" s="273"/>
      <c r="VZE18" s="273"/>
      <c r="VZF18" s="273"/>
      <c r="VZG18" s="273"/>
      <c r="VZH18" s="273"/>
      <c r="VZI18" s="273"/>
      <c r="VZJ18" s="273"/>
      <c r="VZK18" s="273"/>
      <c r="VZL18" s="273"/>
      <c r="VZM18" s="273"/>
      <c r="VZN18" s="273"/>
      <c r="VZO18" s="273"/>
      <c r="VZP18" s="273"/>
      <c r="VZQ18" s="273"/>
      <c r="VZR18" s="273"/>
      <c r="VZS18" s="273"/>
      <c r="VZT18" s="273"/>
      <c r="VZU18" s="273"/>
      <c r="VZV18" s="273"/>
      <c r="VZW18" s="273"/>
      <c r="VZX18" s="273"/>
      <c r="VZY18" s="273"/>
      <c r="VZZ18" s="273"/>
      <c r="WAA18" s="273"/>
      <c r="WAB18" s="273"/>
      <c r="WAC18" s="273"/>
      <c r="WAD18" s="273"/>
      <c r="WAE18" s="273"/>
      <c r="WAF18" s="273"/>
      <c r="WAG18" s="273"/>
      <c r="WAH18" s="273"/>
      <c r="WAI18" s="273"/>
      <c r="WAJ18" s="273"/>
      <c r="WAK18" s="273"/>
      <c r="WAL18" s="273"/>
      <c r="WAM18" s="273"/>
      <c r="WAN18" s="273"/>
      <c r="WAO18" s="273"/>
      <c r="WAP18" s="273"/>
      <c r="WAQ18" s="273"/>
      <c r="WAR18" s="273"/>
      <c r="WAS18" s="273"/>
      <c r="WAT18" s="273"/>
      <c r="WAU18" s="273"/>
      <c r="WAV18" s="273"/>
      <c r="WAW18" s="273"/>
      <c r="WAX18" s="273"/>
      <c r="WAY18" s="273"/>
      <c r="WAZ18" s="273"/>
      <c r="WBA18" s="273"/>
      <c r="WBB18" s="273"/>
      <c r="WBC18" s="273"/>
      <c r="WBD18" s="273"/>
      <c r="WBE18" s="273"/>
      <c r="WBF18" s="273"/>
      <c r="WBG18" s="273"/>
      <c r="WBH18" s="273"/>
      <c r="WBI18" s="273"/>
      <c r="WBJ18" s="273"/>
      <c r="WBK18" s="273"/>
      <c r="WBL18" s="273"/>
      <c r="WBM18" s="273"/>
      <c r="WBN18" s="273"/>
      <c r="WBO18" s="273"/>
      <c r="WBP18" s="273"/>
      <c r="WBQ18" s="273"/>
      <c r="WBR18" s="273"/>
      <c r="WBS18" s="273"/>
      <c r="WBT18" s="273"/>
      <c r="WBU18" s="273"/>
      <c r="WBV18" s="273"/>
      <c r="WBW18" s="273"/>
      <c r="WBX18" s="273"/>
      <c r="WBY18" s="273"/>
      <c r="WBZ18" s="273"/>
      <c r="WCA18" s="273"/>
      <c r="WCB18" s="273"/>
      <c r="WCC18" s="273"/>
      <c r="WCD18" s="273"/>
      <c r="WCE18" s="273"/>
      <c r="WCF18" s="273"/>
      <c r="WCG18" s="273"/>
      <c r="WCH18" s="273"/>
      <c r="WCI18" s="273"/>
      <c r="WCJ18" s="273"/>
      <c r="WCK18" s="273"/>
      <c r="WCL18" s="273"/>
      <c r="WCM18" s="273"/>
      <c r="WCN18" s="273"/>
      <c r="WCO18" s="273"/>
      <c r="WCP18" s="273"/>
      <c r="WCQ18" s="273"/>
      <c r="WCR18" s="273"/>
      <c r="WCS18" s="273"/>
      <c r="WCT18" s="273"/>
      <c r="WCU18" s="273"/>
      <c r="WCV18" s="273"/>
      <c r="WCW18" s="273"/>
      <c r="WCX18" s="273"/>
      <c r="WCY18" s="273"/>
      <c r="WCZ18" s="273"/>
      <c r="WDA18" s="273"/>
      <c r="WDB18" s="273"/>
      <c r="WDC18" s="273"/>
      <c r="WDD18" s="273"/>
      <c r="WDE18" s="273"/>
      <c r="WDF18" s="273"/>
      <c r="WDG18" s="273"/>
      <c r="WDH18" s="273"/>
      <c r="WDI18" s="273"/>
      <c r="WDJ18" s="273"/>
      <c r="WDK18" s="273"/>
      <c r="WDL18" s="273"/>
      <c r="WDM18" s="273"/>
      <c r="WDN18" s="273"/>
      <c r="WDO18" s="273"/>
      <c r="WDP18" s="273"/>
      <c r="WDQ18" s="273"/>
      <c r="WDR18" s="273"/>
      <c r="WDS18" s="273"/>
      <c r="WDT18" s="273"/>
      <c r="WDU18" s="273"/>
      <c r="WDV18" s="273"/>
      <c r="WDW18" s="273"/>
      <c r="WDX18" s="273"/>
      <c r="WDY18" s="273"/>
      <c r="WDZ18" s="273"/>
      <c r="WEA18" s="273"/>
      <c r="WEB18" s="273"/>
      <c r="WEC18" s="273"/>
      <c r="WED18" s="273"/>
      <c r="WEE18" s="273"/>
      <c r="WEF18" s="273"/>
      <c r="WEG18" s="273"/>
      <c r="WEH18" s="273"/>
      <c r="WEI18" s="273"/>
      <c r="WEJ18" s="273"/>
      <c r="WEK18" s="273"/>
      <c r="WEL18" s="273"/>
      <c r="WEM18" s="273"/>
      <c r="WEN18" s="273"/>
      <c r="WEO18" s="273"/>
      <c r="WEP18" s="273"/>
      <c r="WEQ18" s="273"/>
      <c r="WER18" s="273"/>
      <c r="WES18" s="273"/>
      <c r="WET18" s="273"/>
      <c r="WEU18" s="273"/>
      <c r="WEV18" s="273"/>
      <c r="WEW18" s="273"/>
      <c r="WEX18" s="273"/>
      <c r="WEY18" s="273"/>
      <c r="WEZ18" s="273"/>
      <c r="WFA18" s="273"/>
      <c r="WFB18" s="273"/>
      <c r="WFC18" s="273"/>
      <c r="WFD18" s="273"/>
      <c r="WFE18" s="273"/>
      <c r="WFF18" s="273"/>
      <c r="WFG18" s="273"/>
      <c r="WFH18" s="273"/>
      <c r="WFI18" s="273"/>
      <c r="WFJ18" s="273"/>
      <c r="WFK18" s="273"/>
      <c r="WFL18" s="273"/>
      <c r="WFM18" s="273"/>
      <c r="WFN18" s="273"/>
      <c r="WFO18" s="273"/>
      <c r="WFP18" s="273"/>
      <c r="WFQ18" s="273"/>
      <c r="WFR18" s="273"/>
      <c r="WFS18" s="273"/>
      <c r="WFT18" s="273"/>
      <c r="WFU18" s="273"/>
      <c r="WFV18" s="273"/>
      <c r="WFW18" s="273"/>
      <c r="WFX18" s="273"/>
      <c r="WFY18" s="273"/>
      <c r="WFZ18" s="273"/>
      <c r="WGA18" s="273"/>
      <c r="WGB18" s="273"/>
      <c r="WGC18" s="273"/>
      <c r="WGD18" s="273"/>
      <c r="WGE18" s="273"/>
      <c r="WGF18" s="273"/>
      <c r="WGG18" s="273"/>
      <c r="WGH18" s="273"/>
      <c r="WGI18" s="273"/>
      <c r="WGJ18" s="273"/>
      <c r="WGK18" s="273"/>
      <c r="WGL18" s="273"/>
      <c r="WGM18" s="273"/>
      <c r="WGN18" s="273"/>
      <c r="WGO18" s="273"/>
      <c r="WGP18" s="273"/>
      <c r="WGQ18" s="273"/>
      <c r="WGR18" s="273"/>
      <c r="WGS18" s="273"/>
      <c r="WGT18" s="273"/>
      <c r="WGU18" s="273"/>
      <c r="WGV18" s="273"/>
      <c r="WGW18" s="273"/>
      <c r="WGX18" s="273"/>
      <c r="WGY18" s="273"/>
      <c r="WGZ18" s="273"/>
      <c r="WHA18" s="273"/>
      <c r="WHB18" s="273"/>
      <c r="WHC18" s="273"/>
      <c r="WHD18" s="273"/>
      <c r="WHE18" s="273"/>
      <c r="WHF18" s="273"/>
      <c r="WHG18" s="273"/>
      <c r="WHH18" s="273"/>
      <c r="WHI18" s="273"/>
      <c r="WHJ18" s="273"/>
      <c r="WHK18" s="273"/>
      <c r="WHL18" s="273"/>
      <c r="WHM18" s="273"/>
      <c r="WHN18" s="273"/>
      <c r="WHO18" s="273"/>
      <c r="WHP18" s="273"/>
      <c r="WHQ18" s="273"/>
      <c r="WHR18" s="273"/>
      <c r="WHS18" s="273"/>
      <c r="WHT18" s="273"/>
      <c r="WHU18" s="273"/>
      <c r="WHV18" s="273"/>
      <c r="WHW18" s="273"/>
      <c r="WHX18" s="273"/>
      <c r="WHY18" s="273"/>
      <c r="WHZ18" s="273"/>
      <c r="WIA18" s="273"/>
      <c r="WIB18" s="273"/>
      <c r="WIC18" s="273"/>
      <c r="WID18" s="273"/>
      <c r="WIE18" s="273"/>
      <c r="WIF18" s="273"/>
      <c r="WIG18" s="273"/>
      <c r="WIH18" s="273"/>
      <c r="WII18" s="273"/>
      <c r="WIJ18" s="273"/>
      <c r="WIK18" s="273"/>
      <c r="WIL18" s="273"/>
      <c r="WIM18" s="273"/>
      <c r="WIN18" s="273"/>
      <c r="WIO18" s="273"/>
      <c r="WIP18" s="273"/>
      <c r="WIQ18" s="273"/>
      <c r="WIR18" s="273"/>
      <c r="WIS18" s="273"/>
      <c r="WIT18" s="273"/>
      <c r="WIU18" s="273"/>
      <c r="WIV18" s="273"/>
      <c r="WIW18" s="273"/>
      <c r="WIX18" s="273"/>
      <c r="WIY18" s="273"/>
      <c r="WIZ18" s="273"/>
      <c r="WJA18" s="273"/>
      <c r="WJB18" s="273"/>
      <c r="WJC18" s="273"/>
      <c r="WJD18" s="273"/>
      <c r="WJE18" s="273"/>
      <c r="WJF18" s="273"/>
      <c r="WJG18" s="273"/>
      <c r="WJH18" s="273"/>
      <c r="WJI18" s="273"/>
      <c r="WJJ18" s="273"/>
      <c r="WJK18" s="273"/>
      <c r="WJL18" s="273"/>
      <c r="WJM18" s="273"/>
      <c r="WJN18" s="273"/>
      <c r="WJO18" s="273"/>
      <c r="WJP18" s="273"/>
      <c r="WJQ18" s="273"/>
      <c r="WJR18" s="273"/>
      <c r="WJS18" s="273"/>
      <c r="WJT18" s="273"/>
      <c r="WJU18" s="273"/>
      <c r="WJV18" s="273"/>
      <c r="WJW18" s="273"/>
      <c r="WJX18" s="273"/>
      <c r="WJY18" s="273"/>
      <c r="WJZ18" s="273"/>
      <c r="WKA18" s="273"/>
      <c r="WKB18" s="273"/>
      <c r="WKC18" s="273"/>
      <c r="WKD18" s="273"/>
      <c r="WKE18" s="273"/>
      <c r="WKF18" s="273"/>
      <c r="WKG18" s="273"/>
      <c r="WKH18" s="273"/>
      <c r="WKI18" s="273"/>
      <c r="WKJ18" s="273"/>
      <c r="WKK18" s="273"/>
      <c r="WKL18" s="273"/>
      <c r="WKM18" s="273"/>
      <c r="WKN18" s="273"/>
      <c r="WKO18" s="273"/>
      <c r="WKP18" s="273"/>
      <c r="WKQ18" s="273"/>
      <c r="WKR18" s="273"/>
      <c r="WKS18" s="273"/>
      <c r="WKT18" s="273"/>
      <c r="WKU18" s="273"/>
      <c r="WKV18" s="273"/>
      <c r="WKW18" s="273"/>
      <c r="WKX18" s="273"/>
      <c r="WKY18" s="273"/>
      <c r="WKZ18" s="273"/>
      <c r="WLA18" s="273"/>
      <c r="WLB18" s="273"/>
      <c r="WLC18" s="273"/>
      <c r="WLD18" s="273"/>
      <c r="WLE18" s="273"/>
      <c r="WLF18" s="273"/>
      <c r="WLG18" s="273"/>
      <c r="WLH18" s="273"/>
      <c r="WLI18" s="273"/>
      <c r="WLJ18" s="273"/>
      <c r="WLK18" s="273"/>
      <c r="WLL18" s="273"/>
      <c r="WLM18" s="273"/>
      <c r="WLN18" s="273"/>
      <c r="WLO18" s="273"/>
      <c r="WLP18" s="273"/>
      <c r="WLQ18" s="273"/>
      <c r="WLR18" s="273"/>
      <c r="WLS18" s="273"/>
      <c r="WLT18" s="273"/>
      <c r="WLU18" s="273"/>
      <c r="WLV18" s="273"/>
      <c r="WLW18" s="273"/>
      <c r="WLX18" s="273"/>
      <c r="WLY18" s="273"/>
      <c r="WLZ18" s="273"/>
      <c r="WMA18" s="273"/>
      <c r="WMB18" s="273"/>
      <c r="WMC18" s="273"/>
      <c r="WMD18" s="273"/>
      <c r="WME18" s="273"/>
      <c r="WMF18" s="273"/>
      <c r="WMG18" s="273"/>
      <c r="WMH18" s="273"/>
      <c r="WMI18" s="273"/>
      <c r="WMJ18" s="273"/>
      <c r="WMK18" s="273"/>
      <c r="WML18" s="273"/>
      <c r="WMM18" s="273"/>
      <c r="WMN18" s="273"/>
      <c r="WMO18" s="273"/>
      <c r="WMP18" s="273"/>
      <c r="WMQ18" s="273"/>
      <c r="WMR18" s="273"/>
      <c r="WMS18" s="273"/>
      <c r="WMT18" s="273"/>
      <c r="WMU18" s="273"/>
      <c r="WMV18" s="273"/>
      <c r="WMW18" s="273"/>
      <c r="WMX18" s="273"/>
      <c r="WMY18" s="273"/>
      <c r="WMZ18" s="273"/>
      <c r="WNA18" s="273"/>
      <c r="WNB18" s="273"/>
      <c r="WNC18" s="273"/>
      <c r="WND18" s="273"/>
      <c r="WNE18" s="273"/>
      <c r="WNF18" s="273"/>
      <c r="WNG18" s="273"/>
      <c r="WNH18" s="273"/>
      <c r="WNI18" s="273"/>
      <c r="WNJ18" s="273"/>
      <c r="WNK18" s="273"/>
      <c r="WNL18" s="273"/>
      <c r="WNM18" s="273"/>
      <c r="WNN18" s="273"/>
      <c r="WNO18" s="273"/>
      <c r="WNP18" s="273"/>
      <c r="WNQ18" s="273"/>
      <c r="WNR18" s="273"/>
      <c r="WNS18" s="273"/>
      <c r="WNT18" s="273"/>
      <c r="WNU18" s="273"/>
      <c r="WNV18" s="273"/>
      <c r="WNW18" s="273"/>
      <c r="WNX18" s="273"/>
      <c r="WNY18" s="273"/>
      <c r="WNZ18" s="273"/>
      <c r="WOA18" s="273"/>
      <c r="WOB18" s="273"/>
      <c r="WOC18" s="273"/>
      <c r="WOD18" s="273"/>
      <c r="WOE18" s="273"/>
      <c r="WOF18" s="273"/>
      <c r="WOG18" s="273"/>
      <c r="WOH18" s="273"/>
      <c r="WOI18" s="273"/>
      <c r="WOJ18" s="273"/>
      <c r="WOK18" s="273"/>
      <c r="WOL18" s="273"/>
      <c r="WOM18" s="273"/>
      <c r="WON18" s="273"/>
      <c r="WOO18" s="273"/>
      <c r="WOP18" s="273"/>
      <c r="WOQ18" s="273"/>
      <c r="WOR18" s="273"/>
      <c r="WOS18" s="273"/>
      <c r="WOT18" s="273"/>
      <c r="WOU18" s="273"/>
      <c r="WOV18" s="273"/>
      <c r="WOW18" s="273"/>
      <c r="WOX18" s="273"/>
      <c r="WOY18" s="273"/>
      <c r="WOZ18" s="273"/>
      <c r="WPA18" s="273"/>
      <c r="WPB18" s="273"/>
      <c r="WPC18" s="273"/>
      <c r="WPD18" s="273"/>
      <c r="WPE18" s="273"/>
      <c r="WPF18" s="273"/>
      <c r="WPG18" s="273"/>
      <c r="WPH18" s="273"/>
      <c r="WPI18" s="273"/>
      <c r="WPJ18" s="273"/>
      <c r="WPK18" s="273"/>
      <c r="WPL18" s="273"/>
      <c r="WPM18" s="273"/>
      <c r="WPN18" s="273"/>
      <c r="WPO18" s="273"/>
      <c r="WPP18" s="273"/>
      <c r="WPQ18" s="273"/>
      <c r="WPR18" s="273"/>
      <c r="WPS18" s="273"/>
      <c r="WPT18" s="273"/>
      <c r="WPU18" s="273"/>
      <c r="WPV18" s="273"/>
      <c r="WPW18" s="273"/>
      <c r="WPX18" s="273"/>
      <c r="WPY18" s="273"/>
      <c r="WPZ18" s="273"/>
      <c r="WQA18" s="273"/>
      <c r="WQB18" s="273"/>
      <c r="WQC18" s="273"/>
      <c r="WQD18" s="273"/>
      <c r="WQE18" s="273"/>
      <c r="WQF18" s="273"/>
      <c r="WQG18" s="273"/>
      <c r="WQH18" s="273"/>
      <c r="WQI18" s="273"/>
      <c r="WQJ18" s="273"/>
      <c r="WQK18" s="273"/>
      <c r="WQL18" s="273"/>
      <c r="WQM18" s="273"/>
      <c r="WQN18" s="273"/>
      <c r="WQO18" s="273"/>
      <c r="WQP18" s="273"/>
      <c r="WQQ18" s="273"/>
      <c r="WQR18" s="273"/>
      <c r="WQS18" s="273"/>
      <c r="WQT18" s="273"/>
      <c r="WQU18" s="273"/>
      <c r="WQV18" s="273"/>
      <c r="WQW18" s="273"/>
      <c r="WQX18" s="273"/>
      <c r="WQY18" s="273"/>
      <c r="WQZ18" s="273"/>
      <c r="WRA18" s="273"/>
      <c r="WRB18" s="273"/>
      <c r="WRC18" s="273"/>
      <c r="WRD18" s="273"/>
      <c r="WRE18" s="273"/>
      <c r="WRF18" s="273"/>
      <c r="WRG18" s="273"/>
      <c r="WRH18" s="273"/>
      <c r="WRI18" s="273"/>
      <c r="WRJ18" s="273"/>
      <c r="WRK18" s="273"/>
      <c r="WRL18" s="273"/>
      <c r="WRM18" s="273"/>
      <c r="WRN18" s="273"/>
      <c r="WRO18" s="273"/>
      <c r="WRP18" s="273"/>
      <c r="WRQ18" s="273"/>
      <c r="WRR18" s="273"/>
      <c r="WRS18" s="273"/>
      <c r="WRT18" s="273"/>
      <c r="WRU18" s="273"/>
      <c r="WRV18" s="273"/>
      <c r="WRW18" s="273"/>
      <c r="WRX18" s="273"/>
      <c r="WRY18" s="273"/>
      <c r="WRZ18" s="273"/>
      <c r="WSA18" s="273"/>
      <c r="WSB18" s="273"/>
      <c r="WSC18" s="273"/>
      <c r="WSD18" s="273"/>
      <c r="WSE18" s="273"/>
      <c r="WSF18" s="273"/>
      <c r="WSG18" s="273"/>
      <c r="WSH18" s="273"/>
      <c r="WSI18" s="273"/>
      <c r="WSJ18" s="273"/>
      <c r="WSK18" s="273"/>
      <c r="WSL18" s="273"/>
      <c r="WSM18" s="273"/>
      <c r="WSN18" s="273"/>
      <c r="WSO18" s="273"/>
      <c r="WSP18" s="273"/>
      <c r="WSQ18" s="273"/>
      <c r="WSR18" s="273"/>
      <c r="WSS18" s="273"/>
      <c r="WST18" s="273"/>
      <c r="WSU18" s="273"/>
      <c r="WSV18" s="273"/>
      <c r="WSW18" s="273"/>
      <c r="WSX18" s="273"/>
      <c r="WSY18" s="273"/>
      <c r="WSZ18" s="273"/>
      <c r="WTA18" s="273"/>
      <c r="WTB18" s="273"/>
      <c r="WTC18" s="273"/>
      <c r="WTD18" s="273"/>
      <c r="WTE18" s="273"/>
      <c r="WTF18" s="273"/>
      <c r="WTG18" s="273"/>
      <c r="WTH18" s="273"/>
      <c r="WTI18" s="273"/>
      <c r="WTJ18" s="273"/>
      <c r="WTK18" s="273"/>
      <c r="WTL18" s="273"/>
      <c r="WTM18" s="273"/>
      <c r="WTN18" s="273"/>
      <c r="WTO18" s="273"/>
      <c r="WTP18" s="273"/>
      <c r="WTQ18" s="273"/>
      <c r="WTR18" s="273"/>
      <c r="WTS18" s="273"/>
      <c r="WTT18" s="273"/>
      <c r="WTU18" s="273"/>
      <c r="WTV18" s="273"/>
      <c r="WTW18" s="273"/>
      <c r="WTX18" s="273"/>
      <c r="WTY18" s="273"/>
      <c r="WTZ18" s="273"/>
      <c r="WUA18" s="273"/>
      <c r="WUB18" s="273"/>
      <c r="WUC18" s="273"/>
      <c r="WUD18" s="273"/>
      <c r="WUE18" s="273"/>
      <c r="WUF18" s="273"/>
      <c r="WUG18" s="273"/>
      <c r="WUH18" s="273"/>
      <c r="WUI18" s="273"/>
      <c r="WUJ18" s="273"/>
      <c r="WUK18" s="273"/>
      <c r="WUL18" s="273"/>
      <c r="WUM18" s="273"/>
      <c r="WUN18" s="273"/>
      <c r="WUO18" s="273"/>
      <c r="WUP18" s="273"/>
      <c r="WUQ18" s="273"/>
      <c r="WUR18" s="273"/>
      <c r="WUS18" s="273"/>
      <c r="WUT18" s="273"/>
      <c r="WUU18" s="273"/>
      <c r="WUV18" s="273"/>
      <c r="WUW18" s="273"/>
      <c r="WUX18" s="273"/>
      <c r="WUY18" s="273"/>
      <c r="WUZ18" s="273"/>
      <c r="WVA18" s="273"/>
      <c r="WVB18" s="273"/>
      <c r="WVC18" s="273"/>
      <c r="WVD18" s="273"/>
      <c r="WVE18" s="273"/>
      <c r="WVF18" s="273"/>
      <c r="WVG18" s="273"/>
      <c r="WVH18" s="273"/>
      <c r="WVI18" s="273"/>
      <c r="WVJ18" s="273"/>
      <c r="WVK18" s="273"/>
      <c r="WVL18" s="273"/>
      <c r="WVM18" s="273"/>
      <c r="WVN18" s="273"/>
      <c r="WVO18" s="273"/>
      <c r="WVP18" s="273"/>
      <c r="WVQ18" s="273"/>
      <c r="WVR18" s="273"/>
      <c r="WVS18" s="273"/>
      <c r="WVT18" s="273"/>
      <c r="WVU18" s="273"/>
      <c r="WVV18" s="273"/>
      <c r="WVW18" s="273"/>
      <c r="WVX18" s="273"/>
      <c r="WVY18" s="273"/>
      <c r="WVZ18" s="273"/>
      <c r="WWA18" s="273"/>
      <c r="WWB18" s="273"/>
      <c r="WWC18" s="273"/>
      <c r="WWD18" s="273"/>
      <c r="WWE18" s="273"/>
      <c r="WWF18" s="273"/>
      <c r="WWG18" s="273"/>
      <c r="WWH18" s="273"/>
      <c r="WWI18" s="273"/>
      <c r="WWJ18" s="273"/>
      <c r="WWK18" s="273"/>
      <c r="WWL18" s="273"/>
      <c r="WWM18" s="273"/>
      <c r="WWN18" s="273"/>
      <c r="WWO18" s="273"/>
      <c r="WWP18" s="273"/>
      <c r="WWQ18" s="273"/>
      <c r="WWR18" s="273"/>
      <c r="WWS18" s="273"/>
      <c r="WWT18" s="273"/>
      <c r="WWU18" s="273"/>
      <c r="WWV18" s="273"/>
      <c r="WWW18" s="273"/>
      <c r="WWX18" s="273"/>
      <c r="WWY18" s="273"/>
      <c r="WWZ18" s="273"/>
      <c r="WXA18" s="273"/>
      <c r="WXB18" s="273"/>
      <c r="WXC18" s="273"/>
      <c r="WXD18" s="273"/>
      <c r="WXE18" s="273"/>
      <c r="WXF18" s="273"/>
      <c r="WXG18" s="273"/>
      <c r="WXH18" s="273"/>
      <c r="WXI18" s="273"/>
      <c r="WXJ18" s="273"/>
      <c r="WXK18" s="273"/>
      <c r="WXL18" s="273"/>
      <c r="WXM18" s="273"/>
      <c r="WXN18" s="273"/>
      <c r="WXO18" s="273"/>
      <c r="WXP18" s="273"/>
      <c r="WXQ18" s="273"/>
      <c r="WXR18" s="273"/>
      <c r="WXS18" s="273"/>
      <c r="WXT18" s="273"/>
      <c r="WXU18" s="273"/>
      <c r="WXV18" s="273"/>
      <c r="WXW18" s="273"/>
      <c r="WXX18" s="273"/>
      <c r="WXY18" s="273"/>
      <c r="WXZ18" s="273"/>
      <c r="WYA18" s="273"/>
      <c r="WYB18" s="273"/>
      <c r="WYC18" s="273"/>
      <c r="WYD18" s="273"/>
      <c r="WYE18" s="273"/>
      <c r="WYF18" s="273"/>
      <c r="WYG18" s="273"/>
      <c r="WYH18" s="273"/>
      <c r="WYI18" s="273"/>
      <c r="WYJ18" s="273"/>
      <c r="WYK18" s="273"/>
      <c r="WYL18" s="273"/>
      <c r="WYM18" s="273"/>
      <c r="WYN18" s="273"/>
      <c r="WYO18" s="273"/>
      <c r="WYP18" s="273"/>
      <c r="WYQ18" s="273"/>
      <c r="WYR18" s="273"/>
      <c r="WYS18" s="273"/>
      <c r="WYT18" s="273"/>
      <c r="WYU18" s="273"/>
      <c r="WYV18" s="273"/>
      <c r="WYW18" s="273"/>
      <c r="WYX18" s="273"/>
      <c r="WYY18" s="273"/>
      <c r="WYZ18" s="273"/>
      <c r="WZA18" s="273"/>
      <c r="WZB18" s="273"/>
      <c r="WZC18" s="273"/>
      <c r="WZD18" s="273"/>
      <c r="WZE18" s="273"/>
      <c r="WZF18" s="273"/>
      <c r="WZG18" s="273"/>
      <c r="WZH18" s="273"/>
      <c r="WZI18" s="273"/>
      <c r="WZJ18" s="273"/>
      <c r="WZK18" s="273"/>
      <c r="WZL18" s="273"/>
      <c r="WZM18" s="273"/>
      <c r="WZN18" s="273"/>
      <c r="WZO18" s="273"/>
      <c r="WZP18" s="273"/>
      <c r="WZQ18" s="273"/>
      <c r="WZR18" s="273"/>
      <c r="WZS18" s="273"/>
      <c r="WZT18" s="273"/>
      <c r="WZU18" s="273"/>
      <c r="WZV18" s="273"/>
      <c r="WZW18" s="273"/>
      <c r="WZX18" s="273"/>
      <c r="WZY18" s="273"/>
      <c r="WZZ18" s="273"/>
      <c r="XAA18" s="273"/>
      <c r="XAB18" s="273"/>
      <c r="XAC18" s="273"/>
      <c r="XAD18" s="273"/>
      <c r="XAE18" s="273"/>
      <c r="XAF18" s="273"/>
      <c r="XAG18" s="273"/>
      <c r="XAH18" s="273"/>
      <c r="XAI18" s="273"/>
      <c r="XAJ18" s="273"/>
      <c r="XAK18" s="273"/>
      <c r="XAL18" s="273"/>
      <c r="XAM18" s="273"/>
      <c r="XAN18" s="273"/>
      <c r="XAO18" s="273"/>
      <c r="XAP18" s="273"/>
      <c r="XAQ18" s="273"/>
      <c r="XAR18" s="273"/>
      <c r="XAS18" s="273"/>
      <c r="XAT18" s="273"/>
      <c r="XAU18" s="273"/>
      <c r="XAV18" s="273"/>
      <c r="XAW18" s="273"/>
      <c r="XAX18" s="273"/>
      <c r="XAY18" s="273"/>
      <c r="XAZ18" s="273"/>
      <c r="XBA18" s="273"/>
      <c r="XBB18" s="273"/>
      <c r="XBC18" s="273"/>
      <c r="XBD18" s="273"/>
      <c r="XBE18" s="273"/>
      <c r="XBF18" s="273"/>
      <c r="XBG18" s="273"/>
      <c r="XBH18" s="273"/>
      <c r="XBI18" s="273"/>
      <c r="XBJ18" s="273"/>
      <c r="XBK18" s="273"/>
      <c r="XBL18" s="273"/>
      <c r="XBM18" s="273"/>
      <c r="XBN18" s="273"/>
      <c r="XBO18" s="273"/>
      <c r="XBP18" s="273"/>
      <c r="XBQ18" s="273"/>
      <c r="XBR18" s="273"/>
      <c r="XBS18" s="273"/>
      <c r="XBT18" s="273"/>
      <c r="XBU18" s="273"/>
      <c r="XBV18" s="273"/>
      <c r="XBW18" s="273"/>
      <c r="XBX18" s="273"/>
      <c r="XBY18" s="273"/>
      <c r="XBZ18" s="273"/>
      <c r="XCA18" s="273"/>
      <c r="XCB18" s="273"/>
      <c r="XCC18" s="273"/>
      <c r="XCD18" s="273"/>
      <c r="XCE18" s="273"/>
      <c r="XCF18" s="273"/>
      <c r="XCG18" s="273"/>
      <c r="XCH18" s="273"/>
      <c r="XCI18" s="273"/>
      <c r="XCJ18" s="273"/>
      <c r="XCK18" s="273"/>
      <c r="XCL18" s="273"/>
      <c r="XCM18" s="273"/>
      <c r="XCN18" s="273"/>
      <c r="XCO18" s="273"/>
      <c r="XCP18" s="273"/>
      <c r="XCQ18" s="273"/>
      <c r="XCR18" s="273"/>
      <c r="XCS18" s="273"/>
      <c r="XCT18" s="273"/>
      <c r="XCU18" s="273"/>
      <c r="XCV18" s="273"/>
      <c r="XCW18" s="273"/>
      <c r="XCX18" s="273"/>
      <c r="XCY18" s="273"/>
      <c r="XCZ18" s="273"/>
      <c r="XDA18" s="273"/>
      <c r="XDB18" s="273"/>
      <c r="XDC18" s="273"/>
      <c r="XDD18" s="273"/>
      <c r="XDE18" s="273"/>
      <c r="XDF18" s="273"/>
      <c r="XDG18" s="273"/>
      <c r="XDH18" s="273"/>
      <c r="XDI18" s="273"/>
      <c r="XDJ18" s="273"/>
      <c r="XDK18" s="273"/>
      <c r="XDL18" s="273"/>
      <c r="XDM18" s="273"/>
      <c r="XDN18" s="273"/>
      <c r="XDO18" s="273"/>
      <c r="XDP18" s="273"/>
      <c r="XDQ18" s="273"/>
      <c r="XDR18" s="273"/>
      <c r="XDS18" s="273"/>
      <c r="XDT18" s="273"/>
      <c r="XDU18" s="273"/>
      <c r="XDV18" s="273"/>
      <c r="XDW18" s="273"/>
      <c r="XDX18" s="273"/>
      <c r="XDY18" s="273"/>
      <c r="XDZ18" s="273"/>
      <c r="XEA18" s="273"/>
      <c r="XEB18" s="273"/>
      <c r="XEC18" s="273"/>
      <c r="XED18" s="273"/>
      <c r="XEE18" s="273"/>
      <c r="XEF18" s="273"/>
      <c r="XEG18" s="273"/>
      <c r="XEH18" s="273"/>
      <c r="XEI18" s="273"/>
      <c r="XEJ18" s="273"/>
      <c r="XEK18" s="273"/>
      <c r="XEL18" s="273"/>
      <c r="XEM18" s="273"/>
      <c r="XEN18" s="273"/>
      <c r="XEO18" s="273"/>
      <c r="XEP18" s="273"/>
      <c r="XEQ18" s="273"/>
      <c r="XER18" s="273"/>
      <c r="XES18" s="273"/>
      <c r="XET18" s="273"/>
      <c r="XEU18" s="273"/>
      <c r="XEV18" s="273"/>
      <c r="XEW18" s="273"/>
      <c r="XEX18" s="273"/>
      <c r="XEY18" s="273"/>
      <c r="XEZ18" s="273"/>
      <c r="XFA18" s="273"/>
      <c r="XFB18" s="273"/>
      <c r="XFC18" s="273"/>
    </row>
    <row r="19" s="224" customFormat="1" ht="26.15" customHeight="1" spans="1:9">
      <c r="A19" s="263" t="s">
        <v>2078</v>
      </c>
      <c r="B19" s="249">
        <v>0</v>
      </c>
      <c r="C19" s="249">
        <f>D19-B19</f>
        <v>17073.03</v>
      </c>
      <c r="D19" s="249">
        <f>33968-8477-8417.97</f>
        <v>17073.03</v>
      </c>
      <c r="E19" s="250"/>
      <c r="F19" s="249">
        <v>27159</v>
      </c>
      <c r="G19" s="252">
        <f>D19-F19</f>
        <v>-10085.97</v>
      </c>
      <c r="H19" s="253">
        <f>G19/F19*100</f>
        <v>-37.1367502485364</v>
      </c>
      <c r="I19" s="258" t="s">
        <v>56</v>
      </c>
    </row>
    <row r="20" s="223" customFormat="1" ht="26.15" customHeight="1" spans="1:9">
      <c r="A20" s="267" t="s">
        <v>2079</v>
      </c>
      <c r="B20" s="260">
        <f>B6+B15</f>
        <v>141930</v>
      </c>
      <c r="C20" s="260">
        <f>C6+C15</f>
        <v>10557.457</v>
      </c>
      <c r="D20" s="260">
        <f>D6+D15</f>
        <v>152487.457</v>
      </c>
      <c r="E20" s="243">
        <f>D20/B20*100</f>
        <v>107.438495737335</v>
      </c>
      <c r="F20" s="260">
        <f>F6+F15</f>
        <v>157970</v>
      </c>
      <c r="G20" s="260">
        <f>G6+G15</f>
        <v>-32221.37</v>
      </c>
      <c r="H20" s="246">
        <f>G20/F20*100</f>
        <v>-20.3971450275369</v>
      </c>
      <c r="I20" s="274"/>
    </row>
    <row r="21" spans="2:9">
      <c r="B21" s="268"/>
      <c r="C21" s="269"/>
      <c r="D21" s="269"/>
      <c r="E21" s="269"/>
      <c r="I21" s="269"/>
    </row>
    <row r="167" spans="7:7">
      <c r="G167" s="229">
        <v>-237.19</v>
      </c>
    </row>
    <row r="174" spans="7:7">
      <c r="G174" s="229">
        <v>89.04</v>
      </c>
    </row>
    <row r="175" spans="7:7">
      <c r="G175" s="229">
        <v>100</v>
      </c>
    </row>
    <row r="179" spans="7:7">
      <c r="G179" s="229">
        <v>-181</v>
      </c>
    </row>
    <row r="180" spans="7:7">
      <c r="G180" s="229">
        <v>-120</v>
      </c>
    </row>
    <row r="182" spans="7:7">
      <c r="G182" s="229">
        <v>203</v>
      </c>
    </row>
    <row r="187" spans="7:7">
      <c r="G187" s="229">
        <v>20.2</v>
      </c>
    </row>
    <row r="192" spans="7:7">
      <c r="G192" s="229">
        <v>-40</v>
      </c>
    </row>
    <row r="195" spans="7:7">
      <c r="G195" s="229">
        <v>118.11</v>
      </c>
    </row>
    <row r="196" spans="7:7">
      <c r="G196" s="229">
        <v>70</v>
      </c>
    </row>
  </sheetData>
  <mergeCells count="10">
    <mergeCell ref="A2:I2"/>
    <mergeCell ref="A4:A5"/>
    <mergeCell ref="B4:B5"/>
    <mergeCell ref="C4:C5"/>
    <mergeCell ref="D4:D5"/>
    <mergeCell ref="E4:E5"/>
    <mergeCell ref="F4:F5"/>
    <mergeCell ref="G4:G5"/>
    <mergeCell ref="H4:H5"/>
    <mergeCell ref="I4:I5"/>
  </mergeCells>
  <printOptions horizontalCentered="1"/>
  <pageMargins left="0.707638888888889" right="0.707638888888889" top="0.786805555555556" bottom="0.786805555555556" header="0.507638888888889" footer="0.507638888888889"/>
  <pageSetup paperSize="9" scale="90" firstPageNumber="10" fitToWidth="0" orientation="landscape" useFirstPageNumber="1" horizontalDpi="600"/>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6"/>
  <sheetViews>
    <sheetView view="pageBreakPreview" zoomScaleNormal="100" zoomScaleSheetLayoutView="100" workbookViewId="0">
      <selection activeCell="A16" sqref="A16"/>
    </sheetView>
  </sheetViews>
  <sheetFormatPr defaultColWidth="9" defaultRowHeight="14.25" outlineLevelCol="6"/>
  <cols>
    <col min="1" max="1" width="27.7666666666667" style="198" customWidth="1"/>
    <col min="2" max="4" width="15.8666666666667" style="199" customWidth="1"/>
    <col min="5" max="6" width="15.8666666666667" style="199" hidden="1" customWidth="1"/>
    <col min="7" max="7" width="15.125" style="198" hidden="1" customWidth="1"/>
    <col min="8" max="16384" width="9" style="198"/>
  </cols>
  <sheetData>
    <row r="1" ht="17" customHeight="1" spans="1:1">
      <c r="A1" s="200" t="s">
        <v>2080</v>
      </c>
    </row>
    <row r="2" ht="36" customHeight="1" spans="1:7">
      <c r="A2" s="201" t="s">
        <v>2081</v>
      </c>
      <c r="B2" s="201"/>
      <c r="C2" s="201"/>
      <c r="D2" s="201"/>
      <c r="E2" s="201"/>
      <c r="F2" s="201"/>
      <c r="G2" s="201"/>
    </row>
    <row r="3" customFormat="1" ht="21" customHeight="1" spans="1:7">
      <c r="A3" s="202"/>
      <c r="B3" s="202"/>
      <c r="C3" s="202"/>
      <c r="D3" s="203" t="s">
        <v>2</v>
      </c>
      <c r="E3" s="202"/>
      <c r="F3" s="203"/>
      <c r="G3" s="203"/>
    </row>
    <row r="4" ht="39" customHeight="1" spans="1:7">
      <c r="A4" s="204" t="s">
        <v>2082</v>
      </c>
      <c r="B4" s="205" t="s">
        <v>114</v>
      </c>
      <c r="C4" s="205" t="s">
        <v>5</v>
      </c>
      <c r="D4" s="205" t="s">
        <v>6</v>
      </c>
      <c r="E4" s="205" t="s">
        <v>2043</v>
      </c>
      <c r="F4" s="205" t="s">
        <v>2061</v>
      </c>
      <c r="G4" s="205" t="s">
        <v>2083</v>
      </c>
    </row>
    <row r="5" ht="29" customHeight="1" spans="1:7">
      <c r="A5" s="206" t="s">
        <v>1538</v>
      </c>
      <c r="B5" s="207">
        <f>基金支出明细!I5</f>
        <v>11881.4612</v>
      </c>
      <c r="C5" s="207">
        <f>D5-B5</f>
        <v>-427.433499999999</v>
      </c>
      <c r="D5" s="207">
        <f>基金支出明细!K5</f>
        <v>11454.0277</v>
      </c>
      <c r="E5" s="208">
        <v>13515</v>
      </c>
      <c r="F5" s="209">
        <f t="shared" ref="F5:F15" si="0">D5-E5</f>
        <v>-2060.9723</v>
      </c>
      <c r="G5" s="210">
        <f t="shared" ref="G5:G14" si="1">F5/E5</f>
        <v>-0.15249517573067</v>
      </c>
    </row>
    <row r="6" ht="29" customHeight="1" spans="1:7">
      <c r="A6" s="206" t="s">
        <v>1751</v>
      </c>
      <c r="B6" s="207">
        <v>0</v>
      </c>
      <c r="C6" s="207">
        <f t="shared" ref="C6:C14" si="2">D6-B6</f>
        <v>0</v>
      </c>
      <c r="D6" s="207">
        <v>0</v>
      </c>
      <c r="E6" s="208">
        <v>20000</v>
      </c>
      <c r="F6" s="209">
        <f t="shared" si="0"/>
        <v>-20000</v>
      </c>
      <c r="G6" s="210">
        <f t="shared" si="1"/>
        <v>-1</v>
      </c>
    </row>
    <row r="7" ht="29" customHeight="1" spans="1:7">
      <c r="A7" s="206" t="s">
        <v>1888</v>
      </c>
      <c r="B7" s="207">
        <f>基金支出明细!I65</f>
        <v>442</v>
      </c>
      <c r="C7" s="207">
        <f t="shared" si="2"/>
        <v>66850</v>
      </c>
      <c r="D7" s="207">
        <f>基金支出明细!K65</f>
        <v>67292</v>
      </c>
      <c r="E7" s="208">
        <v>60936</v>
      </c>
      <c r="F7" s="209">
        <f t="shared" si="0"/>
        <v>6356</v>
      </c>
      <c r="G7" s="210">
        <f t="shared" si="1"/>
        <v>0.104306157279769</v>
      </c>
    </row>
    <row r="8" ht="29" customHeight="1" spans="1:7">
      <c r="A8" s="206" t="s">
        <v>1893</v>
      </c>
      <c r="B8" s="207">
        <f>基金支出明细!I106</f>
        <v>15715.5473</v>
      </c>
      <c r="C8" s="207">
        <f t="shared" si="2"/>
        <v>-1116.925</v>
      </c>
      <c r="D8" s="207">
        <f>基金支出明细!K106</f>
        <v>14598.6223</v>
      </c>
      <c r="E8" s="208">
        <v>7689.78</v>
      </c>
      <c r="F8" s="209">
        <f t="shared" si="0"/>
        <v>6908.8423</v>
      </c>
      <c r="G8" s="210">
        <f t="shared" si="1"/>
        <v>0.8984447279376</v>
      </c>
    </row>
    <row r="9" ht="29" customHeight="1" spans="1:7">
      <c r="A9" s="206" t="s">
        <v>1903</v>
      </c>
      <c r="B9" s="207">
        <f>基金支出明细!I111</f>
        <v>136</v>
      </c>
      <c r="C9" s="207">
        <f t="shared" si="2"/>
        <v>-37.02</v>
      </c>
      <c r="D9" s="207">
        <f>基金支出明细!K111</f>
        <v>98.98</v>
      </c>
      <c r="E9" s="208">
        <v>88.84</v>
      </c>
      <c r="F9" s="209">
        <f t="shared" si="0"/>
        <v>10.14</v>
      </c>
      <c r="G9" s="210">
        <f t="shared" si="1"/>
        <v>0.114137775776677</v>
      </c>
    </row>
    <row r="10" ht="24" customHeight="1" spans="1:7">
      <c r="A10" s="211" t="s">
        <v>22</v>
      </c>
      <c r="B10" s="212">
        <f>SUM(B5:B9)</f>
        <v>28175.0085</v>
      </c>
      <c r="C10" s="212">
        <f>SUM(C5:C9)</f>
        <v>65268.6215</v>
      </c>
      <c r="D10" s="212">
        <f>SUM(D5:D9)</f>
        <v>93443.63</v>
      </c>
      <c r="E10" s="213">
        <f>SUM(E5:E9)</f>
        <v>102229.62</v>
      </c>
      <c r="F10" s="214">
        <f t="shared" si="0"/>
        <v>-8785.98999999999</v>
      </c>
      <c r="G10" s="215">
        <f t="shared" si="1"/>
        <v>-0.0859436824669796</v>
      </c>
    </row>
    <row r="11" ht="28" customHeight="1" spans="1:7">
      <c r="A11" s="216" t="s">
        <v>2084</v>
      </c>
      <c r="B11" s="207">
        <f>基金支出明细!I117</f>
        <v>54900</v>
      </c>
      <c r="C11" s="207">
        <f t="shared" si="2"/>
        <v>-47249</v>
      </c>
      <c r="D11" s="207">
        <f>基金支出明细!K117</f>
        <v>7651</v>
      </c>
      <c r="E11" s="208">
        <v>2006</v>
      </c>
      <c r="F11" s="217">
        <f t="shared" si="0"/>
        <v>5645</v>
      </c>
      <c r="G11" s="210">
        <f t="shared" si="1"/>
        <v>2.81405782652044</v>
      </c>
    </row>
    <row r="12" ht="28" customHeight="1" spans="1:7">
      <c r="A12" s="216" t="s">
        <v>2085</v>
      </c>
      <c r="B12" s="207">
        <f>基金支出明细!I120</f>
        <v>0</v>
      </c>
      <c r="C12" s="207">
        <f t="shared" si="2"/>
        <v>254</v>
      </c>
      <c r="D12" s="207">
        <f>基金支出明细!K120</f>
        <v>254</v>
      </c>
      <c r="E12" s="208">
        <v>254</v>
      </c>
      <c r="F12" s="217">
        <f t="shared" si="0"/>
        <v>0</v>
      </c>
      <c r="G12" s="210">
        <f t="shared" si="1"/>
        <v>0</v>
      </c>
    </row>
    <row r="13" ht="28" customHeight="1" spans="1:7">
      <c r="A13" s="206" t="s">
        <v>1918</v>
      </c>
      <c r="B13" s="207">
        <f>基金支出明细!I121</f>
        <v>58855</v>
      </c>
      <c r="C13" s="207">
        <f t="shared" si="2"/>
        <v>-34455</v>
      </c>
      <c r="D13" s="207">
        <f>基金支出明细!K121</f>
        <v>24400</v>
      </c>
      <c r="E13" s="208">
        <v>24364</v>
      </c>
      <c r="F13" s="217">
        <f t="shared" si="0"/>
        <v>36</v>
      </c>
      <c r="G13" s="210">
        <f t="shared" si="1"/>
        <v>0.00147758988671811</v>
      </c>
    </row>
    <row r="14" ht="31" customHeight="1" spans="1:7">
      <c r="A14" s="218" t="s">
        <v>2086</v>
      </c>
      <c r="B14" s="207">
        <f>基金支出明细!I122</f>
        <v>0</v>
      </c>
      <c r="C14" s="207">
        <f t="shared" si="2"/>
        <v>26738.827</v>
      </c>
      <c r="D14" s="207">
        <f>基金支出明细!K122</f>
        <v>26738.827</v>
      </c>
      <c r="E14" s="208">
        <v>0</v>
      </c>
      <c r="F14" s="217">
        <f t="shared" si="0"/>
        <v>26738.827</v>
      </c>
      <c r="G14" s="210"/>
    </row>
    <row r="15" ht="29" customHeight="1" spans="1:7">
      <c r="A15" s="219" t="s">
        <v>125</v>
      </c>
      <c r="B15" s="212">
        <f>SUM(B10:B14)</f>
        <v>141930.0085</v>
      </c>
      <c r="C15" s="212">
        <f>SUM(C10:C14)</f>
        <v>10557.4485</v>
      </c>
      <c r="D15" s="212">
        <f>SUM(D10:D14)</f>
        <v>152487.457</v>
      </c>
      <c r="E15" s="214">
        <f>SUM(E10:E14)</f>
        <v>128853.62</v>
      </c>
      <c r="F15" s="214">
        <f t="shared" si="0"/>
        <v>23633.837</v>
      </c>
      <c r="G15" s="215">
        <f>F15/E15</f>
        <v>0.183416166344415</v>
      </c>
    </row>
    <row r="16" ht="29" customHeight="1"/>
  </sheetData>
  <mergeCells count="1">
    <mergeCell ref="A2:G2"/>
  </mergeCells>
  <printOptions horizontalCentered="1"/>
  <pageMargins left="0.751388888888889" right="0.751388888888889" top="1" bottom="1" header="0.507638888888889" footer="0.507638888888889"/>
  <pageSetup paperSize="9" firstPageNumber="10" orientation="landscape" useFirstPageNumber="1" horizontalDpi="600"/>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127"/>
  <sheetViews>
    <sheetView workbookViewId="0">
      <pane xSplit="4" ySplit="4" topLeftCell="E109" activePane="bottomRight" state="frozen"/>
      <selection/>
      <selection pane="topRight"/>
      <selection pane="bottomLeft"/>
      <selection pane="bottomRight" activeCell="E124" sqref="E124"/>
    </sheetView>
  </sheetViews>
  <sheetFormatPr defaultColWidth="9" defaultRowHeight="13.5"/>
  <cols>
    <col min="1" max="1" width="5.86666666666667" style="136" customWidth="1"/>
    <col min="2" max="2" width="14.75" style="3" customWidth="1"/>
    <col min="3" max="3" width="13.1333333333333" style="3" customWidth="1"/>
    <col min="4" max="4" width="21.25" style="137" customWidth="1"/>
    <col min="5" max="5" width="30.25" style="3" customWidth="1"/>
    <col min="6" max="7" width="12.875" style="137" hidden="1" customWidth="1"/>
    <col min="8" max="8" width="34.5" style="3" customWidth="1"/>
    <col min="9" max="10" width="13.0416666666667" style="3" customWidth="1"/>
    <col min="11" max="11" width="13.0416666666667" style="138" customWidth="1"/>
    <col min="12" max="13" width="11.75" style="3" hidden="1" customWidth="1"/>
    <col min="14" max="14" width="37.25" style="3" customWidth="1"/>
    <col min="15" max="15" width="39.875" style="137" hidden="1" customWidth="1"/>
    <col min="16" max="16" width="13.5" customWidth="1"/>
    <col min="17" max="17" width="11.5"/>
  </cols>
  <sheetData>
    <row r="1" ht="30" customHeight="1" spans="1:15">
      <c r="A1" s="139" t="s">
        <v>2087</v>
      </c>
      <c r="B1" s="140"/>
      <c r="C1" s="140"/>
      <c r="D1" s="141"/>
      <c r="E1" s="139"/>
      <c r="F1" s="141"/>
      <c r="G1" s="142"/>
      <c r="H1" s="139"/>
      <c r="I1" s="139"/>
      <c r="J1" s="139"/>
      <c r="K1" s="139"/>
      <c r="L1" s="139"/>
      <c r="M1" s="139"/>
      <c r="N1" s="139"/>
      <c r="O1" s="139"/>
    </row>
    <row r="2" ht="18.95" customHeight="1" spans="2:15">
      <c r="B2" s="143"/>
      <c r="C2" s="143"/>
      <c r="D2" s="144"/>
      <c r="E2" s="145"/>
      <c r="F2" s="144"/>
      <c r="G2" s="144"/>
      <c r="H2" s="143"/>
      <c r="I2" s="156"/>
      <c r="J2" s="156"/>
      <c r="K2" s="156"/>
      <c r="L2" s="156"/>
      <c r="M2" s="156"/>
      <c r="N2" s="157" t="s">
        <v>2</v>
      </c>
      <c r="O2" s="157" t="s">
        <v>2</v>
      </c>
    </row>
    <row r="3" s="130" customFormat="1" ht="22" customHeight="1" spans="1:16">
      <c r="A3" s="146" t="s">
        <v>155</v>
      </c>
      <c r="B3" s="75" t="s">
        <v>178</v>
      </c>
      <c r="C3" s="75" t="s">
        <v>1200</v>
      </c>
      <c r="D3" s="75" t="s">
        <v>157</v>
      </c>
      <c r="E3" s="75" t="s">
        <v>156</v>
      </c>
      <c r="F3" s="6" t="s">
        <v>1201</v>
      </c>
      <c r="G3" s="6" t="s">
        <v>833</v>
      </c>
      <c r="H3" s="75" t="s">
        <v>1202</v>
      </c>
      <c r="I3" s="158" t="s">
        <v>4</v>
      </c>
      <c r="J3" s="158" t="s">
        <v>5</v>
      </c>
      <c r="K3" s="158" t="s">
        <v>6</v>
      </c>
      <c r="L3" s="159" t="s">
        <v>1204</v>
      </c>
      <c r="M3" s="159" t="s">
        <v>1205</v>
      </c>
      <c r="N3" s="75" t="s">
        <v>26</v>
      </c>
      <c r="O3" s="75" t="s">
        <v>1206</v>
      </c>
      <c r="P3" s="160" t="s">
        <v>1208</v>
      </c>
    </row>
    <row r="4" s="130" customFormat="1" ht="28" customHeight="1" spans="1:16">
      <c r="A4" s="146"/>
      <c r="B4" s="75"/>
      <c r="C4" s="75"/>
      <c r="D4" s="75"/>
      <c r="E4" s="75"/>
      <c r="F4" s="7"/>
      <c r="G4" s="7"/>
      <c r="H4" s="75"/>
      <c r="I4" s="158"/>
      <c r="J4" s="158"/>
      <c r="K4" s="158"/>
      <c r="L4" s="161"/>
      <c r="M4" s="161"/>
      <c r="N4" s="75"/>
      <c r="O4" s="75"/>
      <c r="P4" s="160"/>
    </row>
    <row r="5" s="130" customFormat="1" ht="21" customHeight="1" spans="1:16">
      <c r="A5" s="147">
        <v>1</v>
      </c>
      <c r="B5" s="148"/>
      <c r="C5" s="148"/>
      <c r="D5" s="83"/>
      <c r="E5" s="149" t="s">
        <v>1538</v>
      </c>
      <c r="F5" s="76"/>
      <c r="G5" s="71"/>
      <c r="H5" s="77"/>
      <c r="I5" s="162">
        <f>SUM(I6:I64)</f>
        <v>11881.4612</v>
      </c>
      <c r="J5" s="162">
        <f>SUM(J6:J64)</f>
        <v>-427.4335</v>
      </c>
      <c r="K5" s="162">
        <f>SUM(K6:K64)</f>
        <v>11454.0277</v>
      </c>
      <c r="L5" s="163">
        <f>SUM(L6:L64)</f>
        <v>16646.458453</v>
      </c>
      <c r="M5" s="163">
        <f>SUM(M6:M64)</f>
        <v>5485.15</v>
      </c>
      <c r="N5" s="164"/>
      <c r="O5" s="72"/>
      <c r="P5" s="165"/>
    </row>
    <row r="6" s="130" customFormat="1" ht="27" spans="1:16">
      <c r="A6" s="147">
        <v>2</v>
      </c>
      <c r="B6" s="148" t="s">
        <v>1117</v>
      </c>
      <c r="C6" s="148" t="s">
        <v>1117</v>
      </c>
      <c r="D6" s="54" t="s">
        <v>2088</v>
      </c>
      <c r="E6" s="148" t="s">
        <v>1935</v>
      </c>
      <c r="F6" s="71"/>
      <c r="G6" s="71"/>
      <c r="H6" s="72" t="s">
        <v>2089</v>
      </c>
      <c r="I6" s="166"/>
      <c r="J6" s="166">
        <v>1496.19</v>
      </c>
      <c r="K6" s="166">
        <f t="shared" ref="K6:K32" si="0">I6+J6</f>
        <v>1496.19</v>
      </c>
      <c r="L6" s="166">
        <v>800</v>
      </c>
      <c r="M6" s="166">
        <v>696.19</v>
      </c>
      <c r="N6" s="167" t="s">
        <v>2090</v>
      </c>
      <c r="O6" s="72"/>
      <c r="P6" s="166"/>
    </row>
    <row r="7" s="130" customFormat="1" ht="27" spans="1:16">
      <c r="A7" s="147">
        <v>3</v>
      </c>
      <c r="B7" s="148" t="s">
        <v>1117</v>
      </c>
      <c r="C7" s="148" t="s">
        <v>1117</v>
      </c>
      <c r="D7" s="54" t="s">
        <v>1822</v>
      </c>
      <c r="E7" s="148" t="s">
        <v>1935</v>
      </c>
      <c r="F7" s="71"/>
      <c r="G7" s="71"/>
      <c r="H7" s="72" t="s">
        <v>2091</v>
      </c>
      <c r="I7" s="166"/>
      <c r="J7" s="166">
        <v>1000</v>
      </c>
      <c r="K7" s="166">
        <f t="shared" si="0"/>
        <v>1000</v>
      </c>
      <c r="L7" s="166">
        <v>278.09</v>
      </c>
      <c r="M7" s="166"/>
      <c r="N7" s="167" t="s">
        <v>2092</v>
      </c>
      <c r="O7" s="72"/>
      <c r="P7" s="166"/>
    </row>
    <row r="8" s="130" customFormat="1" ht="54" spans="1:16">
      <c r="A8" s="147">
        <v>4</v>
      </c>
      <c r="B8" s="148" t="s">
        <v>1117</v>
      </c>
      <c r="C8" s="148" t="s">
        <v>1117</v>
      </c>
      <c r="D8" s="54" t="s">
        <v>1934</v>
      </c>
      <c r="E8" s="148" t="s">
        <v>1935</v>
      </c>
      <c r="F8" s="71"/>
      <c r="G8" s="71"/>
      <c r="H8" s="72" t="s">
        <v>1936</v>
      </c>
      <c r="I8" s="166"/>
      <c r="J8" s="166"/>
      <c r="K8" s="166">
        <f t="shared" si="0"/>
        <v>0</v>
      </c>
      <c r="L8" s="166">
        <v>1042.94</v>
      </c>
      <c r="M8" s="166"/>
      <c r="N8" s="167" t="s">
        <v>2093</v>
      </c>
      <c r="O8" s="72"/>
      <c r="P8" s="166">
        <v>2200</v>
      </c>
    </row>
    <row r="9" s="130" customFormat="1" ht="27" spans="1:16">
      <c r="A9" s="147">
        <v>5</v>
      </c>
      <c r="B9" s="148" t="s">
        <v>1117</v>
      </c>
      <c r="C9" s="148" t="s">
        <v>1117</v>
      </c>
      <c r="D9" s="54" t="s">
        <v>1934</v>
      </c>
      <c r="E9" s="148" t="s">
        <v>1935</v>
      </c>
      <c r="F9" s="71"/>
      <c r="G9" s="71"/>
      <c r="H9" s="72" t="s">
        <v>1937</v>
      </c>
      <c r="I9" s="166"/>
      <c r="J9" s="166"/>
      <c r="K9" s="166">
        <f t="shared" si="0"/>
        <v>0</v>
      </c>
      <c r="L9" s="166"/>
      <c r="M9" s="166">
        <v>5</v>
      </c>
      <c r="N9" s="167" t="s">
        <v>2094</v>
      </c>
      <c r="O9" s="72"/>
      <c r="P9" s="166">
        <v>800</v>
      </c>
    </row>
    <row r="10" s="130" customFormat="1" ht="27" spans="1:16">
      <c r="A10" s="147">
        <v>6</v>
      </c>
      <c r="B10" s="148" t="s">
        <v>1117</v>
      </c>
      <c r="C10" s="148" t="s">
        <v>1117</v>
      </c>
      <c r="D10" s="54" t="s">
        <v>1934</v>
      </c>
      <c r="E10" s="148" t="s">
        <v>1935</v>
      </c>
      <c r="F10" s="71"/>
      <c r="G10" s="71"/>
      <c r="H10" s="72" t="s">
        <v>1938</v>
      </c>
      <c r="I10" s="166"/>
      <c r="J10" s="166"/>
      <c r="K10" s="166">
        <f t="shared" si="0"/>
        <v>0</v>
      </c>
      <c r="L10" s="166"/>
      <c r="M10" s="166">
        <v>5.8</v>
      </c>
      <c r="N10" s="167" t="s">
        <v>2094</v>
      </c>
      <c r="O10" s="72"/>
      <c r="P10" s="166">
        <v>300</v>
      </c>
    </row>
    <row r="11" s="130" customFormat="1" ht="27" spans="1:16">
      <c r="A11" s="147">
        <v>7</v>
      </c>
      <c r="B11" s="148" t="s">
        <v>1117</v>
      </c>
      <c r="C11" s="148" t="s">
        <v>1117</v>
      </c>
      <c r="D11" s="54" t="s">
        <v>1934</v>
      </c>
      <c r="E11" s="148" t="s">
        <v>1935</v>
      </c>
      <c r="F11" s="71"/>
      <c r="G11" s="71"/>
      <c r="H11" s="72" t="s">
        <v>1939</v>
      </c>
      <c r="I11" s="166"/>
      <c r="J11" s="166"/>
      <c r="K11" s="166">
        <f t="shared" si="0"/>
        <v>0</v>
      </c>
      <c r="L11" s="166"/>
      <c r="M11" s="166">
        <v>5</v>
      </c>
      <c r="N11" s="167" t="s">
        <v>2094</v>
      </c>
      <c r="O11" s="72"/>
      <c r="P11" s="166">
        <v>100</v>
      </c>
    </row>
    <row r="12" s="130" customFormat="1" ht="27" spans="1:16">
      <c r="A12" s="147">
        <v>8</v>
      </c>
      <c r="B12" s="148" t="s">
        <v>1117</v>
      </c>
      <c r="C12" s="148" t="s">
        <v>1117</v>
      </c>
      <c r="D12" s="72" t="s">
        <v>1822</v>
      </c>
      <c r="E12" s="72" t="s">
        <v>1940</v>
      </c>
      <c r="F12" s="150" t="s">
        <v>1217</v>
      </c>
      <c r="G12" s="71" t="s">
        <v>1230</v>
      </c>
      <c r="H12" s="72" t="s">
        <v>2095</v>
      </c>
      <c r="I12" s="166">
        <v>25</v>
      </c>
      <c r="J12" s="166"/>
      <c r="K12" s="166">
        <f t="shared" si="0"/>
        <v>25</v>
      </c>
      <c r="L12" s="166">
        <v>25</v>
      </c>
      <c r="M12" s="166"/>
      <c r="N12" s="72"/>
      <c r="O12" s="72" t="s">
        <v>2096</v>
      </c>
      <c r="P12" s="165"/>
    </row>
    <row r="13" s="130" customFormat="1" ht="34" customHeight="1" spans="1:16">
      <c r="A13" s="147">
        <v>9</v>
      </c>
      <c r="B13" s="148" t="s">
        <v>1117</v>
      </c>
      <c r="C13" s="148" t="s">
        <v>1117</v>
      </c>
      <c r="D13" s="72" t="s">
        <v>1822</v>
      </c>
      <c r="E13" s="72" t="s">
        <v>1940</v>
      </c>
      <c r="F13" s="150" t="s">
        <v>1217</v>
      </c>
      <c r="G13" s="71" t="s">
        <v>1230</v>
      </c>
      <c r="H13" s="72" t="s">
        <v>2097</v>
      </c>
      <c r="I13" s="166">
        <v>30</v>
      </c>
      <c r="J13" s="166"/>
      <c r="K13" s="166">
        <f t="shared" si="0"/>
        <v>30</v>
      </c>
      <c r="L13" s="166"/>
      <c r="M13" s="166">
        <v>5</v>
      </c>
      <c r="N13" s="72"/>
      <c r="O13" s="72" t="s">
        <v>2098</v>
      </c>
      <c r="P13" s="165"/>
    </row>
    <row r="14" s="130" customFormat="1" ht="34" customHeight="1" spans="1:16">
      <c r="A14" s="147">
        <v>10</v>
      </c>
      <c r="B14" s="148" t="s">
        <v>1117</v>
      </c>
      <c r="C14" s="148" t="s">
        <v>1117</v>
      </c>
      <c r="D14" s="72" t="s">
        <v>1822</v>
      </c>
      <c r="E14" s="72" t="s">
        <v>1940</v>
      </c>
      <c r="F14" s="150" t="s">
        <v>1217</v>
      </c>
      <c r="G14" s="71" t="s">
        <v>1230</v>
      </c>
      <c r="H14" s="72" t="s">
        <v>2099</v>
      </c>
      <c r="I14" s="166">
        <v>15</v>
      </c>
      <c r="J14" s="166"/>
      <c r="K14" s="166">
        <f t="shared" si="0"/>
        <v>15</v>
      </c>
      <c r="L14" s="166"/>
      <c r="M14" s="166">
        <v>5.8</v>
      </c>
      <c r="N14" s="72"/>
      <c r="O14" s="72" t="s">
        <v>2100</v>
      </c>
      <c r="P14" s="165"/>
    </row>
    <row r="15" s="130" customFormat="1" ht="34" customHeight="1" spans="1:16">
      <c r="A15" s="147">
        <v>11</v>
      </c>
      <c r="B15" s="148" t="s">
        <v>1117</v>
      </c>
      <c r="C15" s="148" t="s">
        <v>1117</v>
      </c>
      <c r="D15" s="72" t="s">
        <v>1822</v>
      </c>
      <c r="E15" s="72" t="s">
        <v>1940</v>
      </c>
      <c r="F15" s="150" t="s">
        <v>1217</v>
      </c>
      <c r="G15" s="71" t="s">
        <v>1230</v>
      </c>
      <c r="H15" s="72" t="s">
        <v>2101</v>
      </c>
      <c r="I15" s="166">
        <v>30</v>
      </c>
      <c r="J15" s="166"/>
      <c r="K15" s="166">
        <f t="shared" si="0"/>
        <v>30</v>
      </c>
      <c r="L15" s="166"/>
      <c r="M15" s="166">
        <v>5</v>
      </c>
      <c r="N15" s="72"/>
      <c r="O15" s="72" t="s">
        <v>2102</v>
      </c>
      <c r="P15" s="165"/>
    </row>
    <row r="16" s="130" customFormat="1" ht="54" spans="1:16">
      <c r="A16" s="147">
        <v>12</v>
      </c>
      <c r="B16" s="148" t="s">
        <v>1117</v>
      </c>
      <c r="C16" s="148" t="s">
        <v>1117</v>
      </c>
      <c r="D16" s="72" t="s">
        <v>1822</v>
      </c>
      <c r="E16" s="72" t="s">
        <v>1940</v>
      </c>
      <c r="F16" s="150" t="s">
        <v>1217</v>
      </c>
      <c r="G16" s="71" t="s">
        <v>1230</v>
      </c>
      <c r="H16" s="72" t="s">
        <v>2103</v>
      </c>
      <c r="I16" s="166">
        <v>43.518</v>
      </c>
      <c r="J16" s="166"/>
      <c r="K16" s="168">
        <f t="shared" si="0"/>
        <v>43.518</v>
      </c>
      <c r="L16" s="166"/>
      <c r="M16" s="166">
        <v>43.52</v>
      </c>
      <c r="N16" s="72"/>
      <c r="O16" s="72" t="s">
        <v>2104</v>
      </c>
      <c r="P16" s="165"/>
    </row>
    <row r="17" s="130" customFormat="1" ht="27" spans="1:16">
      <c r="A17" s="147">
        <v>13</v>
      </c>
      <c r="B17" s="148" t="s">
        <v>1117</v>
      </c>
      <c r="C17" s="148" t="s">
        <v>1117</v>
      </c>
      <c r="D17" s="72" t="s">
        <v>1934</v>
      </c>
      <c r="E17" s="72" t="s">
        <v>1940</v>
      </c>
      <c r="F17" s="150"/>
      <c r="G17" s="71"/>
      <c r="H17" s="72" t="s">
        <v>2105</v>
      </c>
      <c r="I17" s="166"/>
      <c r="J17" s="166">
        <v>108.12</v>
      </c>
      <c r="K17" s="166">
        <f t="shared" si="0"/>
        <v>108.12</v>
      </c>
      <c r="L17" s="166">
        <v>108.12</v>
      </c>
      <c r="M17" s="166"/>
      <c r="N17" s="72" t="s">
        <v>2106</v>
      </c>
      <c r="O17" s="72"/>
      <c r="P17" s="165"/>
    </row>
    <row r="18" s="130" customFormat="1" ht="27" spans="1:16">
      <c r="A18" s="147">
        <v>14</v>
      </c>
      <c r="B18" s="148" t="s">
        <v>1117</v>
      </c>
      <c r="C18" s="148" t="s">
        <v>1117</v>
      </c>
      <c r="D18" s="72" t="s">
        <v>1934</v>
      </c>
      <c r="E18" s="72" t="s">
        <v>1940</v>
      </c>
      <c r="F18" s="150"/>
      <c r="G18" s="71"/>
      <c r="H18" s="72" t="s">
        <v>2107</v>
      </c>
      <c r="I18" s="166"/>
      <c r="J18" s="166">
        <v>192</v>
      </c>
      <c r="K18" s="166">
        <f t="shared" si="0"/>
        <v>192</v>
      </c>
      <c r="L18" s="166">
        <v>192</v>
      </c>
      <c r="M18" s="166"/>
      <c r="N18" s="72" t="s">
        <v>2108</v>
      </c>
      <c r="O18" s="72"/>
      <c r="P18" s="165"/>
    </row>
    <row r="19" s="130" customFormat="1" ht="27" spans="1:16">
      <c r="A19" s="147">
        <v>15</v>
      </c>
      <c r="B19" s="148" t="s">
        <v>1117</v>
      </c>
      <c r="C19" s="148" t="s">
        <v>1117</v>
      </c>
      <c r="D19" s="72" t="s">
        <v>1566</v>
      </c>
      <c r="E19" s="72" t="s">
        <v>1940</v>
      </c>
      <c r="F19" s="150"/>
      <c r="G19" s="71"/>
      <c r="H19" s="72" t="s">
        <v>1941</v>
      </c>
      <c r="I19" s="166"/>
      <c r="J19" s="166"/>
      <c r="K19" s="166">
        <f t="shared" si="0"/>
        <v>0</v>
      </c>
      <c r="L19" s="166">
        <v>3627.45</v>
      </c>
      <c r="M19" s="166"/>
      <c r="N19" s="72" t="s">
        <v>2109</v>
      </c>
      <c r="O19" s="72"/>
      <c r="P19" s="165">
        <f>3627.45</f>
        <v>3627.45</v>
      </c>
    </row>
    <row r="20" s="130" customFormat="1" ht="27" spans="1:16">
      <c r="A20" s="147">
        <v>16</v>
      </c>
      <c r="B20" s="148" t="s">
        <v>1117</v>
      </c>
      <c r="C20" s="148" t="s">
        <v>1117</v>
      </c>
      <c r="D20" s="72" t="s">
        <v>1583</v>
      </c>
      <c r="E20" s="72" t="s">
        <v>1940</v>
      </c>
      <c r="F20" s="150"/>
      <c r="G20" s="71"/>
      <c r="H20" s="72" t="s">
        <v>1941</v>
      </c>
      <c r="I20" s="166"/>
      <c r="J20" s="166"/>
      <c r="K20" s="166">
        <f t="shared" si="0"/>
        <v>0</v>
      </c>
      <c r="L20" s="166">
        <v>3543.39</v>
      </c>
      <c r="M20" s="166"/>
      <c r="N20" s="72" t="s">
        <v>2109</v>
      </c>
      <c r="O20" s="72"/>
      <c r="P20" s="169">
        <f>3560.81</f>
        <v>3560.81</v>
      </c>
    </row>
    <row r="21" s="130" customFormat="1" ht="27" spans="1:16">
      <c r="A21" s="147">
        <v>17</v>
      </c>
      <c r="B21" s="148" t="s">
        <v>1117</v>
      </c>
      <c r="C21" s="148" t="s">
        <v>1117</v>
      </c>
      <c r="D21" s="72" t="s">
        <v>1822</v>
      </c>
      <c r="E21" s="72" t="s">
        <v>1940</v>
      </c>
      <c r="F21" s="150"/>
      <c r="G21" s="71"/>
      <c r="H21" s="72" t="s">
        <v>2110</v>
      </c>
      <c r="I21" s="166"/>
      <c r="J21" s="166">
        <v>118.4</v>
      </c>
      <c r="K21" s="166">
        <f t="shared" si="0"/>
        <v>118.4</v>
      </c>
      <c r="L21" s="166">
        <v>118.4</v>
      </c>
      <c r="M21" s="166"/>
      <c r="N21" s="72" t="s">
        <v>2111</v>
      </c>
      <c r="O21" s="72"/>
      <c r="P21" s="165"/>
    </row>
    <row r="22" s="130" customFormat="1" ht="27" spans="1:16">
      <c r="A22" s="147">
        <v>18</v>
      </c>
      <c r="B22" s="148" t="s">
        <v>1117</v>
      </c>
      <c r="C22" s="148" t="s">
        <v>1117</v>
      </c>
      <c r="D22" s="72" t="s">
        <v>1942</v>
      </c>
      <c r="E22" s="72" t="s">
        <v>1940</v>
      </c>
      <c r="F22" s="150"/>
      <c r="G22" s="71"/>
      <c r="H22" s="72" t="s">
        <v>1943</v>
      </c>
      <c r="I22" s="166"/>
      <c r="J22" s="166">
        <f>295.18-202.4935</f>
        <v>92.6865</v>
      </c>
      <c r="K22" s="170">
        <f t="shared" si="0"/>
        <v>92.6865</v>
      </c>
      <c r="L22" s="166">
        <v>295.18</v>
      </c>
      <c r="M22" s="166"/>
      <c r="N22" s="72" t="s">
        <v>2112</v>
      </c>
      <c r="O22" s="72"/>
      <c r="P22" s="165">
        <f>295.18-92.6865</f>
        <v>202.4935</v>
      </c>
    </row>
    <row r="23" s="130" customFormat="1" ht="27" spans="1:16">
      <c r="A23" s="147">
        <v>19</v>
      </c>
      <c r="B23" s="148" t="s">
        <v>1117</v>
      </c>
      <c r="C23" s="148" t="s">
        <v>1117</v>
      </c>
      <c r="D23" s="72" t="s">
        <v>1271</v>
      </c>
      <c r="E23" s="72" t="s">
        <v>1940</v>
      </c>
      <c r="F23" s="150"/>
      <c r="G23" s="71"/>
      <c r="H23" s="72" t="s">
        <v>1944</v>
      </c>
      <c r="I23" s="166"/>
      <c r="J23" s="166"/>
      <c r="K23" s="166">
        <f t="shared" si="0"/>
        <v>0</v>
      </c>
      <c r="L23" s="166"/>
      <c r="M23" s="166">
        <v>12.13</v>
      </c>
      <c r="N23" s="72" t="s">
        <v>2113</v>
      </c>
      <c r="O23" s="72"/>
      <c r="P23" s="165">
        <v>491</v>
      </c>
    </row>
    <row r="24" s="130" customFormat="1" ht="27" spans="1:16">
      <c r="A24" s="147">
        <v>20</v>
      </c>
      <c r="B24" s="148" t="s">
        <v>1117</v>
      </c>
      <c r="C24" s="148" t="s">
        <v>1117</v>
      </c>
      <c r="D24" s="72" t="s">
        <v>1822</v>
      </c>
      <c r="E24" s="72" t="s">
        <v>1940</v>
      </c>
      <c r="F24" s="150"/>
      <c r="G24" s="71"/>
      <c r="H24" s="72" t="s">
        <v>2114</v>
      </c>
      <c r="I24" s="166"/>
      <c r="J24" s="166">
        <v>20.54</v>
      </c>
      <c r="K24" s="166">
        <f t="shared" si="0"/>
        <v>20.54</v>
      </c>
      <c r="L24" s="166">
        <v>20.54</v>
      </c>
      <c r="M24" s="166"/>
      <c r="N24" s="72" t="s">
        <v>2115</v>
      </c>
      <c r="O24" s="72"/>
      <c r="P24" s="165"/>
    </row>
    <row r="25" s="130" customFormat="1" ht="40.5" spans="1:16">
      <c r="A25" s="147">
        <v>21</v>
      </c>
      <c r="B25" s="148" t="s">
        <v>1117</v>
      </c>
      <c r="C25" s="148" t="s">
        <v>1117</v>
      </c>
      <c r="D25" s="72" t="s">
        <v>1934</v>
      </c>
      <c r="E25" s="72" t="s">
        <v>1940</v>
      </c>
      <c r="F25" s="150"/>
      <c r="G25" s="71"/>
      <c r="H25" s="72" t="s">
        <v>1945</v>
      </c>
      <c r="I25" s="166"/>
      <c r="J25" s="166"/>
      <c r="K25" s="166">
        <f t="shared" si="0"/>
        <v>0</v>
      </c>
      <c r="L25" s="166"/>
      <c r="M25" s="166"/>
      <c r="N25" s="72" t="s">
        <v>2094</v>
      </c>
      <c r="O25" s="72"/>
      <c r="P25" s="165">
        <v>110</v>
      </c>
    </row>
    <row r="26" s="130" customFormat="1" ht="27" spans="1:16">
      <c r="A26" s="147">
        <v>22</v>
      </c>
      <c r="B26" s="148" t="s">
        <v>1117</v>
      </c>
      <c r="C26" s="148" t="s">
        <v>1117</v>
      </c>
      <c r="D26" s="72" t="s">
        <v>1934</v>
      </c>
      <c r="E26" s="72" t="s">
        <v>1940</v>
      </c>
      <c r="F26" s="150"/>
      <c r="G26" s="71"/>
      <c r="H26" s="72" t="s">
        <v>1946</v>
      </c>
      <c r="I26" s="166"/>
      <c r="J26" s="166"/>
      <c r="K26" s="166">
        <f t="shared" si="0"/>
        <v>0</v>
      </c>
      <c r="L26" s="166"/>
      <c r="M26" s="166">
        <v>1.9</v>
      </c>
      <c r="N26" s="72" t="s">
        <v>2094</v>
      </c>
      <c r="O26" s="72"/>
      <c r="P26" s="165">
        <v>70</v>
      </c>
    </row>
    <row r="27" s="130" customFormat="1" ht="27" spans="1:16">
      <c r="A27" s="147">
        <v>23</v>
      </c>
      <c r="B27" s="148" t="s">
        <v>1117</v>
      </c>
      <c r="C27" s="148" t="s">
        <v>1117</v>
      </c>
      <c r="D27" s="72" t="s">
        <v>1822</v>
      </c>
      <c r="E27" s="72" t="s">
        <v>1940</v>
      </c>
      <c r="F27" s="150" t="s">
        <v>1217</v>
      </c>
      <c r="G27" s="71" t="s">
        <v>1230</v>
      </c>
      <c r="H27" s="72" t="s">
        <v>2116</v>
      </c>
      <c r="I27" s="166">
        <v>127.007</v>
      </c>
      <c r="J27" s="166"/>
      <c r="K27" s="168">
        <f t="shared" si="0"/>
        <v>127.007</v>
      </c>
      <c r="L27" s="166">
        <v>25.4</v>
      </c>
      <c r="M27" s="166">
        <v>101.61</v>
      </c>
      <c r="N27" s="72"/>
      <c r="O27" s="72" t="s">
        <v>2117</v>
      </c>
      <c r="P27" s="165"/>
    </row>
    <row r="28" s="130" customFormat="1" ht="27" spans="1:16">
      <c r="A28" s="147">
        <v>24</v>
      </c>
      <c r="B28" s="148" t="s">
        <v>1117</v>
      </c>
      <c r="C28" s="148" t="s">
        <v>1117</v>
      </c>
      <c r="D28" s="72" t="s">
        <v>2118</v>
      </c>
      <c r="E28" s="72" t="s">
        <v>2119</v>
      </c>
      <c r="F28" s="150" t="s">
        <v>1217</v>
      </c>
      <c r="G28" s="71" t="s">
        <v>1230</v>
      </c>
      <c r="H28" s="72" t="s">
        <v>1999</v>
      </c>
      <c r="I28" s="166">
        <v>142.78</v>
      </c>
      <c r="J28" s="166"/>
      <c r="K28" s="166">
        <f t="shared" si="0"/>
        <v>142.78</v>
      </c>
      <c r="L28" s="166"/>
      <c r="M28" s="166"/>
      <c r="N28" s="72"/>
      <c r="O28" s="72" t="s">
        <v>2120</v>
      </c>
      <c r="P28" s="165"/>
    </row>
    <row r="29" s="130" customFormat="1" ht="30" customHeight="1" spans="1:16">
      <c r="A29" s="147">
        <v>25</v>
      </c>
      <c r="B29" s="148" t="s">
        <v>1161</v>
      </c>
      <c r="C29" s="148" t="s">
        <v>1161</v>
      </c>
      <c r="D29" s="151" t="s">
        <v>1349</v>
      </c>
      <c r="E29" s="151" t="s">
        <v>2119</v>
      </c>
      <c r="F29" s="150" t="s">
        <v>1217</v>
      </c>
      <c r="G29" s="71" t="s">
        <v>1230</v>
      </c>
      <c r="H29" s="54" t="s">
        <v>2121</v>
      </c>
      <c r="I29" s="171">
        <v>35</v>
      </c>
      <c r="J29" s="171"/>
      <c r="K29" s="171">
        <f t="shared" si="0"/>
        <v>35</v>
      </c>
      <c r="L29" s="171">
        <v>0</v>
      </c>
      <c r="M29" s="171"/>
      <c r="N29" s="172"/>
      <c r="O29" s="173" t="s">
        <v>2122</v>
      </c>
      <c r="P29" s="165"/>
    </row>
    <row r="30" s="130" customFormat="1" ht="27" customHeight="1" spans="1:16">
      <c r="A30" s="147">
        <v>26</v>
      </c>
      <c r="B30" s="148" t="s">
        <v>1117</v>
      </c>
      <c r="C30" s="148" t="s">
        <v>1117</v>
      </c>
      <c r="D30" s="72" t="s">
        <v>1583</v>
      </c>
      <c r="E30" s="72" t="s">
        <v>2123</v>
      </c>
      <c r="F30" s="150"/>
      <c r="G30" s="71"/>
      <c r="H30" s="72" t="s">
        <v>2124</v>
      </c>
      <c r="I30" s="166"/>
      <c r="J30" s="166">
        <v>40</v>
      </c>
      <c r="K30" s="166">
        <f t="shared" si="0"/>
        <v>40</v>
      </c>
      <c r="L30" s="166">
        <v>4</v>
      </c>
      <c r="M30" s="166">
        <v>10</v>
      </c>
      <c r="N30" s="72" t="s">
        <v>2125</v>
      </c>
      <c r="O30" s="72"/>
      <c r="P30" s="165"/>
    </row>
    <row r="31" s="130" customFormat="1" ht="27" customHeight="1" spans="1:16">
      <c r="A31" s="147">
        <v>27</v>
      </c>
      <c r="B31" s="148" t="s">
        <v>1117</v>
      </c>
      <c r="C31" s="148" t="s">
        <v>1117</v>
      </c>
      <c r="D31" s="72" t="s">
        <v>1410</v>
      </c>
      <c r="E31" s="72" t="s">
        <v>2126</v>
      </c>
      <c r="F31" s="150" t="s">
        <v>1217</v>
      </c>
      <c r="G31" s="71" t="s">
        <v>1296</v>
      </c>
      <c r="H31" s="72" t="s">
        <v>2127</v>
      </c>
      <c r="I31" s="166">
        <v>600</v>
      </c>
      <c r="J31" s="166">
        <v>-277.77</v>
      </c>
      <c r="K31" s="166">
        <f t="shared" si="0"/>
        <v>322.23</v>
      </c>
      <c r="L31" s="166"/>
      <c r="M31" s="166"/>
      <c r="N31" s="72" t="s">
        <v>2128</v>
      </c>
      <c r="O31" s="72" t="s">
        <v>2129</v>
      </c>
      <c r="P31" s="165"/>
    </row>
    <row r="32" s="130" customFormat="1" ht="27" customHeight="1" spans="1:16">
      <c r="A32" s="147">
        <v>28</v>
      </c>
      <c r="B32" s="148" t="s">
        <v>1117</v>
      </c>
      <c r="C32" s="148" t="s">
        <v>1117</v>
      </c>
      <c r="D32" s="72" t="s">
        <v>1271</v>
      </c>
      <c r="E32" s="72" t="s">
        <v>1947</v>
      </c>
      <c r="F32" s="150"/>
      <c r="G32" s="71"/>
      <c r="H32" s="72" t="s">
        <v>1948</v>
      </c>
      <c r="I32" s="166"/>
      <c r="J32" s="166"/>
      <c r="K32" s="166">
        <f t="shared" si="0"/>
        <v>0</v>
      </c>
      <c r="L32" s="166">
        <v>188.75</v>
      </c>
      <c r="M32" s="166">
        <v>311.25</v>
      </c>
      <c r="N32" s="72" t="s">
        <v>2130</v>
      </c>
      <c r="O32" s="72"/>
      <c r="P32" s="165">
        <v>500</v>
      </c>
    </row>
    <row r="33" s="130" customFormat="1" ht="27" customHeight="1" spans="1:16">
      <c r="A33" s="147">
        <v>29</v>
      </c>
      <c r="B33" s="148" t="s">
        <v>880</v>
      </c>
      <c r="C33" s="148" t="s">
        <v>880</v>
      </c>
      <c r="D33" s="72" t="s">
        <v>1949</v>
      </c>
      <c r="E33" s="72" t="s">
        <v>1947</v>
      </c>
      <c r="F33" s="150" t="s">
        <v>2131</v>
      </c>
      <c r="G33" s="71" t="s">
        <v>838</v>
      </c>
      <c r="H33" s="72" t="s">
        <v>1950</v>
      </c>
      <c r="I33" s="166">
        <v>200</v>
      </c>
      <c r="J33" s="166">
        <v>-200</v>
      </c>
      <c r="K33" s="166">
        <f t="shared" ref="K33:K64" si="1">I33+J33</f>
        <v>0</v>
      </c>
      <c r="L33" s="166">
        <v>186.3467</v>
      </c>
      <c r="M33" s="166">
        <v>213.65</v>
      </c>
      <c r="N33" s="72" t="s">
        <v>2132</v>
      </c>
      <c r="O33" s="72" t="s">
        <v>2133</v>
      </c>
      <c r="P33" s="165">
        <v>400</v>
      </c>
    </row>
    <row r="34" s="130" customFormat="1" ht="27" customHeight="1" spans="1:16">
      <c r="A34" s="147">
        <v>30</v>
      </c>
      <c r="B34" s="148" t="s">
        <v>1117</v>
      </c>
      <c r="C34" s="148" t="s">
        <v>1117</v>
      </c>
      <c r="D34" s="72" t="s">
        <v>1573</v>
      </c>
      <c r="E34" s="72" t="s">
        <v>2134</v>
      </c>
      <c r="F34" s="150" t="s">
        <v>1217</v>
      </c>
      <c r="G34" s="71" t="s">
        <v>1230</v>
      </c>
      <c r="H34" s="72" t="s">
        <v>2135</v>
      </c>
      <c r="I34" s="166">
        <v>1000</v>
      </c>
      <c r="J34" s="166">
        <v>-0.35</v>
      </c>
      <c r="K34" s="166">
        <f t="shared" si="1"/>
        <v>999.65</v>
      </c>
      <c r="L34" s="166"/>
      <c r="M34" s="166"/>
      <c r="N34" s="72"/>
      <c r="O34" s="72" t="s">
        <v>2136</v>
      </c>
      <c r="P34" s="165"/>
    </row>
    <row r="35" s="130" customFormat="1" ht="27" spans="1:16">
      <c r="A35" s="147">
        <v>31</v>
      </c>
      <c r="B35" s="148" t="s">
        <v>1117</v>
      </c>
      <c r="C35" s="148" t="s">
        <v>1117</v>
      </c>
      <c r="D35" s="72" t="s">
        <v>1822</v>
      </c>
      <c r="E35" s="72" t="s">
        <v>1951</v>
      </c>
      <c r="F35" s="150"/>
      <c r="G35" s="71"/>
      <c r="H35" s="72" t="s">
        <v>2137</v>
      </c>
      <c r="I35" s="166"/>
      <c r="J35" s="166">
        <v>26.91</v>
      </c>
      <c r="K35" s="166">
        <f t="shared" si="1"/>
        <v>26.91</v>
      </c>
      <c r="L35" s="166"/>
      <c r="M35" s="166"/>
      <c r="N35" s="72" t="s">
        <v>2138</v>
      </c>
      <c r="O35" s="72"/>
      <c r="P35" s="165"/>
    </row>
    <row r="36" s="130" customFormat="1" ht="27" spans="1:16">
      <c r="A36" s="147">
        <v>32</v>
      </c>
      <c r="B36" s="148" t="s">
        <v>1117</v>
      </c>
      <c r="C36" s="148" t="s">
        <v>1117</v>
      </c>
      <c r="D36" s="72" t="s">
        <v>1822</v>
      </c>
      <c r="E36" s="72" t="s">
        <v>1951</v>
      </c>
      <c r="F36" s="150"/>
      <c r="G36" s="71"/>
      <c r="H36" s="72" t="s">
        <v>1952</v>
      </c>
      <c r="I36" s="166"/>
      <c r="J36" s="166"/>
      <c r="K36" s="166">
        <f t="shared" si="1"/>
        <v>0</v>
      </c>
      <c r="L36" s="166">
        <v>234.05</v>
      </c>
      <c r="M36" s="166"/>
      <c r="N36" s="72" t="s">
        <v>2139</v>
      </c>
      <c r="O36" s="72"/>
      <c r="P36" s="165">
        <v>334.35</v>
      </c>
    </row>
    <row r="37" s="130" customFormat="1" ht="27" spans="1:16">
      <c r="A37" s="147">
        <v>33</v>
      </c>
      <c r="B37" s="148" t="s">
        <v>1117</v>
      </c>
      <c r="C37" s="148" t="s">
        <v>1117</v>
      </c>
      <c r="D37" s="72" t="s">
        <v>1822</v>
      </c>
      <c r="E37" s="72" t="s">
        <v>1951</v>
      </c>
      <c r="F37" s="150"/>
      <c r="G37" s="71"/>
      <c r="H37" s="72" t="s">
        <v>2140</v>
      </c>
      <c r="I37" s="166"/>
      <c r="J37" s="166">
        <v>100</v>
      </c>
      <c r="K37" s="166">
        <f t="shared" si="1"/>
        <v>100</v>
      </c>
      <c r="L37" s="166">
        <v>50</v>
      </c>
      <c r="M37" s="166"/>
      <c r="N37" s="72" t="s">
        <v>2141</v>
      </c>
      <c r="O37" s="72"/>
      <c r="P37" s="165"/>
    </row>
    <row r="38" s="130" customFormat="1" ht="34" customHeight="1" spans="1:16">
      <c r="A38" s="147">
        <v>34</v>
      </c>
      <c r="B38" s="148" t="s">
        <v>1117</v>
      </c>
      <c r="C38" s="148" t="s">
        <v>1117</v>
      </c>
      <c r="D38" s="72" t="s">
        <v>1822</v>
      </c>
      <c r="E38" s="72" t="s">
        <v>1951</v>
      </c>
      <c r="F38" s="150"/>
      <c r="G38" s="71"/>
      <c r="H38" s="72" t="s">
        <v>2142</v>
      </c>
      <c r="I38" s="166"/>
      <c r="J38" s="166">
        <v>42.8</v>
      </c>
      <c r="K38" s="166">
        <f t="shared" si="1"/>
        <v>42.8</v>
      </c>
      <c r="L38" s="166"/>
      <c r="M38" s="166"/>
      <c r="N38" s="72" t="s">
        <v>2143</v>
      </c>
      <c r="O38" s="72"/>
      <c r="P38" s="165"/>
    </row>
    <row r="39" s="130" customFormat="1" ht="34" customHeight="1" spans="1:16">
      <c r="A39" s="147">
        <v>35</v>
      </c>
      <c r="B39" s="148" t="s">
        <v>1117</v>
      </c>
      <c r="C39" s="148" t="s">
        <v>1117</v>
      </c>
      <c r="D39" s="72" t="s">
        <v>1822</v>
      </c>
      <c r="E39" s="72" t="s">
        <v>1951</v>
      </c>
      <c r="F39" s="150"/>
      <c r="G39" s="71"/>
      <c r="H39" s="72" t="s">
        <v>2144</v>
      </c>
      <c r="I39" s="166"/>
      <c r="J39" s="166">
        <v>9.8</v>
      </c>
      <c r="K39" s="166">
        <f t="shared" si="1"/>
        <v>9.8</v>
      </c>
      <c r="L39" s="166"/>
      <c r="M39" s="166">
        <v>8</v>
      </c>
      <c r="N39" s="72" t="s">
        <v>2145</v>
      </c>
      <c r="O39" s="72"/>
      <c r="P39" s="165"/>
    </row>
    <row r="40" s="130" customFormat="1" ht="34" customHeight="1" spans="1:16">
      <c r="A40" s="147">
        <v>36</v>
      </c>
      <c r="B40" s="148" t="s">
        <v>1117</v>
      </c>
      <c r="C40" s="148" t="s">
        <v>1117</v>
      </c>
      <c r="D40" s="72" t="s">
        <v>1822</v>
      </c>
      <c r="E40" s="72" t="s">
        <v>1951</v>
      </c>
      <c r="F40" s="150"/>
      <c r="G40" s="71"/>
      <c r="H40" s="72" t="s">
        <v>2146</v>
      </c>
      <c r="I40" s="166"/>
      <c r="J40" s="166">
        <v>50</v>
      </c>
      <c r="K40" s="166">
        <f t="shared" si="1"/>
        <v>50</v>
      </c>
      <c r="L40" s="166"/>
      <c r="M40" s="166">
        <v>50</v>
      </c>
      <c r="N40" s="72" t="s">
        <v>2115</v>
      </c>
      <c r="O40" s="72"/>
      <c r="P40" s="165"/>
    </row>
    <row r="41" s="130" customFormat="1" ht="34" customHeight="1" spans="1:16">
      <c r="A41" s="147">
        <v>37</v>
      </c>
      <c r="B41" s="148" t="s">
        <v>1117</v>
      </c>
      <c r="C41" s="148" t="s">
        <v>1117</v>
      </c>
      <c r="D41" s="72" t="s">
        <v>1822</v>
      </c>
      <c r="E41" s="72" t="s">
        <v>1951</v>
      </c>
      <c r="F41" s="150" t="s">
        <v>1217</v>
      </c>
      <c r="G41" s="71" t="s">
        <v>1230</v>
      </c>
      <c r="H41" s="72" t="s">
        <v>2147</v>
      </c>
      <c r="I41" s="166">
        <v>12.1272</v>
      </c>
      <c r="J41" s="166"/>
      <c r="K41" s="170">
        <f t="shared" si="1"/>
        <v>12.1272</v>
      </c>
      <c r="L41" s="166"/>
      <c r="M41" s="166">
        <v>12.13</v>
      </c>
      <c r="N41" s="72"/>
      <c r="O41" s="72" t="s">
        <v>2148</v>
      </c>
      <c r="P41" s="165"/>
    </row>
    <row r="42" s="130" customFormat="1" ht="39" customHeight="1" spans="1:16">
      <c r="A42" s="147">
        <v>38</v>
      </c>
      <c r="B42" s="148" t="s">
        <v>1117</v>
      </c>
      <c r="C42" s="148" t="s">
        <v>1117</v>
      </c>
      <c r="D42" s="72" t="s">
        <v>1822</v>
      </c>
      <c r="E42" s="72" t="s">
        <v>1951</v>
      </c>
      <c r="F42" s="150" t="s">
        <v>1217</v>
      </c>
      <c r="G42" s="71" t="s">
        <v>1230</v>
      </c>
      <c r="H42" s="72" t="s">
        <v>2149</v>
      </c>
      <c r="I42" s="166">
        <v>19</v>
      </c>
      <c r="J42" s="166"/>
      <c r="K42" s="166">
        <f t="shared" si="1"/>
        <v>19</v>
      </c>
      <c r="L42" s="166"/>
      <c r="M42" s="166">
        <v>12</v>
      </c>
      <c r="N42" s="72"/>
      <c r="O42" s="72" t="s">
        <v>2150</v>
      </c>
      <c r="P42" s="165"/>
    </row>
    <row r="43" s="130" customFormat="1" ht="36" customHeight="1" spans="1:16">
      <c r="A43" s="147">
        <v>39</v>
      </c>
      <c r="B43" s="148" t="s">
        <v>1117</v>
      </c>
      <c r="C43" s="148" t="s">
        <v>1117</v>
      </c>
      <c r="D43" s="72" t="s">
        <v>1822</v>
      </c>
      <c r="E43" s="72" t="s">
        <v>1951</v>
      </c>
      <c r="F43" s="150" t="s">
        <v>1217</v>
      </c>
      <c r="G43" s="71" t="s">
        <v>1230</v>
      </c>
      <c r="H43" s="72" t="s">
        <v>2151</v>
      </c>
      <c r="I43" s="166">
        <v>24.4654</v>
      </c>
      <c r="J43" s="166"/>
      <c r="K43" s="170">
        <f t="shared" si="1"/>
        <v>24.4654</v>
      </c>
      <c r="L43" s="166"/>
      <c r="M43" s="166"/>
      <c r="N43" s="72"/>
      <c r="O43" s="72" t="s">
        <v>2152</v>
      </c>
      <c r="P43" s="165"/>
    </row>
    <row r="44" s="130" customFormat="1" ht="45" customHeight="1" spans="1:16">
      <c r="A44" s="147">
        <v>40</v>
      </c>
      <c r="B44" s="148" t="s">
        <v>1117</v>
      </c>
      <c r="C44" s="148" t="s">
        <v>1117</v>
      </c>
      <c r="D44" s="72" t="s">
        <v>1822</v>
      </c>
      <c r="E44" s="72" t="s">
        <v>1951</v>
      </c>
      <c r="F44" s="150" t="s">
        <v>1217</v>
      </c>
      <c r="G44" s="71" t="s">
        <v>1230</v>
      </c>
      <c r="H44" s="72" t="s">
        <v>2153</v>
      </c>
      <c r="I44" s="166">
        <v>1.9</v>
      </c>
      <c r="J44" s="166"/>
      <c r="K44" s="166">
        <f t="shared" si="1"/>
        <v>1.9</v>
      </c>
      <c r="L44" s="166"/>
      <c r="M44" s="166">
        <v>1.9</v>
      </c>
      <c r="N44" s="72"/>
      <c r="O44" s="72" t="s">
        <v>2154</v>
      </c>
      <c r="P44" s="165"/>
    </row>
    <row r="45" s="130" customFormat="1" ht="34" customHeight="1" spans="1:16">
      <c r="A45" s="147">
        <v>41</v>
      </c>
      <c r="B45" s="148" t="s">
        <v>1117</v>
      </c>
      <c r="C45" s="148" t="s">
        <v>1117</v>
      </c>
      <c r="D45" s="72" t="s">
        <v>1822</v>
      </c>
      <c r="E45" s="72" t="s">
        <v>1951</v>
      </c>
      <c r="F45" s="150" t="s">
        <v>1217</v>
      </c>
      <c r="G45" s="71" t="s">
        <v>1230</v>
      </c>
      <c r="H45" s="72" t="s">
        <v>2155</v>
      </c>
      <c r="I45" s="166">
        <v>60</v>
      </c>
      <c r="J45" s="166"/>
      <c r="K45" s="166">
        <f t="shared" si="1"/>
        <v>60</v>
      </c>
      <c r="L45" s="166"/>
      <c r="M45" s="166">
        <v>60</v>
      </c>
      <c r="N45" s="72"/>
      <c r="O45" s="72" t="s">
        <v>2156</v>
      </c>
      <c r="P45" s="165"/>
    </row>
    <row r="46" s="130" customFormat="1" ht="40.5" spans="1:16">
      <c r="A46" s="147">
        <v>42</v>
      </c>
      <c r="B46" s="148" t="s">
        <v>1117</v>
      </c>
      <c r="C46" s="148" t="s">
        <v>1117</v>
      </c>
      <c r="D46" s="72" t="s">
        <v>1822</v>
      </c>
      <c r="E46" s="72" t="s">
        <v>1951</v>
      </c>
      <c r="F46" s="150" t="s">
        <v>1217</v>
      </c>
      <c r="G46" s="71" t="s">
        <v>1230</v>
      </c>
      <c r="H46" s="72" t="s">
        <v>2157</v>
      </c>
      <c r="I46" s="166">
        <v>5</v>
      </c>
      <c r="J46" s="166"/>
      <c r="K46" s="166">
        <f t="shared" si="1"/>
        <v>5</v>
      </c>
      <c r="L46" s="166"/>
      <c r="M46" s="166"/>
      <c r="N46" s="72"/>
      <c r="O46" s="72" t="s">
        <v>2158</v>
      </c>
      <c r="P46" s="165"/>
    </row>
    <row r="47" s="130" customFormat="1" ht="34" customHeight="1" spans="1:16">
      <c r="A47" s="147">
        <v>43</v>
      </c>
      <c r="B47" s="148" t="s">
        <v>1117</v>
      </c>
      <c r="C47" s="148" t="s">
        <v>1117</v>
      </c>
      <c r="D47" s="72" t="s">
        <v>1822</v>
      </c>
      <c r="E47" s="72" t="s">
        <v>1951</v>
      </c>
      <c r="F47" s="150" t="s">
        <v>1217</v>
      </c>
      <c r="G47" s="71" t="s">
        <v>1230</v>
      </c>
      <c r="H47" s="72" t="s">
        <v>2159</v>
      </c>
      <c r="I47" s="166">
        <v>22</v>
      </c>
      <c r="J47" s="166"/>
      <c r="K47" s="166">
        <f t="shared" si="1"/>
        <v>22</v>
      </c>
      <c r="L47" s="166"/>
      <c r="M47" s="166">
        <v>12</v>
      </c>
      <c r="N47" s="72"/>
      <c r="O47" s="72" t="s">
        <v>2160</v>
      </c>
      <c r="P47" s="165"/>
    </row>
    <row r="48" s="130" customFormat="1" ht="34" customHeight="1" spans="1:16">
      <c r="A48" s="147">
        <v>44</v>
      </c>
      <c r="B48" s="148" t="s">
        <v>1117</v>
      </c>
      <c r="C48" s="148" t="s">
        <v>1117</v>
      </c>
      <c r="D48" s="72" t="s">
        <v>1822</v>
      </c>
      <c r="E48" s="72" t="s">
        <v>1951</v>
      </c>
      <c r="F48" s="150" t="s">
        <v>1217</v>
      </c>
      <c r="G48" s="71" t="s">
        <v>1230</v>
      </c>
      <c r="H48" s="72" t="s">
        <v>2161</v>
      </c>
      <c r="I48" s="166">
        <v>26.9136</v>
      </c>
      <c r="J48" s="166"/>
      <c r="K48" s="166">
        <f t="shared" si="1"/>
        <v>26.9136</v>
      </c>
      <c r="L48" s="166"/>
      <c r="M48" s="166">
        <v>10</v>
      </c>
      <c r="N48" s="72"/>
      <c r="O48" s="72" t="s">
        <v>2162</v>
      </c>
      <c r="P48" s="165"/>
    </row>
    <row r="49" s="130" customFormat="1" ht="34" customHeight="1" spans="1:16">
      <c r="A49" s="147">
        <v>45</v>
      </c>
      <c r="B49" s="148" t="s">
        <v>1117</v>
      </c>
      <c r="C49" s="148" t="s">
        <v>1117</v>
      </c>
      <c r="D49" s="72" t="s">
        <v>1822</v>
      </c>
      <c r="E49" s="72" t="s">
        <v>1951</v>
      </c>
      <c r="F49" s="150" t="s">
        <v>1217</v>
      </c>
      <c r="G49" s="71" t="s">
        <v>1230</v>
      </c>
      <c r="H49" s="72" t="s">
        <v>2163</v>
      </c>
      <c r="I49" s="166">
        <v>30</v>
      </c>
      <c r="J49" s="166"/>
      <c r="K49" s="166">
        <f t="shared" si="1"/>
        <v>30</v>
      </c>
      <c r="L49" s="166"/>
      <c r="M49" s="166">
        <v>10</v>
      </c>
      <c r="N49" s="72"/>
      <c r="O49" s="72" t="s">
        <v>2164</v>
      </c>
      <c r="P49" s="165"/>
    </row>
    <row r="50" s="130" customFormat="1" ht="38" customHeight="1" spans="1:16">
      <c r="A50" s="147">
        <v>46</v>
      </c>
      <c r="B50" s="148" t="s">
        <v>1117</v>
      </c>
      <c r="C50" s="148" t="s">
        <v>1117</v>
      </c>
      <c r="D50" s="72" t="s">
        <v>1822</v>
      </c>
      <c r="E50" s="72" t="s">
        <v>1951</v>
      </c>
      <c r="F50" s="150" t="s">
        <v>1217</v>
      </c>
      <c r="G50" s="71" t="s">
        <v>1230</v>
      </c>
      <c r="H50" s="72" t="s">
        <v>2165</v>
      </c>
      <c r="I50" s="166">
        <v>30</v>
      </c>
      <c r="J50" s="166"/>
      <c r="K50" s="166">
        <f t="shared" si="1"/>
        <v>30</v>
      </c>
      <c r="L50" s="166"/>
      <c r="M50" s="166"/>
      <c r="N50" s="72"/>
      <c r="O50" s="72" t="s">
        <v>2166</v>
      </c>
      <c r="P50" s="165"/>
    </row>
    <row r="51" s="130" customFormat="1" ht="38" customHeight="1" spans="1:16">
      <c r="A51" s="147">
        <v>47</v>
      </c>
      <c r="B51" s="148" t="s">
        <v>1117</v>
      </c>
      <c r="C51" s="148" t="s">
        <v>1117</v>
      </c>
      <c r="D51" s="72" t="s">
        <v>1822</v>
      </c>
      <c r="E51" s="72" t="s">
        <v>1951</v>
      </c>
      <c r="F51" s="150" t="s">
        <v>1217</v>
      </c>
      <c r="G51" s="71" t="s">
        <v>1230</v>
      </c>
      <c r="H51" s="72" t="s">
        <v>1953</v>
      </c>
      <c r="I51" s="166">
        <v>500</v>
      </c>
      <c r="J51" s="166">
        <v>-500</v>
      </c>
      <c r="K51" s="166">
        <f t="shared" si="1"/>
        <v>0</v>
      </c>
      <c r="L51" s="166"/>
      <c r="M51" s="166"/>
      <c r="N51" s="72"/>
      <c r="O51" s="72" t="s">
        <v>2167</v>
      </c>
      <c r="P51" s="165">
        <v>500</v>
      </c>
    </row>
    <row r="52" s="130" customFormat="1" ht="38" customHeight="1" spans="1:16">
      <c r="A52" s="147">
        <v>48</v>
      </c>
      <c r="B52" s="148" t="s">
        <v>1117</v>
      </c>
      <c r="C52" s="148" t="s">
        <v>1117</v>
      </c>
      <c r="D52" s="72" t="s">
        <v>1822</v>
      </c>
      <c r="E52" s="72" t="s">
        <v>1951</v>
      </c>
      <c r="F52" s="150" t="s">
        <v>1217</v>
      </c>
      <c r="G52" s="71" t="s">
        <v>1230</v>
      </c>
      <c r="H52" s="72" t="s">
        <v>2168</v>
      </c>
      <c r="I52" s="166"/>
      <c r="J52" s="166">
        <v>1000</v>
      </c>
      <c r="K52" s="166">
        <f t="shared" si="1"/>
        <v>1000</v>
      </c>
      <c r="L52" s="166">
        <v>1000</v>
      </c>
      <c r="M52" s="166"/>
      <c r="N52" s="72" t="s">
        <v>2169</v>
      </c>
      <c r="O52" s="72"/>
      <c r="P52" s="165"/>
    </row>
    <row r="53" s="131" customFormat="1" ht="32" customHeight="1" spans="1:16">
      <c r="A53" s="147">
        <v>49</v>
      </c>
      <c r="B53" s="148" t="s">
        <v>880</v>
      </c>
      <c r="C53" s="148" t="s">
        <v>880</v>
      </c>
      <c r="D53" s="72" t="s">
        <v>1556</v>
      </c>
      <c r="E53" s="72" t="s">
        <v>1951</v>
      </c>
      <c r="F53" s="150" t="s">
        <v>1217</v>
      </c>
      <c r="G53" s="71" t="s">
        <v>1230</v>
      </c>
      <c r="H53" s="72" t="s">
        <v>1954</v>
      </c>
      <c r="I53" s="166">
        <v>1500</v>
      </c>
      <c r="J53" s="166">
        <v>-1500</v>
      </c>
      <c r="K53" s="166">
        <f t="shared" si="1"/>
        <v>0</v>
      </c>
      <c r="L53" s="166">
        <v>873.44</v>
      </c>
      <c r="M53" s="166">
        <v>626.56</v>
      </c>
      <c r="N53" s="72"/>
      <c r="O53" s="72" t="s">
        <v>2170</v>
      </c>
      <c r="P53" s="169">
        <v>1500</v>
      </c>
    </row>
    <row r="54" s="130" customFormat="1" ht="34" customHeight="1" spans="1:16">
      <c r="A54" s="147">
        <v>50</v>
      </c>
      <c r="B54" s="148" t="s">
        <v>880</v>
      </c>
      <c r="C54" s="148" t="s">
        <v>880</v>
      </c>
      <c r="D54" s="150" t="s">
        <v>1556</v>
      </c>
      <c r="E54" s="72" t="s">
        <v>1951</v>
      </c>
      <c r="F54" s="150" t="s">
        <v>1217</v>
      </c>
      <c r="G54" s="71" t="s">
        <v>1230</v>
      </c>
      <c r="H54" s="72" t="s">
        <v>1955</v>
      </c>
      <c r="I54" s="166">
        <v>435</v>
      </c>
      <c r="J54" s="166">
        <v>-435</v>
      </c>
      <c r="K54" s="166">
        <f t="shared" si="1"/>
        <v>0</v>
      </c>
      <c r="L54" s="166"/>
      <c r="M54" s="166">
        <v>435</v>
      </c>
      <c r="N54" s="72"/>
      <c r="O54" s="72" t="s">
        <v>2171</v>
      </c>
      <c r="P54" s="165">
        <v>435</v>
      </c>
    </row>
    <row r="55" s="130" customFormat="1" ht="40.5" spans="1:16">
      <c r="A55" s="147">
        <v>51</v>
      </c>
      <c r="B55" s="148" t="s">
        <v>880</v>
      </c>
      <c r="C55" s="148" t="s">
        <v>880</v>
      </c>
      <c r="D55" s="72" t="s">
        <v>1556</v>
      </c>
      <c r="E55" s="72" t="s">
        <v>1951</v>
      </c>
      <c r="F55" s="150" t="s">
        <v>1217</v>
      </c>
      <c r="G55" s="71" t="s">
        <v>1230</v>
      </c>
      <c r="H55" s="72" t="s">
        <v>1956</v>
      </c>
      <c r="I55" s="166">
        <v>300</v>
      </c>
      <c r="J55" s="166">
        <v>-300</v>
      </c>
      <c r="K55" s="166">
        <f t="shared" si="1"/>
        <v>0</v>
      </c>
      <c r="L55" s="166">
        <v>33.19</v>
      </c>
      <c r="M55" s="166">
        <v>266.81</v>
      </c>
      <c r="N55" s="72"/>
      <c r="O55" s="72" t="s">
        <v>2172</v>
      </c>
      <c r="P55" s="165">
        <v>300</v>
      </c>
    </row>
    <row r="56" s="130" customFormat="1" ht="36" customHeight="1" spans="1:17">
      <c r="A56" s="147">
        <v>52</v>
      </c>
      <c r="B56" s="148" t="s">
        <v>880</v>
      </c>
      <c r="C56" s="148" t="s">
        <v>880</v>
      </c>
      <c r="D56" s="72" t="s">
        <v>1683</v>
      </c>
      <c r="E56" s="72" t="s">
        <v>1951</v>
      </c>
      <c r="F56" s="150" t="s">
        <v>1217</v>
      </c>
      <c r="G56" s="71" t="s">
        <v>1230</v>
      </c>
      <c r="H56" s="72" t="s">
        <v>2173</v>
      </c>
      <c r="I56" s="166">
        <f>4028.4+0.35</f>
        <v>4028.75</v>
      </c>
      <c r="J56" s="166">
        <f>227.28</f>
        <v>227.28</v>
      </c>
      <c r="K56" s="166">
        <f t="shared" si="1"/>
        <v>4256.03</v>
      </c>
      <c r="L56" s="166">
        <v>2455.68</v>
      </c>
      <c r="M56" s="166">
        <v>1800</v>
      </c>
      <c r="N56" s="72"/>
      <c r="O56" s="72" t="s">
        <v>2174</v>
      </c>
      <c r="P56" s="165"/>
      <c r="Q56" s="130">
        <f>SUM(K6:K56)</f>
        <v>10555.0677</v>
      </c>
    </row>
    <row r="57" s="131" customFormat="1" ht="36" customHeight="1" spans="1:17">
      <c r="A57" s="147">
        <v>53</v>
      </c>
      <c r="B57" s="148" t="s">
        <v>1117</v>
      </c>
      <c r="C57" s="148" t="s">
        <v>1117</v>
      </c>
      <c r="D57" s="72" t="s">
        <v>1822</v>
      </c>
      <c r="E57" s="72" t="s">
        <v>2175</v>
      </c>
      <c r="F57" s="150"/>
      <c r="G57" s="71"/>
      <c r="H57" s="72" t="s">
        <v>2176</v>
      </c>
      <c r="I57" s="166"/>
      <c r="J57" s="166">
        <v>38.6</v>
      </c>
      <c r="K57" s="166">
        <f t="shared" si="1"/>
        <v>38.6</v>
      </c>
      <c r="L57" s="166"/>
      <c r="M57" s="166">
        <v>38.6</v>
      </c>
      <c r="N57" s="72" t="s">
        <v>2177</v>
      </c>
      <c r="O57" s="72"/>
      <c r="P57" s="169"/>
      <c r="Q57" s="131">
        <f>K57</f>
        <v>38.6</v>
      </c>
    </row>
    <row r="58" s="130" customFormat="1" ht="32" customHeight="1" spans="1:17">
      <c r="A58" s="147">
        <v>54</v>
      </c>
      <c r="B58" s="148" t="s">
        <v>880</v>
      </c>
      <c r="C58" s="148" t="s">
        <v>880</v>
      </c>
      <c r="D58" s="72" t="s">
        <v>1579</v>
      </c>
      <c r="E58" s="72" t="s">
        <v>1958</v>
      </c>
      <c r="F58" s="150" t="s">
        <v>2131</v>
      </c>
      <c r="G58" s="71" t="s">
        <v>838</v>
      </c>
      <c r="H58" s="72" t="s">
        <v>2178</v>
      </c>
      <c r="I58" s="166">
        <v>10</v>
      </c>
      <c r="J58" s="166"/>
      <c r="K58" s="166">
        <f t="shared" si="1"/>
        <v>10</v>
      </c>
      <c r="L58" s="166">
        <v>2.748</v>
      </c>
      <c r="M58" s="166">
        <v>7.25</v>
      </c>
      <c r="N58" s="72"/>
      <c r="O58" s="72" t="s">
        <v>2179</v>
      </c>
      <c r="P58" s="165"/>
      <c r="Q58" s="130">
        <f>SUM(K58:K63)</f>
        <v>196.36</v>
      </c>
    </row>
    <row r="59" s="130" customFormat="1" ht="41" customHeight="1" spans="1:16">
      <c r="A59" s="147">
        <v>55</v>
      </c>
      <c r="B59" s="148" t="s">
        <v>880</v>
      </c>
      <c r="C59" s="148" t="s">
        <v>880</v>
      </c>
      <c r="D59" s="72" t="s">
        <v>1579</v>
      </c>
      <c r="E59" s="72" t="s">
        <v>1958</v>
      </c>
      <c r="F59" s="150" t="s">
        <v>1217</v>
      </c>
      <c r="G59" s="71" t="s">
        <v>1230</v>
      </c>
      <c r="H59" s="72" t="s">
        <v>2180</v>
      </c>
      <c r="I59" s="166">
        <v>300</v>
      </c>
      <c r="J59" s="166">
        <v>-250</v>
      </c>
      <c r="K59" s="166">
        <f t="shared" si="1"/>
        <v>50</v>
      </c>
      <c r="L59" s="166"/>
      <c r="M59" s="166">
        <v>50</v>
      </c>
      <c r="N59" s="72"/>
      <c r="O59" s="72" t="s">
        <v>2181</v>
      </c>
      <c r="P59" s="165"/>
    </row>
    <row r="60" s="130" customFormat="1" ht="31" customHeight="1" spans="1:16">
      <c r="A60" s="147">
        <v>56</v>
      </c>
      <c r="B60" s="152" t="s">
        <v>880</v>
      </c>
      <c r="C60" s="152" t="s">
        <v>880</v>
      </c>
      <c r="D60" s="153" t="s">
        <v>1957</v>
      </c>
      <c r="E60" s="153" t="s">
        <v>1958</v>
      </c>
      <c r="F60" s="154" t="s">
        <v>2131</v>
      </c>
      <c r="G60" s="155" t="s">
        <v>838</v>
      </c>
      <c r="H60" s="153" t="s">
        <v>1959</v>
      </c>
      <c r="I60" s="174">
        <v>500</v>
      </c>
      <c r="J60" s="174">
        <f>-115.36-384.64</f>
        <v>-500</v>
      </c>
      <c r="K60" s="166">
        <f t="shared" si="1"/>
        <v>0</v>
      </c>
      <c r="L60" s="174">
        <v>195.648671</v>
      </c>
      <c r="M60" s="174">
        <v>188.99</v>
      </c>
      <c r="N60" s="153"/>
      <c r="O60" s="153" t="s">
        <v>2182</v>
      </c>
      <c r="P60" s="165">
        <v>384.64</v>
      </c>
    </row>
    <row r="61" s="132" customFormat="1" ht="36" customHeight="1" spans="1:16">
      <c r="A61" s="147">
        <v>57</v>
      </c>
      <c r="B61" s="152" t="s">
        <v>880</v>
      </c>
      <c r="C61" s="152" t="s">
        <v>880</v>
      </c>
      <c r="D61" s="153" t="s">
        <v>1960</v>
      </c>
      <c r="E61" s="153" t="s">
        <v>1961</v>
      </c>
      <c r="F61" s="154" t="s">
        <v>2131</v>
      </c>
      <c r="G61" s="155" t="s">
        <v>838</v>
      </c>
      <c r="H61" s="153" t="s">
        <v>1962</v>
      </c>
      <c r="I61" s="174">
        <v>1019</v>
      </c>
      <c r="J61" s="174">
        <v>-1019</v>
      </c>
      <c r="K61" s="166">
        <f t="shared" si="1"/>
        <v>0</v>
      </c>
      <c r="L61" s="174">
        <v>870.795082</v>
      </c>
      <c r="M61" s="174">
        <v>149</v>
      </c>
      <c r="N61" s="153"/>
      <c r="O61" s="153" t="s">
        <v>2183</v>
      </c>
      <c r="P61" s="165">
        <v>1019</v>
      </c>
    </row>
    <row r="62" s="132" customFormat="1" ht="27" customHeight="1" spans="1:16">
      <c r="A62" s="147">
        <v>58</v>
      </c>
      <c r="B62" s="152" t="s">
        <v>880</v>
      </c>
      <c r="C62" s="152" t="s">
        <v>880</v>
      </c>
      <c r="D62" s="153" t="s">
        <v>1960</v>
      </c>
      <c r="E62" s="153" t="s">
        <v>1961</v>
      </c>
      <c r="F62" s="154" t="s">
        <v>2131</v>
      </c>
      <c r="G62" s="155" t="s">
        <v>838</v>
      </c>
      <c r="H62" s="154" t="s">
        <v>2184</v>
      </c>
      <c r="I62" s="174"/>
      <c r="J62" s="174">
        <v>53.36</v>
      </c>
      <c r="K62" s="166">
        <f t="shared" si="1"/>
        <v>53.36</v>
      </c>
      <c r="L62" s="174">
        <v>17.86</v>
      </c>
      <c r="M62" s="174">
        <v>35.5</v>
      </c>
      <c r="N62" s="153" t="s">
        <v>2185</v>
      </c>
      <c r="O62" s="153"/>
      <c r="P62" s="2"/>
    </row>
    <row r="63" s="130" customFormat="1" ht="27" spans="1:16">
      <c r="A63" s="147">
        <v>59</v>
      </c>
      <c r="B63" s="148" t="s">
        <v>880</v>
      </c>
      <c r="C63" s="148" t="s">
        <v>880</v>
      </c>
      <c r="D63" s="72" t="s">
        <v>1542</v>
      </c>
      <c r="E63" s="72" t="s">
        <v>2186</v>
      </c>
      <c r="F63" s="150" t="s">
        <v>2131</v>
      </c>
      <c r="G63" s="71" t="s">
        <v>838</v>
      </c>
      <c r="H63" s="72" t="s">
        <v>2187</v>
      </c>
      <c r="I63" s="166">
        <v>125</v>
      </c>
      <c r="J63" s="166">
        <v>-42</v>
      </c>
      <c r="K63" s="166">
        <f t="shared" si="1"/>
        <v>83</v>
      </c>
      <c r="L63" s="166"/>
      <c r="M63" s="166">
        <v>83</v>
      </c>
      <c r="N63" s="72" t="s">
        <v>2188</v>
      </c>
      <c r="O63" s="72" t="s">
        <v>2189</v>
      </c>
      <c r="P63" s="165"/>
    </row>
    <row r="64" s="132" customFormat="1" ht="40.5" spans="1:17">
      <c r="A64" s="147">
        <v>60</v>
      </c>
      <c r="B64" s="148" t="s">
        <v>880</v>
      </c>
      <c r="C64" s="148" t="s">
        <v>880</v>
      </c>
      <c r="D64" s="72" t="s">
        <v>1532</v>
      </c>
      <c r="E64" s="72" t="s">
        <v>2190</v>
      </c>
      <c r="F64" s="150" t="s">
        <v>1217</v>
      </c>
      <c r="G64" s="71" t="s">
        <v>1230</v>
      </c>
      <c r="H64" s="72" t="s">
        <v>1533</v>
      </c>
      <c r="I64" s="166">
        <v>684</v>
      </c>
      <c r="J64" s="166">
        <v>-20</v>
      </c>
      <c r="K64" s="166">
        <f t="shared" si="1"/>
        <v>664</v>
      </c>
      <c r="L64" s="166">
        <v>457.44</v>
      </c>
      <c r="M64" s="166">
        <v>206.56</v>
      </c>
      <c r="N64" s="72" t="s">
        <v>2191</v>
      </c>
      <c r="O64" s="72" t="s">
        <v>2192</v>
      </c>
      <c r="P64" s="2"/>
      <c r="Q64" s="132">
        <f>K64</f>
        <v>664</v>
      </c>
    </row>
    <row r="65" s="133" customFormat="1" ht="24" customHeight="1" spans="1:16">
      <c r="A65" s="147">
        <v>61</v>
      </c>
      <c r="B65" s="148"/>
      <c r="C65" s="148"/>
      <c r="D65" s="77"/>
      <c r="E65" s="175" t="s">
        <v>1888</v>
      </c>
      <c r="F65" s="175"/>
      <c r="G65" s="71"/>
      <c r="H65" s="77"/>
      <c r="I65" s="162">
        <f t="shared" ref="I65:M65" si="2">SUM(I66:I105)</f>
        <v>442</v>
      </c>
      <c r="J65" s="162">
        <f t="shared" si="2"/>
        <v>66850</v>
      </c>
      <c r="K65" s="162">
        <f t="shared" si="2"/>
        <v>67292</v>
      </c>
      <c r="L65" s="163">
        <f t="shared" si="2"/>
        <v>46296.094</v>
      </c>
      <c r="M65" s="163">
        <f t="shared" si="2"/>
        <v>0</v>
      </c>
      <c r="N65" s="164"/>
      <c r="O65" s="77"/>
      <c r="P65" s="192"/>
    </row>
    <row r="66" s="130" customFormat="1" ht="27" spans="1:17">
      <c r="A66" s="147">
        <v>62</v>
      </c>
      <c r="B66" s="176" t="s">
        <v>730</v>
      </c>
      <c r="C66" s="176" t="s">
        <v>1713</v>
      </c>
      <c r="D66" s="177" t="s">
        <v>1377</v>
      </c>
      <c r="E66" s="72" t="s">
        <v>2193</v>
      </c>
      <c r="F66" s="150" t="s">
        <v>1217</v>
      </c>
      <c r="G66" s="71"/>
      <c r="H66" s="153" t="s">
        <v>2194</v>
      </c>
      <c r="I66" s="166">
        <v>15</v>
      </c>
      <c r="J66" s="166"/>
      <c r="K66" s="166">
        <f t="shared" ref="K66:K70" si="3">I66+J66</f>
        <v>15</v>
      </c>
      <c r="L66" s="166">
        <v>14.984</v>
      </c>
      <c r="M66" s="166"/>
      <c r="N66" s="72"/>
      <c r="O66" s="72"/>
      <c r="P66" s="165"/>
      <c r="Q66" s="130">
        <f>SUM(K66:K69)</f>
        <v>292</v>
      </c>
    </row>
    <row r="67" s="130" customFormat="1" ht="27" spans="1:16">
      <c r="A67" s="147">
        <v>63</v>
      </c>
      <c r="B67" s="178" t="s">
        <v>889</v>
      </c>
      <c r="C67" s="179" t="s">
        <v>889</v>
      </c>
      <c r="D67" s="178" t="s">
        <v>1279</v>
      </c>
      <c r="E67" s="72" t="s">
        <v>2195</v>
      </c>
      <c r="F67" s="150" t="s">
        <v>1217</v>
      </c>
      <c r="G67" s="71"/>
      <c r="H67" s="153" t="s">
        <v>2196</v>
      </c>
      <c r="I67" s="166">
        <v>27</v>
      </c>
      <c r="J67" s="166"/>
      <c r="K67" s="166">
        <f t="shared" si="3"/>
        <v>27</v>
      </c>
      <c r="L67" s="166">
        <v>0</v>
      </c>
      <c r="M67" s="166"/>
      <c r="N67" s="72"/>
      <c r="O67" s="72"/>
      <c r="P67" s="165"/>
    </row>
    <row r="68" s="130" customFormat="1" ht="30" customHeight="1" spans="1:16">
      <c r="A68" s="147">
        <v>64</v>
      </c>
      <c r="B68" s="148" t="s">
        <v>889</v>
      </c>
      <c r="C68" s="148" t="s">
        <v>889</v>
      </c>
      <c r="D68" s="72" t="s">
        <v>1345</v>
      </c>
      <c r="E68" s="72" t="s">
        <v>2195</v>
      </c>
      <c r="F68" s="150" t="s">
        <v>1217</v>
      </c>
      <c r="G68" s="71" t="s">
        <v>1230</v>
      </c>
      <c r="H68" s="72" t="s">
        <v>2197</v>
      </c>
      <c r="I68" s="166">
        <v>200</v>
      </c>
      <c r="J68" s="166">
        <v>-100</v>
      </c>
      <c r="K68" s="166">
        <f t="shared" si="3"/>
        <v>100</v>
      </c>
      <c r="L68" s="166">
        <v>9.97</v>
      </c>
      <c r="M68" s="166"/>
      <c r="N68" s="72"/>
      <c r="O68" s="72"/>
      <c r="P68" s="165"/>
    </row>
    <row r="69" s="130" customFormat="1" ht="34" customHeight="1" spans="1:16">
      <c r="A69" s="147">
        <v>65</v>
      </c>
      <c r="B69" s="148" t="s">
        <v>889</v>
      </c>
      <c r="C69" s="148" t="s">
        <v>1713</v>
      </c>
      <c r="D69" s="72" t="s">
        <v>1345</v>
      </c>
      <c r="E69" s="72" t="s">
        <v>2195</v>
      </c>
      <c r="F69" s="150" t="s">
        <v>1217</v>
      </c>
      <c r="G69" s="71"/>
      <c r="H69" s="153" t="s">
        <v>2198</v>
      </c>
      <c r="I69" s="166">
        <v>200</v>
      </c>
      <c r="J69" s="166">
        <v>-50</v>
      </c>
      <c r="K69" s="166">
        <f t="shared" si="3"/>
        <v>150</v>
      </c>
      <c r="L69" s="166">
        <v>71.14</v>
      </c>
      <c r="M69" s="166"/>
      <c r="N69" s="72"/>
      <c r="O69" s="72" t="s">
        <v>2199</v>
      </c>
      <c r="P69" s="165"/>
    </row>
    <row r="70" s="130" customFormat="1" ht="34" customHeight="1" spans="1:16">
      <c r="A70" s="147">
        <v>66</v>
      </c>
      <c r="B70" s="148" t="s">
        <v>1713</v>
      </c>
      <c r="C70" s="148" t="s">
        <v>1713</v>
      </c>
      <c r="D70" s="72" t="s">
        <v>1782</v>
      </c>
      <c r="E70" s="72" t="s">
        <v>1963</v>
      </c>
      <c r="F70" s="150" t="s">
        <v>1217</v>
      </c>
      <c r="G70" s="71" t="s">
        <v>1218</v>
      </c>
      <c r="H70" s="153" t="s">
        <v>1964</v>
      </c>
      <c r="I70" s="166"/>
      <c r="J70" s="166"/>
      <c r="K70" s="166">
        <f t="shared" si="3"/>
        <v>0</v>
      </c>
      <c r="L70" s="166">
        <v>800</v>
      </c>
      <c r="M70" s="166"/>
      <c r="N70" s="72" t="s">
        <v>2200</v>
      </c>
      <c r="O70" s="72"/>
      <c r="P70" s="165">
        <v>800</v>
      </c>
    </row>
    <row r="71" s="130" customFormat="1" ht="40.5" spans="1:16">
      <c r="A71" s="147">
        <v>67</v>
      </c>
      <c r="B71" s="148" t="s">
        <v>1161</v>
      </c>
      <c r="C71" s="72" t="s">
        <v>1288</v>
      </c>
      <c r="D71" s="72" t="s">
        <v>1395</v>
      </c>
      <c r="E71" s="150" t="s">
        <v>2201</v>
      </c>
      <c r="F71" s="150"/>
      <c r="G71" s="71"/>
      <c r="H71" s="72" t="s">
        <v>2202</v>
      </c>
      <c r="I71" s="166"/>
      <c r="J71" s="166">
        <v>15000</v>
      </c>
      <c r="K71" s="166">
        <f t="shared" ref="K71:K77" si="4">I71+J71</f>
        <v>15000</v>
      </c>
      <c r="L71" s="166">
        <v>15000</v>
      </c>
      <c r="M71" s="166"/>
      <c r="N71" s="72" t="s">
        <v>2203</v>
      </c>
      <c r="O71" s="72"/>
      <c r="P71" s="165"/>
    </row>
    <row r="72" s="130" customFormat="1" ht="34" customHeight="1" spans="1:16">
      <c r="A72" s="147">
        <v>68</v>
      </c>
      <c r="B72" s="148" t="s">
        <v>1161</v>
      </c>
      <c r="C72" s="72" t="s">
        <v>1288</v>
      </c>
      <c r="D72" s="72" t="s">
        <v>2204</v>
      </c>
      <c r="E72" s="150" t="s">
        <v>2201</v>
      </c>
      <c r="F72" s="150"/>
      <c r="G72" s="71"/>
      <c r="H72" s="72" t="s">
        <v>2205</v>
      </c>
      <c r="I72" s="166"/>
      <c r="J72" s="166">
        <v>5000</v>
      </c>
      <c r="K72" s="166">
        <f t="shared" si="4"/>
        <v>5000</v>
      </c>
      <c r="L72" s="166">
        <v>5000</v>
      </c>
      <c r="M72" s="166"/>
      <c r="N72" s="72" t="s">
        <v>2206</v>
      </c>
      <c r="O72" s="72"/>
      <c r="P72" s="165"/>
    </row>
    <row r="73" s="130" customFormat="1" ht="34" customHeight="1" spans="1:16">
      <c r="A73" s="147">
        <v>69</v>
      </c>
      <c r="B73" s="148" t="s">
        <v>1161</v>
      </c>
      <c r="C73" s="72" t="s">
        <v>1288</v>
      </c>
      <c r="D73" s="72" t="s">
        <v>2204</v>
      </c>
      <c r="E73" s="150" t="s">
        <v>2201</v>
      </c>
      <c r="F73" s="150"/>
      <c r="G73" s="71"/>
      <c r="H73" s="72" t="s">
        <v>2207</v>
      </c>
      <c r="I73" s="166"/>
      <c r="J73" s="166">
        <v>1000</v>
      </c>
      <c r="K73" s="166">
        <f t="shared" si="4"/>
        <v>1000</v>
      </c>
      <c r="L73" s="166">
        <v>1000</v>
      </c>
      <c r="M73" s="166"/>
      <c r="N73" s="72" t="s">
        <v>2208</v>
      </c>
      <c r="O73" s="72"/>
      <c r="P73" s="165"/>
    </row>
    <row r="74" s="130" customFormat="1" ht="34" customHeight="1" spans="1:16">
      <c r="A74" s="147">
        <v>70</v>
      </c>
      <c r="B74" s="148" t="s">
        <v>1161</v>
      </c>
      <c r="C74" s="72" t="s">
        <v>1288</v>
      </c>
      <c r="D74" s="72" t="s">
        <v>2209</v>
      </c>
      <c r="E74" s="150" t="s">
        <v>2201</v>
      </c>
      <c r="F74" s="150"/>
      <c r="G74" s="71"/>
      <c r="H74" s="72" t="s">
        <v>2210</v>
      </c>
      <c r="I74" s="166"/>
      <c r="J74" s="166">
        <v>6600</v>
      </c>
      <c r="K74" s="166">
        <f t="shared" si="4"/>
        <v>6600</v>
      </c>
      <c r="L74" s="166">
        <v>6600</v>
      </c>
      <c r="M74" s="166"/>
      <c r="N74" s="72" t="s">
        <v>2211</v>
      </c>
      <c r="O74" s="72"/>
      <c r="P74" s="165"/>
    </row>
    <row r="75" s="130" customFormat="1" ht="34" customHeight="1" spans="1:16">
      <c r="A75" s="147">
        <v>71</v>
      </c>
      <c r="B75" s="148" t="s">
        <v>1161</v>
      </c>
      <c r="C75" s="72" t="s">
        <v>1288</v>
      </c>
      <c r="D75" s="72" t="s">
        <v>2209</v>
      </c>
      <c r="E75" s="150" t="s">
        <v>2201</v>
      </c>
      <c r="F75" s="150"/>
      <c r="G75" s="71"/>
      <c r="H75" s="72" t="s">
        <v>2212</v>
      </c>
      <c r="I75" s="166"/>
      <c r="J75" s="166">
        <v>8800</v>
      </c>
      <c r="K75" s="166">
        <f t="shared" si="4"/>
        <v>8800</v>
      </c>
      <c r="L75" s="166">
        <v>8800</v>
      </c>
      <c r="M75" s="166"/>
      <c r="N75" s="72" t="s">
        <v>2213</v>
      </c>
      <c r="O75" s="72"/>
      <c r="P75" s="165"/>
    </row>
    <row r="76" s="130" customFormat="1" ht="34" customHeight="1" spans="1:16">
      <c r="A76" s="147">
        <v>72</v>
      </c>
      <c r="B76" s="148" t="s">
        <v>1161</v>
      </c>
      <c r="C76" s="72" t="s">
        <v>1288</v>
      </c>
      <c r="D76" s="72" t="s">
        <v>1274</v>
      </c>
      <c r="E76" s="150" t="s">
        <v>2201</v>
      </c>
      <c r="F76" s="150"/>
      <c r="G76" s="71"/>
      <c r="H76" s="72" t="s">
        <v>2214</v>
      </c>
      <c r="I76" s="166"/>
      <c r="J76" s="166">
        <v>5000</v>
      </c>
      <c r="K76" s="166">
        <f t="shared" si="4"/>
        <v>5000</v>
      </c>
      <c r="L76" s="166">
        <v>5000</v>
      </c>
      <c r="M76" s="166"/>
      <c r="N76" s="72" t="s">
        <v>2213</v>
      </c>
      <c r="O76" s="72"/>
      <c r="P76" s="165"/>
    </row>
    <row r="77" s="130" customFormat="1" ht="34" customHeight="1" spans="1:16">
      <c r="A77" s="147">
        <v>73</v>
      </c>
      <c r="B77" s="148" t="s">
        <v>1161</v>
      </c>
      <c r="C77" s="72" t="s">
        <v>1288</v>
      </c>
      <c r="D77" s="72" t="s">
        <v>2215</v>
      </c>
      <c r="E77" s="150" t="s">
        <v>2201</v>
      </c>
      <c r="F77" s="150"/>
      <c r="G77" s="71"/>
      <c r="H77" s="72" t="s">
        <v>2216</v>
      </c>
      <c r="I77" s="166"/>
      <c r="J77" s="166">
        <v>4000</v>
      </c>
      <c r="K77" s="166">
        <f t="shared" si="4"/>
        <v>4000</v>
      </c>
      <c r="L77" s="166">
        <v>4000</v>
      </c>
      <c r="M77" s="166"/>
      <c r="N77" s="72" t="s">
        <v>2217</v>
      </c>
      <c r="O77" s="72"/>
      <c r="P77" s="165"/>
    </row>
    <row r="78" s="130" customFormat="1" ht="34" customHeight="1" spans="1:16">
      <c r="A78" s="147">
        <v>74</v>
      </c>
      <c r="B78" s="148" t="s">
        <v>1161</v>
      </c>
      <c r="C78" s="72" t="s">
        <v>1288</v>
      </c>
      <c r="D78" s="72" t="s">
        <v>1274</v>
      </c>
      <c r="E78" s="150" t="s">
        <v>2201</v>
      </c>
      <c r="F78" s="150"/>
      <c r="G78" s="71"/>
      <c r="H78" s="72" t="s">
        <v>2218</v>
      </c>
      <c r="I78" s="166"/>
      <c r="J78" s="166">
        <v>700</v>
      </c>
      <c r="K78" s="166">
        <f t="shared" ref="K78:K105" si="5">I78+J78</f>
        <v>700</v>
      </c>
      <c r="L78" s="166"/>
      <c r="M78" s="166"/>
      <c r="N78" s="72" t="s">
        <v>2219</v>
      </c>
      <c r="O78" s="72"/>
      <c r="P78" s="165"/>
    </row>
    <row r="79" s="130" customFormat="1" ht="34" customHeight="1" spans="1:16">
      <c r="A79" s="147">
        <v>75</v>
      </c>
      <c r="B79" s="148" t="s">
        <v>1161</v>
      </c>
      <c r="C79" s="72" t="s">
        <v>1288</v>
      </c>
      <c r="D79" s="72" t="s">
        <v>1274</v>
      </c>
      <c r="E79" s="150" t="s">
        <v>2201</v>
      </c>
      <c r="F79" s="150"/>
      <c r="G79" s="71"/>
      <c r="H79" s="72" t="s">
        <v>2220</v>
      </c>
      <c r="I79" s="166"/>
      <c r="J79" s="166">
        <v>400</v>
      </c>
      <c r="K79" s="166">
        <f t="shared" si="5"/>
        <v>400</v>
      </c>
      <c r="L79" s="166"/>
      <c r="M79" s="166"/>
      <c r="N79" s="72" t="s">
        <v>2219</v>
      </c>
      <c r="O79" s="72"/>
      <c r="P79" s="165"/>
    </row>
    <row r="80" s="130" customFormat="1" ht="34" customHeight="1" spans="1:16">
      <c r="A80" s="147">
        <v>76</v>
      </c>
      <c r="B80" s="148" t="s">
        <v>1161</v>
      </c>
      <c r="C80" s="72" t="s">
        <v>1288</v>
      </c>
      <c r="D80" s="72" t="s">
        <v>1274</v>
      </c>
      <c r="E80" s="150" t="s">
        <v>2201</v>
      </c>
      <c r="F80" s="150"/>
      <c r="G80" s="71"/>
      <c r="H80" s="72" t="s">
        <v>2221</v>
      </c>
      <c r="I80" s="166"/>
      <c r="J80" s="166">
        <v>424</v>
      </c>
      <c r="K80" s="166">
        <f t="shared" si="5"/>
        <v>424</v>
      </c>
      <c r="L80" s="166"/>
      <c r="M80" s="166"/>
      <c r="N80" s="72" t="s">
        <v>2219</v>
      </c>
      <c r="O80" s="72"/>
      <c r="P80" s="165"/>
    </row>
    <row r="81" s="130" customFormat="1" ht="34" customHeight="1" spans="1:16">
      <c r="A81" s="147">
        <v>77</v>
      </c>
      <c r="B81" s="148" t="s">
        <v>1161</v>
      </c>
      <c r="C81" s="72" t="s">
        <v>1288</v>
      </c>
      <c r="D81" s="72" t="s">
        <v>1274</v>
      </c>
      <c r="E81" s="150" t="s">
        <v>2201</v>
      </c>
      <c r="F81" s="150"/>
      <c r="G81" s="71"/>
      <c r="H81" s="72" t="s">
        <v>2222</v>
      </c>
      <c r="I81" s="166"/>
      <c r="J81" s="166">
        <v>399</v>
      </c>
      <c r="K81" s="166">
        <f t="shared" si="5"/>
        <v>399</v>
      </c>
      <c r="L81" s="166"/>
      <c r="M81" s="166"/>
      <c r="N81" s="72" t="s">
        <v>2219</v>
      </c>
      <c r="O81" s="72"/>
      <c r="P81" s="165"/>
    </row>
    <row r="82" s="130" customFormat="1" ht="34" customHeight="1" spans="1:16">
      <c r="A82" s="147">
        <v>78</v>
      </c>
      <c r="B82" s="148" t="s">
        <v>1161</v>
      </c>
      <c r="C82" s="72" t="s">
        <v>1288</v>
      </c>
      <c r="D82" s="72" t="s">
        <v>1274</v>
      </c>
      <c r="E82" s="150" t="s">
        <v>2201</v>
      </c>
      <c r="F82" s="150"/>
      <c r="G82" s="71"/>
      <c r="H82" s="72" t="s">
        <v>2223</v>
      </c>
      <c r="I82" s="166"/>
      <c r="J82" s="166">
        <v>300</v>
      </c>
      <c r="K82" s="166">
        <f t="shared" si="5"/>
        <v>300</v>
      </c>
      <c r="L82" s="166"/>
      <c r="M82" s="166"/>
      <c r="N82" s="72" t="s">
        <v>2219</v>
      </c>
      <c r="O82" s="72"/>
      <c r="P82" s="165"/>
    </row>
    <row r="83" s="130" customFormat="1" ht="34" customHeight="1" spans="1:16">
      <c r="A83" s="147">
        <v>79</v>
      </c>
      <c r="B83" s="148" t="s">
        <v>1161</v>
      </c>
      <c r="C83" s="72" t="s">
        <v>1288</v>
      </c>
      <c r="D83" s="72" t="s">
        <v>1274</v>
      </c>
      <c r="E83" s="150" t="s">
        <v>2201</v>
      </c>
      <c r="F83" s="150"/>
      <c r="G83" s="71"/>
      <c r="H83" s="72" t="s">
        <v>2224</v>
      </c>
      <c r="I83" s="166"/>
      <c r="J83" s="166">
        <v>1904</v>
      </c>
      <c r="K83" s="166">
        <f t="shared" si="5"/>
        <v>1904</v>
      </c>
      <c r="L83" s="166"/>
      <c r="M83" s="166"/>
      <c r="N83" s="72" t="s">
        <v>2219</v>
      </c>
      <c r="O83" s="72"/>
      <c r="P83" s="165"/>
    </row>
    <row r="84" s="130" customFormat="1" ht="34" customHeight="1" spans="1:16">
      <c r="A84" s="147">
        <v>80</v>
      </c>
      <c r="B84" s="148" t="s">
        <v>1161</v>
      </c>
      <c r="C84" s="72" t="s">
        <v>1288</v>
      </c>
      <c r="D84" s="72" t="s">
        <v>1274</v>
      </c>
      <c r="E84" s="150" t="s">
        <v>2201</v>
      </c>
      <c r="F84" s="150"/>
      <c r="G84" s="71"/>
      <c r="H84" s="72" t="s">
        <v>2225</v>
      </c>
      <c r="I84" s="166"/>
      <c r="J84" s="166">
        <v>560</v>
      </c>
      <c r="K84" s="166">
        <f t="shared" si="5"/>
        <v>560</v>
      </c>
      <c r="L84" s="166"/>
      <c r="M84" s="166"/>
      <c r="N84" s="72" t="s">
        <v>2219</v>
      </c>
      <c r="O84" s="72"/>
      <c r="P84" s="165"/>
    </row>
    <row r="85" s="130" customFormat="1" ht="34" customHeight="1" spans="1:16">
      <c r="A85" s="147">
        <v>81</v>
      </c>
      <c r="B85" s="148" t="s">
        <v>1161</v>
      </c>
      <c r="C85" s="72" t="s">
        <v>1288</v>
      </c>
      <c r="D85" s="72" t="s">
        <v>1274</v>
      </c>
      <c r="E85" s="150" t="s">
        <v>2201</v>
      </c>
      <c r="F85" s="150"/>
      <c r="G85" s="71"/>
      <c r="H85" s="72" t="s">
        <v>2226</v>
      </c>
      <c r="I85" s="166"/>
      <c r="J85" s="166">
        <v>1175</v>
      </c>
      <c r="K85" s="166">
        <f t="shared" si="5"/>
        <v>1175</v>
      </c>
      <c r="L85" s="166"/>
      <c r="M85" s="166"/>
      <c r="N85" s="72" t="s">
        <v>2219</v>
      </c>
      <c r="O85" s="72"/>
      <c r="P85" s="165"/>
    </row>
    <row r="86" s="130" customFormat="1" ht="34" customHeight="1" spans="1:16">
      <c r="A86" s="147">
        <v>82</v>
      </c>
      <c r="B86" s="148" t="s">
        <v>1161</v>
      </c>
      <c r="C86" s="72" t="s">
        <v>1288</v>
      </c>
      <c r="D86" s="72" t="s">
        <v>1274</v>
      </c>
      <c r="E86" s="150" t="s">
        <v>2201</v>
      </c>
      <c r="F86" s="150"/>
      <c r="G86" s="71"/>
      <c r="H86" s="72" t="s">
        <v>2227</v>
      </c>
      <c r="I86" s="166"/>
      <c r="J86" s="166">
        <v>823</v>
      </c>
      <c r="K86" s="166">
        <f t="shared" si="5"/>
        <v>823</v>
      </c>
      <c r="L86" s="166"/>
      <c r="M86" s="166"/>
      <c r="N86" s="72" t="s">
        <v>2219</v>
      </c>
      <c r="O86" s="72"/>
      <c r="P86" s="165"/>
    </row>
    <row r="87" s="130" customFormat="1" ht="34" customHeight="1" spans="1:16">
      <c r="A87" s="147">
        <v>83</v>
      </c>
      <c r="B87" s="148" t="s">
        <v>1161</v>
      </c>
      <c r="C87" s="72" t="s">
        <v>1288</v>
      </c>
      <c r="D87" s="72" t="s">
        <v>1757</v>
      </c>
      <c r="E87" s="150" t="s">
        <v>2201</v>
      </c>
      <c r="F87" s="150"/>
      <c r="G87" s="71"/>
      <c r="H87" s="72" t="s">
        <v>2228</v>
      </c>
      <c r="I87" s="166"/>
      <c r="J87" s="166">
        <v>233</v>
      </c>
      <c r="K87" s="166">
        <f t="shared" si="5"/>
        <v>233</v>
      </c>
      <c r="L87" s="166"/>
      <c r="M87" s="166"/>
      <c r="N87" s="72" t="s">
        <v>2219</v>
      </c>
      <c r="O87" s="72"/>
      <c r="P87" s="165"/>
    </row>
    <row r="88" s="130" customFormat="1" ht="33" customHeight="1" spans="1:16">
      <c r="A88" s="147">
        <v>84</v>
      </c>
      <c r="B88" s="148" t="s">
        <v>880</v>
      </c>
      <c r="C88" s="72" t="s">
        <v>1288</v>
      </c>
      <c r="D88" s="72" t="s">
        <v>1683</v>
      </c>
      <c r="E88" s="150" t="s">
        <v>2201</v>
      </c>
      <c r="F88" s="150"/>
      <c r="G88" s="71"/>
      <c r="H88" s="72" t="s">
        <v>2229</v>
      </c>
      <c r="I88" s="166"/>
      <c r="J88" s="166">
        <v>500</v>
      </c>
      <c r="K88" s="166">
        <f t="shared" si="5"/>
        <v>500</v>
      </c>
      <c r="L88" s="166"/>
      <c r="M88" s="166"/>
      <c r="N88" s="72" t="s">
        <v>2219</v>
      </c>
      <c r="O88" s="72"/>
      <c r="P88" s="165"/>
    </row>
    <row r="89" s="130" customFormat="1" ht="34" customHeight="1" spans="1:16">
      <c r="A89" s="147">
        <v>85</v>
      </c>
      <c r="B89" s="148" t="s">
        <v>730</v>
      </c>
      <c r="C89" s="72" t="s">
        <v>1288</v>
      </c>
      <c r="D89" s="72" t="s">
        <v>1377</v>
      </c>
      <c r="E89" s="150" t="s">
        <v>2201</v>
      </c>
      <c r="F89" s="150"/>
      <c r="G89" s="71"/>
      <c r="H89" s="72" t="s">
        <v>2230</v>
      </c>
      <c r="I89" s="166"/>
      <c r="J89" s="166">
        <v>237</v>
      </c>
      <c r="K89" s="166">
        <f t="shared" si="5"/>
        <v>237</v>
      </c>
      <c r="L89" s="166"/>
      <c r="M89" s="166"/>
      <c r="N89" s="72" t="s">
        <v>2219</v>
      </c>
      <c r="O89" s="72"/>
      <c r="P89" s="165"/>
    </row>
    <row r="90" s="130" customFormat="1" ht="34" customHeight="1" spans="1:16">
      <c r="A90" s="147">
        <v>86</v>
      </c>
      <c r="B90" s="148" t="s">
        <v>889</v>
      </c>
      <c r="C90" s="72" t="s">
        <v>1288</v>
      </c>
      <c r="D90" s="72" t="s">
        <v>1345</v>
      </c>
      <c r="E90" s="150" t="s">
        <v>2201</v>
      </c>
      <c r="F90" s="150"/>
      <c r="G90" s="71"/>
      <c r="H90" s="72" t="s">
        <v>2231</v>
      </c>
      <c r="I90" s="166"/>
      <c r="J90" s="166">
        <v>217</v>
      </c>
      <c r="K90" s="166">
        <f t="shared" si="5"/>
        <v>217</v>
      </c>
      <c r="L90" s="166"/>
      <c r="M90" s="166"/>
      <c r="N90" s="72" t="s">
        <v>2219</v>
      </c>
      <c r="O90" s="72"/>
      <c r="P90" s="165"/>
    </row>
    <row r="91" s="130" customFormat="1" ht="34" customHeight="1" spans="1:16">
      <c r="A91" s="147">
        <v>87</v>
      </c>
      <c r="B91" s="148" t="s">
        <v>880</v>
      </c>
      <c r="C91" s="72" t="s">
        <v>1288</v>
      </c>
      <c r="D91" s="72" t="s">
        <v>1542</v>
      </c>
      <c r="E91" s="150" t="s">
        <v>2201</v>
      </c>
      <c r="F91" s="150"/>
      <c r="G91" s="71"/>
      <c r="H91" s="72" t="s">
        <v>2232</v>
      </c>
      <c r="I91" s="166"/>
      <c r="J91" s="166">
        <v>753</v>
      </c>
      <c r="K91" s="166">
        <f t="shared" si="5"/>
        <v>753</v>
      </c>
      <c r="L91" s="166"/>
      <c r="M91" s="166"/>
      <c r="N91" s="72" t="s">
        <v>2219</v>
      </c>
      <c r="O91" s="72"/>
      <c r="P91" s="165"/>
    </row>
    <row r="92" s="130" customFormat="1" ht="34" customHeight="1" spans="1:16">
      <c r="A92" s="147">
        <v>88</v>
      </c>
      <c r="B92" s="148" t="s">
        <v>880</v>
      </c>
      <c r="C92" s="72" t="s">
        <v>1288</v>
      </c>
      <c r="D92" s="72" t="s">
        <v>1532</v>
      </c>
      <c r="E92" s="150" t="s">
        <v>2201</v>
      </c>
      <c r="F92" s="150"/>
      <c r="G92" s="71"/>
      <c r="H92" s="72" t="s">
        <v>2233</v>
      </c>
      <c r="I92" s="166"/>
      <c r="J92" s="166">
        <v>979</v>
      </c>
      <c r="K92" s="166">
        <f t="shared" si="5"/>
        <v>979</v>
      </c>
      <c r="L92" s="166"/>
      <c r="M92" s="166"/>
      <c r="N92" s="72" t="s">
        <v>2219</v>
      </c>
      <c r="O92" s="72"/>
      <c r="P92" s="165"/>
    </row>
    <row r="93" s="130" customFormat="1" ht="34" customHeight="1" spans="1:16">
      <c r="A93" s="147">
        <v>89</v>
      </c>
      <c r="B93" s="148" t="s">
        <v>1161</v>
      </c>
      <c r="C93" s="72" t="s">
        <v>1288</v>
      </c>
      <c r="D93" s="72" t="s">
        <v>1349</v>
      </c>
      <c r="E93" s="150" t="s">
        <v>2201</v>
      </c>
      <c r="F93" s="150"/>
      <c r="G93" s="71"/>
      <c r="H93" s="72" t="s">
        <v>2234</v>
      </c>
      <c r="I93" s="166"/>
      <c r="J93" s="166">
        <v>1135</v>
      </c>
      <c r="K93" s="166">
        <f t="shared" si="5"/>
        <v>1135</v>
      </c>
      <c r="L93" s="166"/>
      <c r="M93" s="166"/>
      <c r="N93" s="72" t="s">
        <v>2219</v>
      </c>
      <c r="O93" s="72"/>
      <c r="P93" s="165"/>
    </row>
    <row r="94" s="130" customFormat="1" ht="34" customHeight="1" spans="1:16">
      <c r="A94" s="147">
        <v>90</v>
      </c>
      <c r="B94" s="148" t="s">
        <v>1161</v>
      </c>
      <c r="C94" s="72" t="s">
        <v>1288</v>
      </c>
      <c r="D94" s="72" t="s">
        <v>2209</v>
      </c>
      <c r="E94" s="150" t="s">
        <v>2201</v>
      </c>
      <c r="F94" s="150"/>
      <c r="G94" s="71"/>
      <c r="H94" s="72" t="s">
        <v>2235</v>
      </c>
      <c r="I94" s="166"/>
      <c r="J94" s="166">
        <v>3640</v>
      </c>
      <c r="K94" s="166">
        <f t="shared" si="5"/>
        <v>3640</v>
      </c>
      <c r="L94" s="166"/>
      <c r="M94" s="166"/>
      <c r="N94" s="72" t="s">
        <v>2219</v>
      </c>
      <c r="O94" s="72"/>
      <c r="P94" s="165"/>
    </row>
    <row r="95" s="130" customFormat="1" ht="34" customHeight="1" spans="1:16">
      <c r="A95" s="147">
        <v>91</v>
      </c>
      <c r="B95" s="148" t="s">
        <v>1161</v>
      </c>
      <c r="C95" s="72" t="s">
        <v>1288</v>
      </c>
      <c r="D95" s="72" t="s">
        <v>1782</v>
      </c>
      <c r="E95" s="150" t="s">
        <v>2201</v>
      </c>
      <c r="F95" s="150"/>
      <c r="G95" s="71"/>
      <c r="H95" s="72" t="s">
        <v>2236</v>
      </c>
      <c r="I95" s="166"/>
      <c r="J95" s="166">
        <v>2000</v>
      </c>
      <c r="K95" s="166">
        <f t="shared" si="5"/>
        <v>2000</v>
      </c>
      <c r="L95" s="166"/>
      <c r="M95" s="166"/>
      <c r="N95" s="72" t="s">
        <v>2219</v>
      </c>
      <c r="O95" s="72"/>
      <c r="P95" s="165"/>
    </row>
    <row r="96" s="130" customFormat="1" ht="34" customHeight="1" spans="1:16">
      <c r="A96" s="147">
        <v>92</v>
      </c>
      <c r="B96" s="148" t="s">
        <v>1161</v>
      </c>
      <c r="C96" s="72" t="s">
        <v>1288</v>
      </c>
      <c r="D96" s="72" t="s">
        <v>2209</v>
      </c>
      <c r="E96" s="150" t="s">
        <v>2201</v>
      </c>
      <c r="F96" s="150"/>
      <c r="G96" s="71"/>
      <c r="H96" s="72" t="s">
        <v>2237</v>
      </c>
      <c r="I96" s="166"/>
      <c r="J96" s="166">
        <v>400</v>
      </c>
      <c r="K96" s="166">
        <f t="shared" si="5"/>
        <v>400</v>
      </c>
      <c r="L96" s="166"/>
      <c r="M96" s="166"/>
      <c r="N96" s="72" t="s">
        <v>2219</v>
      </c>
      <c r="O96" s="72"/>
      <c r="P96" s="165"/>
    </row>
    <row r="97" s="130" customFormat="1" ht="34" customHeight="1" spans="1:16">
      <c r="A97" s="147">
        <v>93</v>
      </c>
      <c r="B97" s="148" t="s">
        <v>1161</v>
      </c>
      <c r="C97" s="72" t="s">
        <v>1288</v>
      </c>
      <c r="D97" s="72" t="s">
        <v>2209</v>
      </c>
      <c r="E97" s="150" t="s">
        <v>2201</v>
      </c>
      <c r="F97" s="150"/>
      <c r="G97" s="71"/>
      <c r="H97" s="72" t="s">
        <v>2238</v>
      </c>
      <c r="I97" s="166"/>
      <c r="J97" s="166">
        <v>300</v>
      </c>
      <c r="K97" s="166">
        <f t="shared" si="5"/>
        <v>300</v>
      </c>
      <c r="L97" s="166"/>
      <c r="M97" s="166"/>
      <c r="N97" s="72" t="s">
        <v>2219</v>
      </c>
      <c r="O97" s="72"/>
      <c r="P97" s="165"/>
    </row>
    <row r="98" s="130" customFormat="1" ht="34" customHeight="1" spans="1:16">
      <c r="A98" s="147">
        <v>94</v>
      </c>
      <c r="B98" s="148" t="s">
        <v>1161</v>
      </c>
      <c r="C98" s="72" t="s">
        <v>1288</v>
      </c>
      <c r="D98" s="72" t="s">
        <v>2204</v>
      </c>
      <c r="E98" s="150" t="s">
        <v>2201</v>
      </c>
      <c r="F98" s="150"/>
      <c r="G98" s="71"/>
      <c r="H98" s="72" t="s">
        <v>2239</v>
      </c>
      <c r="I98" s="166"/>
      <c r="J98" s="166">
        <v>221</v>
      </c>
      <c r="K98" s="166">
        <f t="shared" si="5"/>
        <v>221</v>
      </c>
      <c r="L98" s="166"/>
      <c r="M98" s="166"/>
      <c r="N98" s="72" t="s">
        <v>2219</v>
      </c>
      <c r="O98" s="72"/>
      <c r="P98" s="165"/>
    </row>
    <row r="99" s="130" customFormat="1" ht="34" customHeight="1" spans="1:16">
      <c r="A99" s="147">
        <v>95</v>
      </c>
      <c r="B99" s="148" t="s">
        <v>1161</v>
      </c>
      <c r="C99" s="72" t="s">
        <v>1288</v>
      </c>
      <c r="D99" s="72" t="s">
        <v>1349</v>
      </c>
      <c r="E99" s="150" t="s">
        <v>2201</v>
      </c>
      <c r="F99" s="150"/>
      <c r="G99" s="71"/>
      <c r="H99" s="72" t="s">
        <v>2240</v>
      </c>
      <c r="I99" s="166"/>
      <c r="J99" s="166">
        <v>300</v>
      </c>
      <c r="K99" s="166">
        <f t="shared" si="5"/>
        <v>300</v>
      </c>
      <c r="L99" s="166"/>
      <c r="M99" s="166"/>
      <c r="N99" s="72" t="s">
        <v>2219</v>
      </c>
      <c r="O99" s="72"/>
      <c r="P99" s="165"/>
    </row>
    <row r="100" s="130" customFormat="1" ht="34" customHeight="1" spans="1:16">
      <c r="A100" s="147">
        <v>96</v>
      </c>
      <c r="B100" s="148" t="s">
        <v>880</v>
      </c>
      <c r="C100" s="72" t="s">
        <v>1288</v>
      </c>
      <c r="D100" s="72" t="s">
        <v>1683</v>
      </c>
      <c r="E100" s="150" t="s">
        <v>2201</v>
      </c>
      <c r="F100" s="150"/>
      <c r="G100" s="71"/>
      <c r="H100" s="72" t="s">
        <v>2241</v>
      </c>
      <c r="I100" s="166"/>
      <c r="J100" s="166">
        <v>746</v>
      </c>
      <c r="K100" s="166">
        <f t="shared" si="5"/>
        <v>746</v>
      </c>
      <c r="L100" s="166"/>
      <c r="M100" s="166"/>
      <c r="N100" s="72" t="s">
        <v>2219</v>
      </c>
      <c r="O100" s="72"/>
      <c r="P100" s="165"/>
    </row>
    <row r="101" s="130" customFormat="1" ht="34" customHeight="1" spans="1:16">
      <c r="A101" s="147">
        <v>97</v>
      </c>
      <c r="B101" s="148" t="s">
        <v>1161</v>
      </c>
      <c r="C101" s="72" t="s">
        <v>1288</v>
      </c>
      <c r="D101" s="72" t="s">
        <v>1782</v>
      </c>
      <c r="E101" s="150" t="s">
        <v>2201</v>
      </c>
      <c r="F101" s="150"/>
      <c r="G101" s="71"/>
      <c r="H101" s="72" t="s">
        <v>2242</v>
      </c>
      <c r="I101" s="166"/>
      <c r="J101" s="166">
        <v>2337</v>
      </c>
      <c r="K101" s="166">
        <f t="shared" si="5"/>
        <v>2337</v>
      </c>
      <c r="L101" s="166"/>
      <c r="M101" s="166"/>
      <c r="N101" s="72" t="s">
        <v>2219</v>
      </c>
      <c r="O101" s="72"/>
      <c r="P101" s="165"/>
    </row>
    <row r="102" s="130" customFormat="1" ht="34" customHeight="1" spans="1:16">
      <c r="A102" s="147">
        <v>98</v>
      </c>
      <c r="B102" s="148" t="s">
        <v>1161</v>
      </c>
      <c r="C102" s="72" t="s">
        <v>1288</v>
      </c>
      <c r="D102" s="72" t="s">
        <v>1782</v>
      </c>
      <c r="E102" s="150" t="s">
        <v>2201</v>
      </c>
      <c r="F102" s="150"/>
      <c r="G102" s="71"/>
      <c r="H102" s="72" t="s">
        <v>2243</v>
      </c>
      <c r="I102" s="166"/>
      <c r="J102" s="166">
        <v>367</v>
      </c>
      <c r="K102" s="166">
        <f t="shared" si="5"/>
        <v>367</v>
      </c>
      <c r="L102" s="166"/>
      <c r="M102" s="166"/>
      <c r="N102" s="72" t="s">
        <v>2219</v>
      </c>
      <c r="O102" s="72"/>
      <c r="P102" s="165"/>
    </row>
    <row r="103" s="130" customFormat="1" ht="34" customHeight="1" spans="1:16">
      <c r="A103" s="147">
        <v>99</v>
      </c>
      <c r="B103" s="148" t="s">
        <v>856</v>
      </c>
      <c r="C103" s="72" t="s">
        <v>1288</v>
      </c>
      <c r="D103" s="72" t="s">
        <v>2244</v>
      </c>
      <c r="E103" s="150" t="s">
        <v>2201</v>
      </c>
      <c r="F103" s="150"/>
      <c r="G103" s="71"/>
      <c r="H103" s="72" t="s">
        <v>2245</v>
      </c>
      <c r="I103" s="166"/>
      <c r="J103" s="166">
        <v>300</v>
      </c>
      <c r="K103" s="166">
        <f t="shared" si="5"/>
        <v>300</v>
      </c>
      <c r="L103" s="166"/>
      <c r="M103" s="166"/>
      <c r="N103" s="72" t="s">
        <v>2219</v>
      </c>
      <c r="O103" s="72"/>
      <c r="P103" s="165"/>
    </row>
    <row r="104" s="130" customFormat="1" ht="34" customHeight="1" spans="1:16">
      <c r="A104" s="147">
        <v>100</v>
      </c>
      <c r="B104" s="148" t="s">
        <v>1161</v>
      </c>
      <c r="C104" s="72" t="s">
        <v>1288</v>
      </c>
      <c r="D104" s="72" t="s">
        <v>1274</v>
      </c>
      <c r="E104" s="150" t="s">
        <v>2201</v>
      </c>
      <c r="F104" s="150"/>
      <c r="G104" s="71"/>
      <c r="H104" s="72" t="s">
        <v>2246</v>
      </c>
      <c r="I104" s="166"/>
      <c r="J104" s="166">
        <v>100</v>
      </c>
      <c r="K104" s="166">
        <f t="shared" si="5"/>
        <v>100</v>
      </c>
      <c r="L104" s="166"/>
      <c r="M104" s="166"/>
      <c r="N104" s="72" t="s">
        <v>2219</v>
      </c>
      <c r="O104" s="72"/>
      <c r="P104" s="165"/>
    </row>
    <row r="105" s="130" customFormat="1" ht="34" customHeight="1" spans="1:16">
      <c r="A105" s="147">
        <v>101</v>
      </c>
      <c r="B105" s="148" t="s">
        <v>1161</v>
      </c>
      <c r="C105" s="72" t="s">
        <v>1288</v>
      </c>
      <c r="D105" s="72" t="s">
        <v>1274</v>
      </c>
      <c r="E105" s="150" t="s">
        <v>2201</v>
      </c>
      <c r="F105" s="150"/>
      <c r="G105" s="71"/>
      <c r="H105" s="72" t="s">
        <v>2247</v>
      </c>
      <c r="I105" s="166"/>
      <c r="J105" s="166">
        <v>150</v>
      </c>
      <c r="K105" s="166">
        <f t="shared" si="5"/>
        <v>150</v>
      </c>
      <c r="L105" s="166"/>
      <c r="M105" s="166"/>
      <c r="N105" s="72" t="s">
        <v>2219</v>
      </c>
      <c r="O105" s="72"/>
      <c r="P105" s="165"/>
    </row>
    <row r="106" s="133" customFormat="1" ht="24" customHeight="1" spans="1:16">
      <c r="A106" s="147">
        <v>102</v>
      </c>
      <c r="B106" s="148"/>
      <c r="C106" s="72" t="s">
        <v>1288</v>
      </c>
      <c r="D106" s="77"/>
      <c r="E106" s="175" t="s">
        <v>1893</v>
      </c>
      <c r="F106" s="175"/>
      <c r="G106" s="71"/>
      <c r="H106" s="77"/>
      <c r="I106" s="162">
        <f t="shared" ref="I106:M106" si="6">SUM(I107:I110)</f>
        <v>15715.5473</v>
      </c>
      <c r="J106" s="162">
        <f t="shared" si="6"/>
        <v>-1116.925</v>
      </c>
      <c r="K106" s="162">
        <f t="shared" si="6"/>
        <v>14598.6223</v>
      </c>
      <c r="L106" s="163">
        <f t="shared" si="6"/>
        <v>9267.43</v>
      </c>
      <c r="M106" s="163">
        <f t="shared" si="6"/>
        <v>0</v>
      </c>
      <c r="N106" s="164"/>
      <c r="O106" s="77"/>
      <c r="P106" s="2"/>
    </row>
    <row r="107" s="133" customFormat="1" ht="27" spans="1:16">
      <c r="A107" s="147">
        <v>103</v>
      </c>
      <c r="B107" s="148" t="s">
        <v>1288</v>
      </c>
      <c r="C107" s="148" t="s">
        <v>1288</v>
      </c>
      <c r="D107" s="72" t="s">
        <v>1485</v>
      </c>
      <c r="E107" s="72" t="s">
        <v>2248</v>
      </c>
      <c r="F107" s="150" t="s">
        <v>1217</v>
      </c>
      <c r="G107" s="71" t="s">
        <v>1895</v>
      </c>
      <c r="H107" s="72" t="s">
        <v>2249</v>
      </c>
      <c r="I107" s="166">
        <v>1311.9586</v>
      </c>
      <c r="J107" s="166"/>
      <c r="K107" s="166">
        <f t="shared" ref="K106:K122" si="7">I107+J107</f>
        <v>1311.9586</v>
      </c>
      <c r="L107" s="166">
        <v>1141.22</v>
      </c>
      <c r="M107" s="166"/>
      <c r="N107" s="72"/>
      <c r="O107" s="72" t="s">
        <v>2250</v>
      </c>
      <c r="P107" s="2"/>
    </row>
    <row r="108" s="133" customFormat="1" ht="40.5" spans="1:16">
      <c r="A108" s="147">
        <v>104</v>
      </c>
      <c r="B108" s="148" t="s">
        <v>1288</v>
      </c>
      <c r="C108" s="148" t="s">
        <v>1288</v>
      </c>
      <c r="D108" s="72" t="s">
        <v>1485</v>
      </c>
      <c r="E108" s="72" t="s">
        <v>2251</v>
      </c>
      <c r="F108" s="150" t="s">
        <v>1217</v>
      </c>
      <c r="G108" s="71" t="s">
        <v>1895</v>
      </c>
      <c r="H108" s="72" t="s">
        <v>2249</v>
      </c>
      <c r="I108" s="166">
        <v>3709.275</v>
      </c>
      <c r="J108" s="166">
        <v>-672.525</v>
      </c>
      <c r="K108" s="166">
        <f t="shared" si="7"/>
        <v>3036.75</v>
      </c>
      <c r="L108" s="166">
        <v>994.5</v>
      </c>
      <c r="M108" s="166"/>
      <c r="N108" s="72" t="s">
        <v>2252</v>
      </c>
      <c r="O108" s="72" t="s">
        <v>2253</v>
      </c>
      <c r="P108" s="2"/>
    </row>
    <row r="109" s="133" customFormat="1" ht="27" spans="1:16">
      <c r="A109" s="147">
        <v>105</v>
      </c>
      <c r="B109" s="148" t="s">
        <v>1288</v>
      </c>
      <c r="C109" s="148" t="s">
        <v>1288</v>
      </c>
      <c r="D109" s="72" t="s">
        <v>1485</v>
      </c>
      <c r="E109" s="72" t="s">
        <v>2254</v>
      </c>
      <c r="F109" s="150" t="s">
        <v>1217</v>
      </c>
      <c r="G109" s="71" t="s">
        <v>1895</v>
      </c>
      <c r="H109" s="72" t="s">
        <v>2249</v>
      </c>
      <c r="I109" s="166">
        <v>1041.3</v>
      </c>
      <c r="J109" s="166">
        <v>-262.5</v>
      </c>
      <c r="K109" s="166">
        <f t="shared" si="7"/>
        <v>778.8</v>
      </c>
      <c r="L109" s="166">
        <v>519.8</v>
      </c>
      <c r="M109" s="166"/>
      <c r="N109" s="72" t="s">
        <v>2255</v>
      </c>
      <c r="O109" s="72" t="s">
        <v>2256</v>
      </c>
      <c r="P109" s="2"/>
    </row>
    <row r="110" s="130" customFormat="1" ht="40.5" spans="1:16">
      <c r="A110" s="147">
        <v>106</v>
      </c>
      <c r="B110" s="148" t="s">
        <v>1288</v>
      </c>
      <c r="C110" s="148" t="s">
        <v>1288</v>
      </c>
      <c r="D110" s="72" t="s">
        <v>1485</v>
      </c>
      <c r="E110" s="72" t="s">
        <v>2257</v>
      </c>
      <c r="F110" s="150" t="s">
        <v>1217</v>
      </c>
      <c r="G110" s="71" t="s">
        <v>1895</v>
      </c>
      <c r="H110" s="72" t="s">
        <v>2249</v>
      </c>
      <c r="I110" s="166">
        <v>9653.0137</v>
      </c>
      <c r="J110" s="166">
        <v>-181.9</v>
      </c>
      <c r="K110" s="166">
        <f t="shared" si="7"/>
        <v>9471.1137</v>
      </c>
      <c r="L110" s="166">
        <v>6611.91</v>
      </c>
      <c r="M110" s="166"/>
      <c r="N110" s="72" t="s">
        <v>2258</v>
      </c>
      <c r="O110" s="72" t="s">
        <v>2259</v>
      </c>
      <c r="P110" s="165"/>
    </row>
    <row r="111" s="133" customFormat="1" ht="24" customHeight="1" spans="1:16">
      <c r="A111" s="147">
        <v>107</v>
      </c>
      <c r="B111" s="148"/>
      <c r="C111" s="148"/>
      <c r="D111" s="77"/>
      <c r="E111" s="175" t="s">
        <v>1903</v>
      </c>
      <c r="F111" s="175"/>
      <c r="G111" s="71"/>
      <c r="H111" s="77"/>
      <c r="I111" s="162">
        <f t="shared" ref="I111:M111" si="8">SUM(I112:I115)</f>
        <v>136</v>
      </c>
      <c r="J111" s="162">
        <f t="shared" si="8"/>
        <v>-37.02</v>
      </c>
      <c r="K111" s="162">
        <f t="shared" si="8"/>
        <v>98.98</v>
      </c>
      <c r="L111" s="163">
        <f t="shared" si="8"/>
        <v>98.98</v>
      </c>
      <c r="M111" s="163">
        <f t="shared" si="8"/>
        <v>0</v>
      </c>
      <c r="N111" s="164"/>
      <c r="O111" s="77"/>
      <c r="P111" s="192"/>
    </row>
    <row r="112" s="133" customFormat="1" ht="27" spans="1:16">
      <c r="A112" s="147">
        <v>108</v>
      </c>
      <c r="B112" s="148" t="s">
        <v>1288</v>
      </c>
      <c r="C112" s="148" t="s">
        <v>1288</v>
      </c>
      <c r="D112" s="72" t="s">
        <v>1485</v>
      </c>
      <c r="E112" s="72" t="s">
        <v>2260</v>
      </c>
      <c r="F112" s="150" t="s">
        <v>1217</v>
      </c>
      <c r="G112" s="71" t="s">
        <v>1905</v>
      </c>
      <c r="H112" s="72" t="s">
        <v>2261</v>
      </c>
      <c r="I112" s="166">
        <v>1</v>
      </c>
      <c r="J112" s="166">
        <v>-0.81</v>
      </c>
      <c r="K112" s="166">
        <f t="shared" si="7"/>
        <v>0.19</v>
      </c>
      <c r="L112" s="166">
        <v>0.19</v>
      </c>
      <c r="M112" s="166"/>
      <c r="N112" s="167"/>
      <c r="O112" s="77"/>
      <c r="P112" s="192"/>
    </row>
    <row r="113" s="133" customFormat="1" ht="27" spans="1:16">
      <c r="A113" s="147">
        <v>109</v>
      </c>
      <c r="B113" s="148" t="s">
        <v>1288</v>
      </c>
      <c r="C113" s="148" t="s">
        <v>1288</v>
      </c>
      <c r="D113" s="72" t="s">
        <v>1485</v>
      </c>
      <c r="E113" s="72" t="s">
        <v>2262</v>
      </c>
      <c r="F113" s="150" t="s">
        <v>1217</v>
      </c>
      <c r="G113" s="71" t="s">
        <v>1905</v>
      </c>
      <c r="H113" s="72" t="s">
        <v>2261</v>
      </c>
      <c r="I113" s="166">
        <v>40</v>
      </c>
      <c r="J113" s="166">
        <v>1.22</v>
      </c>
      <c r="K113" s="166">
        <f t="shared" si="7"/>
        <v>41.22</v>
      </c>
      <c r="L113" s="166">
        <v>41.22</v>
      </c>
      <c r="M113" s="166"/>
      <c r="N113" s="167"/>
      <c r="O113" s="77"/>
      <c r="P113" s="192"/>
    </row>
    <row r="114" s="133" customFormat="1" ht="27" spans="1:16">
      <c r="A114" s="147">
        <v>110</v>
      </c>
      <c r="B114" s="148" t="s">
        <v>1288</v>
      </c>
      <c r="C114" s="148" t="s">
        <v>1288</v>
      </c>
      <c r="D114" s="72" t="s">
        <v>1485</v>
      </c>
      <c r="E114" s="72" t="s">
        <v>2263</v>
      </c>
      <c r="F114" s="150" t="s">
        <v>1217</v>
      </c>
      <c r="G114" s="71" t="s">
        <v>1905</v>
      </c>
      <c r="H114" s="72" t="s">
        <v>2261</v>
      </c>
      <c r="I114" s="166">
        <v>15</v>
      </c>
      <c r="J114" s="166">
        <v>-14.96</v>
      </c>
      <c r="K114" s="166">
        <f t="shared" si="7"/>
        <v>0.0399999999999991</v>
      </c>
      <c r="L114" s="166">
        <v>0.04</v>
      </c>
      <c r="M114" s="166"/>
      <c r="N114" s="72"/>
      <c r="O114" s="77"/>
      <c r="P114" s="192"/>
    </row>
    <row r="115" s="130" customFormat="1" ht="27" spans="1:16">
      <c r="A115" s="147">
        <v>111</v>
      </c>
      <c r="B115" s="148" t="s">
        <v>1288</v>
      </c>
      <c r="C115" s="148" t="s">
        <v>1288</v>
      </c>
      <c r="D115" s="72" t="s">
        <v>1485</v>
      </c>
      <c r="E115" s="72" t="s">
        <v>2264</v>
      </c>
      <c r="F115" s="150" t="s">
        <v>1217</v>
      </c>
      <c r="G115" s="71" t="s">
        <v>1905</v>
      </c>
      <c r="H115" s="72" t="s">
        <v>2261</v>
      </c>
      <c r="I115" s="166">
        <v>80</v>
      </c>
      <c r="J115" s="166">
        <v>-22.47</v>
      </c>
      <c r="K115" s="166">
        <f t="shared" si="7"/>
        <v>57.53</v>
      </c>
      <c r="L115" s="166">
        <v>57.53</v>
      </c>
      <c r="M115" s="166"/>
      <c r="N115" s="72"/>
      <c r="O115" s="72"/>
      <c r="P115" s="165"/>
    </row>
    <row r="116" s="133" customFormat="1" ht="24" customHeight="1" spans="1:16">
      <c r="A116" s="180">
        <v>112</v>
      </c>
      <c r="B116" s="181"/>
      <c r="C116" s="181"/>
      <c r="D116" s="182"/>
      <c r="E116" s="183" t="s">
        <v>22</v>
      </c>
      <c r="F116" s="183"/>
      <c r="G116" s="184"/>
      <c r="H116" s="182"/>
      <c r="I116" s="163">
        <f>I5+I65+I106+I111</f>
        <v>28175.0085</v>
      </c>
      <c r="J116" s="163">
        <f>J5+J65+J106+J111</f>
        <v>65268.6215</v>
      </c>
      <c r="K116" s="163">
        <f>K5+K65+K106+K111</f>
        <v>93443.63</v>
      </c>
      <c r="L116" s="163" t="e">
        <f>#REF!+#REF!+L5+L65+L106+L111</f>
        <v>#REF!</v>
      </c>
      <c r="M116" s="163" t="e">
        <f>#REF!+#REF!+M5+M65+M106+M111</f>
        <v>#REF!</v>
      </c>
      <c r="N116" s="193"/>
      <c r="O116" s="182"/>
      <c r="P116" s="194"/>
    </row>
    <row r="117" s="130" customFormat="1" ht="26.15" customHeight="1" spans="1:16">
      <c r="A117" s="147">
        <v>113</v>
      </c>
      <c r="B117" s="148"/>
      <c r="C117" s="148"/>
      <c r="D117" s="72"/>
      <c r="E117" s="185" t="s">
        <v>1907</v>
      </c>
      <c r="F117" s="175"/>
      <c r="G117" s="71"/>
      <c r="H117" s="72"/>
      <c r="I117" s="162">
        <f t="shared" ref="I117:M117" si="9">SUM(I118:I119)</f>
        <v>54900</v>
      </c>
      <c r="J117" s="162">
        <f t="shared" si="9"/>
        <v>-47249</v>
      </c>
      <c r="K117" s="162">
        <f t="shared" si="9"/>
        <v>7651</v>
      </c>
      <c r="L117" s="163">
        <f t="shared" si="9"/>
        <v>7651</v>
      </c>
      <c r="M117" s="163">
        <f t="shared" si="9"/>
        <v>0</v>
      </c>
      <c r="N117" s="77"/>
      <c r="O117" s="72"/>
      <c r="P117" s="165"/>
    </row>
    <row r="118" s="130" customFormat="1" ht="27" spans="1:16">
      <c r="A118" s="147">
        <v>114</v>
      </c>
      <c r="B118" s="148" t="s">
        <v>1288</v>
      </c>
      <c r="C118" s="148" t="s">
        <v>1288</v>
      </c>
      <c r="D118" s="72" t="s">
        <v>1485</v>
      </c>
      <c r="E118" s="72" t="s">
        <v>2265</v>
      </c>
      <c r="F118" s="150" t="s">
        <v>1217</v>
      </c>
      <c r="G118" s="72" t="s">
        <v>1909</v>
      </c>
      <c r="H118" s="54" t="s">
        <v>2266</v>
      </c>
      <c r="I118" s="166">
        <v>2400</v>
      </c>
      <c r="J118" s="166"/>
      <c r="K118" s="166">
        <f t="shared" si="7"/>
        <v>2400</v>
      </c>
      <c r="L118" s="166">
        <v>2400</v>
      </c>
      <c r="M118" s="166"/>
      <c r="N118" s="72"/>
      <c r="O118" s="72"/>
      <c r="P118" s="165"/>
    </row>
    <row r="119" s="130" customFormat="1" ht="29" customHeight="1" spans="1:16">
      <c r="A119" s="147">
        <v>115</v>
      </c>
      <c r="B119" s="148" t="s">
        <v>1288</v>
      </c>
      <c r="C119" s="148" t="s">
        <v>1288</v>
      </c>
      <c r="D119" s="72" t="s">
        <v>1485</v>
      </c>
      <c r="E119" s="72" t="s">
        <v>2267</v>
      </c>
      <c r="F119" s="150" t="s">
        <v>1217</v>
      </c>
      <c r="G119" s="72" t="s">
        <v>1909</v>
      </c>
      <c r="H119" s="54" t="s">
        <v>2266</v>
      </c>
      <c r="I119" s="166">
        <v>52500</v>
      </c>
      <c r="J119" s="166">
        <f>-47250+1</f>
        <v>-47249</v>
      </c>
      <c r="K119" s="166">
        <f t="shared" si="7"/>
        <v>5251</v>
      </c>
      <c r="L119" s="166">
        <v>5251</v>
      </c>
      <c r="M119" s="166"/>
      <c r="N119" s="72" t="s">
        <v>2268</v>
      </c>
      <c r="O119" s="72" t="s">
        <v>2269</v>
      </c>
      <c r="P119" s="165"/>
    </row>
    <row r="120" s="130" customFormat="1" ht="29" customHeight="1" spans="1:16">
      <c r="A120" s="147">
        <v>116</v>
      </c>
      <c r="B120" s="148"/>
      <c r="C120" s="148"/>
      <c r="D120" s="72"/>
      <c r="E120" s="83" t="s">
        <v>151</v>
      </c>
      <c r="F120" s="150"/>
      <c r="G120" s="72"/>
      <c r="H120" s="54"/>
      <c r="I120" s="162"/>
      <c r="J120" s="162">
        <v>254</v>
      </c>
      <c r="K120" s="162">
        <f t="shared" si="7"/>
        <v>254</v>
      </c>
      <c r="L120" s="195">
        <v>254</v>
      </c>
      <c r="M120" s="195"/>
      <c r="N120" s="72" t="s">
        <v>2270</v>
      </c>
      <c r="O120" s="72"/>
      <c r="P120" s="165"/>
    </row>
    <row r="121" s="134" customFormat="1" ht="26.15" customHeight="1" spans="1:16">
      <c r="A121" s="147">
        <v>117</v>
      </c>
      <c r="B121" s="186"/>
      <c r="C121" s="149"/>
      <c r="D121" s="187"/>
      <c r="E121" s="83" t="s">
        <v>2271</v>
      </c>
      <c r="F121" s="83"/>
      <c r="G121" s="76"/>
      <c r="H121" s="83"/>
      <c r="I121" s="162">
        <v>58855</v>
      </c>
      <c r="J121" s="162">
        <f>K121-I121</f>
        <v>-34455</v>
      </c>
      <c r="K121" s="162">
        <v>24400</v>
      </c>
      <c r="L121" s="195">
        <v>0</v>
      </c>
      <c r="M121" s="195"/>
      <c r="N121" s="72" t="s">
        <v>2272</v>
      </c>
      <c r="O121" s="77"/>
      <c r="P121" s="192"/>
    </row>
    <row r="122" s="134" customFormat="1" ht="26.15" customHeight="1" spans="1:16">
      <c r="A122" s="147">
        <v>118</v>
      </c>
      <c r="B122" s="186"/>
      <c r="C122" s="149"/>
      <c r="D122" s="187"/>
      <c r="E122" s="83" t="s">
        <v>2273</v>
      </c>
      <c r="F122" s="83"/>
      <c r="G122" s="76"/>
      <c r="H122" s="83"/>
      <c r="I122" s="162"/>
      <c r="J122" s="162">
        <v>26738.827</v>
      </c>
      <c r="K122" s="162">
        <f t="shared" si="7"/>
        <v>26738.827</v>
      </c>
      <c r="L122" s="195">
        <v>26738.827</v>
      </c>
      <c r="M122" s="195"/>
      <c r="N122" s="77"/>
      <c r="O122" s="77"/>
      <c r="P122" s="192"/>
    </row>
    <row r="123" s="135" customFormat="1" ht="24" customHeight="1" spans="1:17">
      <c r="A123" s="180">
        <v>119</v>
      </c>
      <c r="B123" s="188"/>
      <c r="C123" s="188"/>
      <c r="D123" s="189"/>
      <c r="E123" s="190" t="s">
        <v>125</v>
      </c>
      <c r="F123" s="190"/>
      <c r="G123" s="191"/>
      <c r="H123" s="189"/>
      <c r="I123" s="163">
        <f t="shared" ref="I123:M123" si="10">I116+I117+I120+I121+I122</f>
        <v>141930.0085</v>
      </c>
      <c r="J123" s="163">
        <f t="shared" si="10"/>
        <v>10557.4485</v>
      </c>
      <c r="K123" s="163">
        <f t="shared" si="10"/>
        <v>152487.457</v>
      </c>
      <c r="L123" s="163" t="e">
        <f t="shared" si="10"/>
        <v>#REF!</v>
      </c>
      <c r="M123" s="163" t="e">
        <f t="shared" si="10"/>
        <v>#REF!</v>
      </c>
      <c r="N123" s="189"/>
      <c r="O123" s="189"/>
      <c r="P123" s="196">
        <f>SUM(P5:P122)</f>
        <v>17634.7435</v>
      </c>
      <c r="Q123" s="197"/>
    </row>
    <row r="124" spans="16:16">
      <c r="P124" s="135"/>
    </row>
    <row r="125" spans="11:11">
      <c r="K125" s="138">
        <f>K109+K110+K114+K115</f>
        <v>10307.4837</v>
      </c>
    </row>
    <row r="126" spans="11:16">
      <c r="K126" s="138">
        <f>K122-K125</f>
        <v>16431.3433</v>
      </c>
      <c r="P126">
        <f ca="1">'5 基金平衡表'!D17</f>
        <v>0</v>
      </c>
    </row>
    <row r="127" spans="16:16">
      <c r="P127">
        <f ca="1">P123+P126</f>
        <v>17634.7435</v>
      </c>
    </row>
  </sheetData>
  <autoFilter ref="A4:Q123">
    <extLst/>
  </autoFilter>
  <mergeCells count="17">
    <mergeCell ref="A1:O1"/>
    <mergeCell ref="A3:A4"/>
    <mergeCell ref="B3:B4"/>
    <mergeCell ref="C3:C4"/>
    <mergeCell ref="D3:D4"/>
    <mergeCell ref="E3:E4"/>
    <mergeCell ref="F3:F4"/>
    <mergeCell ref="G3:G4"/>
    <mergeCell ref="H3:H4"/>
    <mergeCell ref="I3:I4"/>
    <mergeCell ref="J3:J4"/>
    <mergeCell ref="K3:K4"/>
    <mergeCell ref="L3:L4"/>
    <mergeCell ref="M3:M4"/>
    <mergeCell ref="N3:N4"/>
    <mergeCell ref="O3:O4"/>
    <mergeCell ref="P3:P4"/>
  </mergeCells>
  <printOptions horizontalCentered="1"/>
  <pageMargins left="0.75" right="0.75" top="0.509027777777778" bottom="0.788888888888889" header="0.349305555555556" footer="0.509027777777778"/>
  <pageSetup paperSize="9" scale="61" fitToHeight="0" orientation="landscape" horizontalDpi="600"/>
  <headerFooter>
    <oddFooter>&amp;C第 &amp;P 页，共 &amp;N 页</oddFooter>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1"/>
  <sheetViews>
    <sheetView view="pageBreakPreview" zoomScaleNormal="100" zoomScaleSheetLayoutView="100" workbookViewId="0">
      <selection activeCell="H7" sqref="H7"/>
    </sheetView>
  </sheetViews>
  <sheetFormatPr defaultColWidth="9" defaultRowHeight="14.25" customHeight="1"/>
  <cols>
    <col min="1" max="1" width="36.525" style="101" customWidth="1"/>
    <col min="2" max="4" width="12.125" style="105" customWidth="1"/>
    <col min="5" max="10" width="12.125" style="101" customWidth="1"/>
    <col min="11" max="248" width="9" style="101"/>
    <col min="249" max="249" width="32" style="101" customWidth="1"/>
    <col min="250" max="250" width="15.5" style="101" customWidth="1"/>
    <col min="251" max="251" width="17.225" style="101" customWidth="1"/>
    <col min="252" max="252" width="17.725" style="101" customWidth="1"/>
    <col min="253" max="254" width="11.8666666666667" style="101" customWidth="1"/>
    <col min="255" max="256" width="9" style="106"/>
  </cols>
  <sheetData>
    <row r="1" s="101" customFormat="1" customHeight="1" spans="1:4">
      <c r="A1" s="9" t="s">
        <v>2274</v>
      </c>
      <c r="B1" s="105"/>
      <c r="C1" s="105"/>
      <c r="D1" s="105"/>
    </row>
    <row r="2" s="102" customFormat="1" ht="37.5" customHeight="1" spans="1:10">
      <c r="A2" s="107" t="s">
        <v>2275</v>
      </c>
      <c r="B2" s="107"/>
      <c r="C2" s="107"/>
      <c r="D2" s="107"/>
      <c r="E2" s="107"/>
      <c r="F2" s="107"/>
      <c r="G2" s="107"/>
      <c r="H2" s="107"/>
      <c r="I2" s="107"/>
      <c r="J2" s="107"/>
    </row>
    <row r="3" s="103" customFormat="1" ht="19.5" customHeight="1" spans="1:10">
      <c r="A3" s="108"/>
      <c r="B3" s="109"/>
      <c r="C3" s="108"/>
      <c r="E3" s="110"/>
      <c r="J3" s="129" t="s">
        <v>2</v>
      </c>
    </row>
    <row r="4" s="103" customFormat="1" ht="24" customHeight="1" spans="1:10">
      <c r="A4" s="111" t="s">
        <v>2276</v>
      </c>
      <c r="B4" s="112" t="s">
        <v>114</v>
      </c>
      <c r="C4" s="113"/>
      <c r="D4" s="114"/>
      <c r="E4" s="113" t="s">
        <v>115</v>
      </c>
      <c r="F4" s="113"/>
      <c r="G4" s="114"/>
      <c r="H4" s="115" t="s">
        <v>6</v>
      </c>
      <c r="I4" s="115"/>
      <c r="J4" s="115"/>
    </row>
    <row r="5" s="103" customFormat="1" ht="66" customHeight="1" spans="1:10">
      <c r="A5" s="116"/>
      <c r="B5" s="117" t="s">
        <v>22</v>
      </c>
      <c r="C5" s="117" t="s">
        <v>2277</v>
      </c>
      <c r="D5" s="117" t="s">
        <v>2278</v>
      </c>
      <c r="E5" s="117" t="s">
        <v>22</v>
      </c>
      <c r="F5" s="118" t="s">
        <v>2277</v>
      </c>
      <c r="G5" s="118" t="s">
        <v>2278</v>
      </c>
      <c r="H5" s="117" t="s">
        <v>22</v>
      </c>
      <c r="I5" s="118" t="s">
        <v>2277</v>
      </c>
      <c r="J5" s="118" t="s">
        <v>2278</v>
      </c>
    </row>
    <row r="6" s="103" customFormat="1" ht="24" customHeight="1" spans="1:10">
      <c r="A6" s="119" t="s">
        <v>2279</v>
      </c>
      <c r="B6" s="120">
        <f t="shared" ref="B6:B14" si="0">C6+D6</f>
        <v>39382</v>
      </c>
      <c r="C6" s="120">
        <v>37143</v>
      </c>
      <c r="D6" s="120">
        <v>2239</v>
      </c>
      <c r="E6" s="120">
        <f t="shared" ref="E6:E14" si="1">F6+G6</f>
        <v>-31</v>
      </c>
      <c r="F6" s="121">
        <f>I6-C6</f>
        <v>-497</v>
      </c>
      <c r="G6" s="121">
        <f>J6-D6</f>
        <v>466</v>
      </c>
      <c r="H6" s="120">
        <f t="shared" ref="H6:H14" si="2">I6+J6</f>
        <v>39351</v>
      </c>
      <c r="I6" s="120">
        <v>36646</v>
      </c>
      <c r="J6" s="120">
        <v>2705</v>
      </c>
    </row>
    <row r="7" s="104" customFormat="1" ht="22.5" customHeight="1" spans="1:10">
      <c r="A7" s="122" t="s">
        <v>2280</v>
      </c>
      <c r="B7" s="120">
        <f t="shared" ref="B7:J7" si="3">B8+B9+B10+B12+B13+B14</f>
        <v>48523</v>
      </c>
      <c r="C7" s="123">
        <f t="shared" si="3"/>
        <v>18880</v>
      </c>
      <c r="D7" s="123">
        <f t="shared" si="3"/>
        <v>29643</v>
      </c>
      <c r="E7" s="120">
        <f t="shared" si="3"/>
        <v>-989</v>
      </c>
      <c r="F7" s="123">
        <f t="shared" si="3"/>
        <v>395</v>
      </c>
      <c r="G7" s="123">
        <f t="shared" si="3"/>
        <v>-1384</v>
      </c>
      <c r="H7" s="120">
        <f t="shared" si="3"/>
        <v>47534</v>
      </c>
      <c r="I7" s="123">
        <f t="shared" si="3"/>
        <v>19275</v>
      </c>
      <c r="J7" s="123">
        <f t="shared" si="3"/>
        <v>28259</v>
      </c>
    </row>
    <row r="8" s="103" customFormat="1" ht="22.5" customHeight="1" spans="1:10">
      <c r="A8" s="124" t="s">
        <v>2281</v>
      </c>
      <c r="B8" s="125">
        <f t="shared" si="0"/>
        <v>19683</v>
      </c>
      <c r="C8" s="121">
        <v>2980</v>
      </c>
      <c r="D8" s="121">
        <v>16703</v>
      </c>
      <c r="E8" s="125">
        <f t="shared" si="1"/>
        <v>-530</v>
      </c>
      <c r="F8" s="121">
        <f>I8-C8</f>
        <v>74</v>
      </c>
      <c r="G8" s="121">
        <f>J8-D8</f>
        <v>-604</v>
      </c>
      <c r="H8" s="125">
        <f t="shared" si="2"/>
        <v>19153</v>
      </c>
      <c r="I8" s="121">
        <v>3054</v>
      </c>
      <c r="J8" s="121">
        <v>16099</v>
      </c>
    </row>
    <row r="9" s="103" customFormat="1" ht="22.5" customHeight="1" spans="1:10">
      <c r="A9" s="124" t="s">
        <v>2282</v>
      </c>
      <c r="B9" s="125">
        <f t="shared" si="0"/>
        <v>1310</v>
      </c>
      <c r="C9" s="121">
        <v>1270</v>
      </c>
      <c r="D9" s="121">
        <v>40</v>
      </c>
      <c r="E9" s="125">
        <f t="shared" si="1"/>
        <v>-31</v>
      </c>
      <c r="F9" s="121">
        <f t="shared" ref="F9:F14" si="4">I9-C9</f>
        <v>-10</v>
      </c>
      <c r="G9" s="121">
        <f>J9-D9</f>
        <v>-21</v>
      </c>
      <c r="H9" s="125">
        <f t="shared" si="2"/>
        <v>1279</v>
      </c>
      <c r="I9" s="121">
        <v>1260</v>
      </c>
      <c r="J9" s="121">
        <v>19</v>
      </c>
    </row>
    <row r="10" s="103" customFormat="1" ht="22.5" customHeight="1" spans="1:10">
      <c r="A10" s="126" t="s">
        <v>2283</v>
      </c>
      <c r="B10" s="125">
        <f t="shared" si="0"/>
        <v>26166</v>
      </c>
      <c r="C10" s="121">
        <v>13666</v>
      </c>
      <c r="D10" s="121">
        <v>12500</v>
      </c>
      <c r="E10" s="125">
        <f t="shared" si="1"/>
        <v>-126</v>
      </c>
      <c r="F10" s="121">
        <f t="shared" si="4"/>
        <v>749</v>
      </c>
      <c r="G10" s="121">
        <f>J10-D10</f>
        <v>-875</v>
      </c>
      <c r="H10" s="125">
        <f t="shared" si="2"/>
        <v>26040</v>
      </c>
      <c r="I10" s="121">
        <v>14415</v>
      </c>
      <c r="J10" s="121">
        <v>11625</v>
      </c>
    </row>
    <row r="11" s="103" customFormat="1" ht="22.5" customHeight="1" spans="1:10">
      <c r="A11" s="126" t="s">
        <v>2284</v>
      </c>
      <c r="B11" s="125">
        <f t="shared" si="0"/>
        <v>15298</v>
      </c>
      <c r="C11" s="121">
        <v>2798</v>
      </c>
      <c r="D11" s="121">
        <v>12500</v>
      </c>
      <c r="E11" s="125">
        <f t="shared" si="1"/>
        <v>-875</v>
      </c>
      <c r="F11" s="121">
        <f t="shared" si="4"/>
        <v>0</v>
      </c>
      <c r="G11" s="121">
        <f t="shared" ref="G11:G18" si="5">J11-D11</f>
        <v>-875</v>
      </c>
      <c r="H11" s="125">
        <f t="shared" si="2"/>
        <v>14423</v>
      </c>
      <c r="I11" s="121">
        <v>2798</v>
      </c>
      <c r="J11" s="121">
        <v>11625</v>
      </c>
    </row>
    <row r="12" s="103" customFormat="1" ht="22.5" customHeight="1" spans="1:10">
      <c r="A12" s="126" t="s">
        <v>2285</v>
      </c>
      <c r="B12" s="125">
        <f t="shared" si="0"/>
        <v>934</v>
      </c>
      <c r="C12" s="121">
        <v>934</v>
      </c>
      <c r="D12" s="121"/>
      <c r="E12" s="125">
        <f t="shared" si="1"/>
        <v>-443</v>
      </c>
      <c r="F12" s="121">
        <f t="shared" si="4"/>
        <v>-443</v>
      </c>
      <c r="G12" s="121">
        <f t="shared" si="5"/>
        <v>0</v>
      </c>
      <c r="H12" s="125">
        <f t="shared" si="2"/>
        <v>491</v>
      </c>
      <c r="I12" s="121">
        <v>491</v>
      </c>
      <c r="J12" s="121">
        <v>0</v>
      </c>
    </row>
    <row r="13" s="103" customFormat="1" ht="22.5" customHeight="1" spans="1:10">
      <c r="A13" s="126" t="s">
        <v>2286</v>
      </c>
      <c r="B13" s="125">
        <f t="shared" si="0"/>
        <v>5</v>
      </c>
      <c r="C13" s="121">
        <v>5</v>
      </c>
      <c r="D13" s="127"/>
      <c r="E13" s="125">
        <f t="shared" si="1"/>
        <v>15</v>
      </c>
      <c r="F13" s="121">
        <f t="shared" si="4"/>
        <v>15</v>
      </c>
      <c r="G13" s="121">
        <f t="shared" si="5"/>
        <v>0</v>
      </c>
      <c r="H13" s="125">
        <f t="shared" si="2"/>
        <v>20</v>
      </c>
      <c r="I13" s="121">
        <v>20</v>
      </c>
      <c r="J13" s="121">
        <v>0</v>
      </c>
    </row>
    <row r="14" s="103" customFormat="1" ht="22.5" customHeight="1" spans="1:10">
      <c r="A14" s="126" t="s">
        <v>2287</v>
      </c>
      <c r="B14" s="125">
        <f t="shared" si="0"/>
        <v>425</v>
      </c>
      <c r="C14" s="121">
        <v>25</v>
      </c>
      <c r="D14" s="121">
        <v>400</v>
      </c>
      <c r="E14" s="125">
        <f t="shared" si="1"/>
        <v>126</v>
      </c>
      <c r="F14" s="121">
        <f t="shared" si="4"/>
        <v>10</v>
      </c>
      <c r="G14" s="121">
        <f t="shared" si="5"/>
        <v>116</v>
      </c>
      <c r="H14" s="125">
        <f t="shared" si="2"/>
        <v>551</v>
      </c>
      <c r="I14" s="121">
        <v>35</v>
      </c>
      <c r="J14" s="121">
        <v>516</v>
      </c>
    </row>
    <row r="15" s="104" customFormat="1" ht="22.5" customHeight="1" spans="1:10">
      <c r="A15" s="122" t="s">
        <v>2288</v>
      </c>
      <c r="B15" s="120">
        <f t="shared" ref="B15:J15" si="6">SUM(B16:B18)</f>
        <v>42619</v>
      </c>
      <c r="C15" s="123">
        <f t="shared" si="6"/>
        <v>13124</v>
      </c>
      <c r="D15" s="123">
        <f t="shared" si="6"/>
        <v>29495</v>
      </c>
      <c r="E15" s="120">
        <f t="shared" si="6"/>
        <v>-838</v>
      </c>
      <c r="F15" s="123">
        <f t="shared" si="6"/>
        <v>761</v>
      </c>
      <c r="G15" s="123">
        <f t="shared" si="6"/>
        <v>-1599</v>
      </c>
      <c r="H15" s="120">
        <f t="shared" si="6"/>
        <v>41781</v>
      </c>
      <c r="I15" s="123">
        <f t="shared" si="6"/>
        <v>13885</v>
      </c>
      <c r="J15" s="123">
        <f t="shared" si="6"/>
        <v>27896</v>
      </c>
    </row>
    <row r="16" s="103" customFormat="1" ht="22.5" customHeight="1" spans="1:10">
      <c r="A16" s="124" t="s">
        <v>2289</v>
      </c>
      <c r="B16" s="125">
        <f t="shared" ref="B16:B18" si="7">C16+D16</f>
        <v>42263</v>
      </c>
      <c r="C16" s="121">
        <v>13118</v>
      </c>
      <c r="D16" s="121">
        <v>29145</v>
      </c>
      <c r="E16" s="125">
        <f t="shared" ref="E16:E18" si="8">F16+G16</f>
        <v>-777</v>
      </c>
      <c r="F16" s="121">
        <f t="shared" ref="F16:F18" si="9">I16-C16</f>
        <v>760</v>
      </c>
      <c r="G16" s="121">
        <f t="shared" si="5"/>
        <v>-1537</v>
      </c>
      <c r="H16" s="125">
        <f t="shared" ref="H16:H18" si="10">I16+J16</f>
        <v>41486</v>
      </c>
      <c r="I16" s="121">
        <v>13878</v>
      </c>
      <c r="J16" s="121">
        <v>27608</v>
      </c>
    </row>
    <row r="17" s="103" customFormat="1" ht="22.5" customHeight="1" spans="1:10">
      <c r="A17" s="124" t="s">
        <v>2290</v>
      </c>
      <c r="B17" s="125">
        <f t="shared" si="7"/>
        <v>0</v>
      </c>
      <c r="C17" s="121">
        <v>0</v>
      </c>
      <c r="D17" s="127"/>
      <c r="E17" s="125">
        <f t="shared" si="8"/>
        <v>1</v>
      </c>
      <c r="F17" s="121">
        <f t="shared" si="9"/>
        <v>1</v>
      </c>
      <c r="G17" s="121">
        <f t="shared" si="5"/>
        <v>0</v>
      </c>
      <c r="H17" s="125">
        <f t="shared" si="10"/>
        <v>1</v>
      </c>
      <c r="I17" s="121">
        <v>1</v>
      </c>
      <c r="J17" s="121">
        <v>0</v>
      </c>
    </row>
    <row r="18" s="103" customFormat="1" ht="22.5" customHeight="1" spans="1:10">
      <c r="A18" s="126" t="s">
        <v>2291</v>
      </c>
      <c r="B18" s="125">
        <f t="shared" si="7"/>
        <v>356</v>
      </c>
      <c r="C18" s="121">
        <v>6</v>
      </c>
      <c r="D18" s="121">
        <v>350</v>
      </c>
      <c r="E18" s="125">
        <f t="shared" si="8"/>
        <v>-62</v>
      </c>
      <c r="F18" s="121">
        <f t="shared" si="9"/>
        <v>0</v>
      </c>
      <c r="G18" s="121">
        <f t="shared" si="5"/>
        <v>-62</v>
      </c>
      <c r="H18" s="125">
        <f t="shared" si="10"/>
        <v>294</v>
      </c>
      <c r="I18" s="121">
        <v>6</v>
      </c>
      <c r="J18" s="121">
        <v>288</v>
      </c>
    </row>
    <row r="19" s="104" customFormat="1" ht="22.5" customHeight="1" spans="1:10">
      <c r="A19" s="122" t="s">
        <v>2292</v>
      </c>
      <c r="B19" s="123">
        <f t="shared" ref="B19:J19" si="11">B7-B15</f>
        <v>5904</v>
      </c>
      <c r="C19" s="123">
        <f t="shared" si="11"/>
        <v>5756</v>
      </c>
      <c r="D19" s="123">
        <f t="shared" si="11"/>
        <v>148</v>
      </c>
      <c r="E19" s="123">
        <f t="shared" si="11"/>
        <v>-151</v>
      </c>
      <c r="F19" s="123">
        <f t="shared" si="11"/>
        <v>-366</v>
      </c>
      <c r="G19" s="123">
        <f t="shared" si="11"/>
        <v>215</v>
      </c>
      <c r="H19" s="123">
        <f t="shared" si="11"/>
        <v>5753</v>
      </c>
      <c r="I19" s="123">
        <f t="shared" si="11"/>
        <v>5390</v>
      </c>
      <c r="J19" s="123">
        <f t="shared" si="11"/>
        <v>363</v>
      </c>
    </row>
    <row r="20" s="104" customFormat="1" ht="22.5" customHeight="1" spans="1:10">
      <c r="A20" s="122" t="s">
        <v>2293</v>
      </c>
      <c r="B20" s="123">
        <f t="shared" ref="B20:J20" si="12">B6+B19</f>
        <v>45286</v>
      </c>
      <c r="C20" s="123">
        <f t="shared" si="12"/>
        <v>42899</v>
      </c>
      <c r="D20" s="123">
        <f t="shared" si="12"/>
        <v>2387</v>
      </c>
      <c r="E20" s="123">
        <f t="shared" si="12"/>
        <v>-182</v>
      </c>
      <c r="F20" s="123">
        <f t="shared" si="12"/>
        <v>-863</v>
      </c>
      <c r="G20" s="123">
        <f t="shared" si="12"/>
        <v>681</v>
      </c>
      <c r="H20" s="123">
        <f t="shared" si="12"/>
        <v>45104</v>
      </c>
      <c r="I20" s="123">
        <f t="shared" si="12"/>
        <v>42036</v>
      </c>
      <c r="J20" s="123">
        <f t="shared" si="12"/>
        <v>3068</v>
      </c>
    </row>
    <row r="21" s="103" customFormat="1" ht="40.5" customHeight="1" spans="1:10">
      <c r="A21" s="128" t="s">
        <v>2294</v>
      </c>
      <c r="B21" s="128"/>
      <c r="C21" s="128"/>
      <c r="D21" s="128"/>
      <c r="E21" s="128"/>
      <c r="F21" s="128"/>
      <c r="G21" s="128"/>
      <c r="H21" s="128"/>
      <c r="I21" s="128"/>
      <c r="J21" s="128"/>
    </row>
  </sheetData>
  <mergeCells count="6">
    <mergeCell ref="A2:J2"/>
    <mergeCell ref="B4:D4"/>
    <mergeCell ref="E4:G4"/>
    <mergeCell ref="H4:J4"/>
    <mergeCell ref="A21:J21"/>
    <mergeCell ref="A4:A5"/>
  </mergeCells>
  <printOptions horizontalCentered="1"/>
  <pageMargins left="0.707638888888889" right="0.707638888888889" top="0.707638888888889" bottom="0.707638888888889" header="0.507638888888889" footer="0.507638888888889"/>
  <pageSetup paperSize="9" scale="90" firstPageNumber="10" orientation="landscape" useFirstPageNumber="1"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C2:F13"/>
  <sheetViews>
    <sheetView workbookViewId="0">
      <selection activeCell="I13" sqref="I13"/>
    </sheetView>
  </sheetViews>
  <sheetFormatPr defaultColWidth="9" defaultRowHeight="13.5" outlineLevelCol="5"/>
  <cols>
    <col min="1" max="2" width="9" style="62"/>
    <col min="3" max="3" width="26.875" style="62" customWidth="1"/>
    <col min="4" max="4" width="12.5" style="62" customWidth="1"/>
    <col min="5" max="5" width="9" style="62"/>
    <col min="6" max="6" width="9.375" style="62"/>
    <col min="7" max="16384" width="9" style="62"/>
  </cols>
  <sheetData>
    <row r="2" s="62" customFormat="1" spans="4:5">
      <c r="D2" s="62" t="s">
        <v>16</v>
      </c>
      <c r="E2" s="62" t="s">
        <v>17</v>
      </c>
    </row>
    <row r="4" s="62" customFormat="1" spans="3:6">
      <c r="C4" s="62" t="s">
        <v>18</v>
      </c>
      <c r="D4" s="62">
        <v>10441</v>
      </c>
      <c r="E4" s="62">
        <v>0</v>
      </c>
      <c r="F4" s="62">
        <f>D4-E4</f>
        <v>10441</v>
      </c>
    </row>
    <row r="5" s="62" customFormat="1" spans="3:6">
      <c r="C5" s="62" t="s">
        <v>19</v>
      </c>
      <c r="D5" s="766">
        <f>项目支出!W317-D4</f>
        <v>27341.972625</v>
      </c>
      <c r="E5" s="62">
        <v>23272</v>
      </c>
      <c r="F5" s="62">
        <f>D5-E5</f>
        <v>4069.97262499999</v>
      </c>
    </row>
    <row r="7" s="62" customFormat="1" spans="3:6">
      <c r="C7" s="767" t="s">
        <v>20</v>
      </c>
      <c r="D7" s="767">
        <f>12000+1050+1740</f>
        <v>14790</v>
      </c>
      <c r="E7" s="62">
        <v>6625</v>
      </c>
      <c r="F7" s="62">
        <f>D7-E7</f>
        <v>8165</v>
      </c>
    </row>
    <row r="8" s="62" customFormat="1" spans="3:6">
      <c r="C8" s="62" t="s">
        <v>21</v>
      </c>
      <c r="D8" s="768">
        <v>3413</v>
      </c>
      <c r="E8" s="62">
        <v>5885</v>
      </c>
      <c r="F8" s="62">
        <f>D8-E8</f>
        <v>-2472</v>
      </c>
    </row>
    <row r="9" s="62" customFormat="1" spans="3:6">
      <c r="C9" s="769" t="s">
        <v>22</v>
      </c>
      <c r="D9" s="770">
        <f>SUM(D3:D8)</f>
        <v>55985.972625</v>
      </c>
      <c r="E9" s="62">
        <f>SUM(E3:E8)</f>
        <v>35782</v>
      </c>
      <c r="F9" s="62">
        <f>D9-E9</f>
        <v>20203.972625</v>
      </c>
    </row>
    <row r="13" s="62" customFormat="1" spans="3:4">
      <c r="C13" s="767"/>
      <c r="D13" s="767"/>
    </row>
  </sheetData>
  <pageMargins left="0.75" right="0.75" top="1" bottom="1" header="0.509027777777778" footer="0.509027777777778"/>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121"/>
  <sheetViews>
    <sheetView view="pageBreakPreview" zoomScale="85" zoomScaleNormal="100" zoomScaleSheetLayoutView="85" workbookViewId="0">
      <pane xSplit="11" ySplit="4" topLeftCell="L112" activePane="bottomRight" state="frozen"/>
      <selection/>
      <selection pane="topRight"/>
      <selection pane="bottomLeft"/>
      <selection pane="bottomRight" activeCell="J108" sqref="J108"/>
    </sheetView>
  </sheetViews>
  <sheetFormatPr defaultColWidth="9" defaultRowHeight="13.5"/>
  <cols>
    <col min="1" max="1" width="9" style="62"/>
    <col min="2" max="2" width="12.625" style="62" customWidth="1"/>
    <col min="3" max="3" width="14.5" style="62" customWidth="1"/>
    <col min="4" max="4" width="9.625" style="62" customWidth="1"/>
    <col min="5" max="5" width="25.625" style="62" customWidth="1"/>
    <col min="6" max="6" width="15.375" style="64" customWidth="1"/>
    <col min="7" max="7" width="28.25" style="62" customWidth="1"/>
    <col min="8" max="8" width="40.5" style="62" customWidth="1"/>
    <col min="9" max="9" width="16.625" style="62" customWidth="1"/>
    <col min="10" max="10" width="18.5333333333333" style="62" customWidth="1"/>
    <col min="11" max="11" width="34.625" style="62" customWidth="1"/>
    <col min="12" max="16384" width="9" style="62"/>
  </cols>
  <sheetData>
    <row r="1" spans="1:1">
      <c r="A1" s="9"/>
    </row>
    <row r="2" s="62" customFormat="1" ht="40" customHeight="1" spans="1:22">
      <c r="A2" s="65" t="s">
        <v>2295</v>
      </c>
      <c r="B2" s="65"/>
      <c r="C2" s="65"/>
      <c r="D2" s="65"/>
      <c r="E2" s="65"/>
      <c r="F2" s="65"/>
      <c r="G2" s="65"/>
      <c r="H2" s="65"/>
      <c r="I2" s="65"/>
      <c r="J2" s="65"/>
      <c r="K2" s="65"/>
      <c r="L2" s="61"/>
      <c r="M2" s="61"/>
      <c r="N2" s="62" t="s">
        <v>2296</v>
      </c>
      <c r="O2" s="61"/>
      <c r="P2" s="61"/>
      <c r="Q2" s="61"/>
      <c r="R2" s="61"/>
      <c r="S2" s="61"/>
      <c r="T2" s="61"/>
      <c r="U2" s="61"/>
      <c r="V2" s="61"/>
    </row>
    <row r="3" s="62" customFormat="1" ht="19" customHeight="1" spans="1:14">
      <c r="A3" s="63"/>
      <c r="B3" s="63"/>
      <c r="C3" s="63"/>
      <c r="D3" s="63"/>
      <c r="E3" s="63"/>
      <c r="F3" s="66"/>
      <c r="G3" s="63"/>
      <c r="H3" s="63"/>
      <c r="I3" s="63"/>
      <c r="J3" s="63"/>
      <c r="K3" s="66" t="s">
        <v>2</v>
      </c>
      <c r="N3" s="62" t="s">
        <v>2297</v>
      </c>
    </row>
    <row r="4" s="62" customFormat="1" ht="28" customHeight="1" spans="1:14">
      <c r="A4" s="67" t="s">
        <v>155</v>
      </c>
      <c r="B4" s="67" t="s">
        <v>1200</v>
      </c>
      <c r="C4" s="67" t="s">
        <v>2298</v>
      </c>
      <c r="D4" s="67" t="s">
        <v>2299</v>
      </c>
      <c r="E4" s="67" t="s">
        <v>2300</v>
      </c>
      <c r="F4" s="67" t="s">
        <v>833</v>
      </c>
      <c r="G4" s="67" t="s">
        <v>157</v>
      </c>
      <c r="H4" s="67" t="s">
        <v>1202</v>
      </c>
      <c r="I4" s="86" t="s">
        <v>2301</v>
      </c>
      <c r="J4" s="87" t="s">
        <v>2302</v>
      </c>
      <c r="K4" s="67" t="s">
        <v>26</v>
      </c>
      <c r="N4" s="62" t="s">
        <v>838</v>
      </c>
    </row>
    <row r="5" s="63" customFormat="1" ht="28" customHeight="1" outlineLevel="2" spans="1:14">
      <c r="A5" s="68">
        <v>1</v>
      </c>
      <c r="B5" s="68" t="s">
        <v>2303</v>
      </c>
      <c r="C5" s="69" t="s">
        <v>2304</v>
      </c>
      <c r="D5" s="70" t="s">
        <v>2305</v>
      </c>
      <c r="E5" s="71" t="s">
        <v>886</v>
      </c>
      <c r="F5" s="72" t="s">
        <v>2297</v>
      </c>
      <c r="G5" s="73" t="s">
        <v>1246</v>
      </c>
      <c r="H5" s="73" t="s">
        <v>817</v>
      </c>
      <c r="I5" s="88">
        <v>26.4</v>
      </c>
      <c r="J5" s="88">
        <v>26.4</v>
      </c>
      <c r="K5" s="73" t="s">
        <v>2306</v>
      </c>
      <c r="L5" s="63">
        <v>2023</v>
      </c>
      <c r="N5" s="62" t="s">
        <v>2307</v>
      </c>
    </row>
    <row r="6" s="63" customFormat="1" ht="28" customHeight="1" outlineLevel="2" spans="1:14">
      <c r="A6" s="68">
        <v>1</v>
      </c>
      <c r="B6" s="68"/>
      <c r="C6" s="69" t="s">
        <v>2304</v>
      </c>
      <c r="D6" s="70" t="s">
        <v>2305</v>
      </c>
      <c r="E6" s="71"/>
      <c r="F6" s="72" t="s">
        <v>2296</v>
      </c>
      <c r="G6" s="73" t="s">
        <v>2308</v>
      </c>
      <c r="H6" s="73" t="s">
        <v>2309</v>
      </c>
      <c r="I6" s="88">
        <v>1600</v>
      </c>
      <c r="J6" s="88"/>
      <c r="K6" s="73"/>
      <c r="N6" s="62"/>
    </row>
    <row r="7" s="63" customFormat="1" ht="28" customHeight="1" outlineLevel="1" spans="1:14">
      <c r="A7" s="67"/>
      <c r="B7" s="67"/>
      <c r="C7" s="74"/>
      <c r="D7" s="75" t="s">
        <v>2310</v>
      </c>
      <c r="E7" s="76"/>
      <c r="F7" s="77"/>
      <c r="G7" s="78"/>
      <c r="H7" s="78"/>
      <c r="I7" s="89">
        <f>SUBTOTAL(9,I5:I6)</f>
        <v>1626.4</v>
      </c>
      <c r="J7" s="89">
        <f>SUBTOTAL(9,J5:J6)</f>
        <v>26.4</v>
      </c>
      <c r="K7" s="78"/>
      <c r="N7" s="62"/>
    </row>
    <row r="8" s="63" customFormat="1" ht="28" customHeight="1" outlineLevel="2" spans="1:12">
      <c r="A8" s="68">
        <v>2</v>
      </c>
      <c r="B8" s="68" t="s">
        <v>2311</v>
      </c>
      <c r="C8" s="69" t="s">
        <v>2304</v>
      </c>
      <c r="D8" s="70" t="s">
        <v>2312</v>
      </c>
      <c r="E8" s="71" t="s">
        <v>2313</v>
      </c>
      <c r="F8" s="72" t="s">
        <v>2297</v>
      </c>
      <c r="G8" s="73" t="s">
        <v>2314</v>
      </c>
      <c r="H8" s="73" t="s">
        <v>817</v>
      </c>
      <c r="I8" s="88">
        <v>12.62</v>
      </c>
      <c r="J8" s="88">
        <v>12.62</v>
      </c>
      <c r="K8" s="73" t="s">
        <v>2315</v>
      </c>
      <c r="L8" s="63">
        <v>2023</v>
      </c>
    </row>
    <row r="9" s="63" customFormat="1" ht="28" customHeight="1" outlineLevel="2" spans="1:12">
      <c r="A9" s="68">
        <v>3</v>
      </c>
      <c r="B9" s="68" t="s">
        <v>2311</v>
      </c>
      <c r="C9" s="69" t="s">
        <v>2304</v>
      </c>
      <c r="D9" s="70" t="s">
        <v>2312</v>
      </c>
      <c r="E9" s="71" t="s">
        <v>2313</v>
      </c>
      <c r="F9" s="72" t="s">
        <v>838</v>
      </c>
      <c r="G9" s="73" t="s">
        <v>2314</v>
      </c>
      <c r="H9" s="73" t="s">
        <v>1923</v>
      </c>
      <c r="I9" s="88">
        <v>25.51</v>
      </c>
      <c r="J9" s="88">
        <v>25.51</v>
      </c>
      <c r="K9" s="73" t="s">
        <v>2316</v>
      </c>
      <c r="L9" s="63">
        <v>2023</v>
      </c>
    </row>
    <row r="10" s="63" customFormat="1" ht="28" customHeight="1" outlineLevel="1" spans="1:11">
      <c r="A10" s="67"/>
      <c r="B10" s="67"/>
      <c r="C10" s="74"/>
      <c r="D10" s="75" t="s">
        <v>2317</v>
      </c>
      <c r="E10" s="76"/>
      <c r="F10" s="77"/>
      <c r="G10" s="78"/>
      <c r="H10" s="78"/>
      <c r="I10" s="89">
        <f>SUBTOTAL(9,I8:I9)</f>
        <v>38.13</v>
      </c>
      <c r="J10" s="89">
        <f>SUBTOTAL(9,J8:J9)</f>
        <v>38.13</v>
      </c>
      <c r="K10" s="78"/>
    </row>
    <row r="11" s="63" customFormat="1" ht="28" customHeight="1" outlineLevel="2" spans="1:12">
      <c r="A11" s="68">
        <v>4</v>
      </c>
      <c r="B11" s="68" t="s">
        <v>2311</v>
      </c>
      <c r="C11" s="69" t="s">
        <v>2304</v>
      </c>
      <c r="D11" s="70" t="s">
        <v>2318</v>
      </c>
      <c r="E11" s="71" t="s">
        <v>1064</v>
      </c>
      <c r="F11" s="72" t="s">
        <v>2297</v>
      </c>
      <c r="G11" s="73" t="s">
        <v>1345</v>
      </c>
      <c r="H11" s="73" t="s">
        <v>817</v>
      </c>
      <c r="I11" s="88">
        <v>24.53</v>
      </c>
      <c r="J11" s="88">
        <v>24.53</v>
      </c>
      <c r="K11" s="73" t="s">
        <v>2315</v>
      </c>
      <c r="L11" s="63">
        <v>2023</v>
      </c>
    </row>
    <row r="12" s="63" customFormat="1" ht="28" customHeight="1" outlineLevel="2" spans="1:12">
      <c r="A12" s="68">
        <v>5</v>
      </c>
      <c r="B12" s="68" t="s">
        <v>2311</v>
      </c>
      <c r="C12" s="69" t="s">
        <v>2304</v>
      </c>
      <c r="D12" s="70" t="s">
        <v>2318</v>
      </c>
      <c r="E12" s="71" t="s">
        <v>1064</v>
      </c>
      <c r="F12" s="72" t="s">
        <v>838</v>
      </c>
      <c r="G12" s="73" t="s">
        <v>1345</v>
      </c>
      <c r="H12" s="73" t="s">
        <v>1923</v>
      </c>
      <c r="I12" s="88">
        <v>49.57</v>
      </c>
      <c r="J12" s="88">
        <v>49.57</v>
      </c>
      <c r="K12" s="73" t="s">
        <v>2316</v>
      </c>
      <c r="L12" s="63">
        <v>2023</v>
      </c>
    </row>
    <row r="13" s="63" customFormat="1" ht="28" customHeight="1" outlineLevel="1" spans="1:11">
      <c r="A13" s="67"/>
      <c r="B13" s="67"/>
      <c r="C13" s="74"/>
      <c r="D13" s="75" t="s">
        <v>2319</v>
      </c>
      <c r="E13" s="76"/>
      <c r="F13" s="77"/>
      <c r="G13" s="78"/>
      <c r="H13" s="78"/>
      <c r="I13" s="89">
        <f>SUBTOTAL(9,I11:I12)</f>
        <v>74.1</v>
      </c>
      <c r="J13" s="89">
        <f>SUBTOTAL(9,J11:J12)</f>
        <v>74.1</v>
      </c>
      <c r="K13" s="78"/>
    </row>
    <row r="14" s="63" customFormat="1" ht="28" customHeight="1" outlineLevel="2" spans="1:12">
      <c r="A14" s="68">
        <v>6</v>
      </c>
      <c r="B14" s="68" t="s">
        <v>2303</v>
      </c>
      <c r="C14" s="69" t="s">
        <v>2304</v>
      </c>
      <c r="D14" s="70" t="s">
        <v>2305</v>
      </c>
      <c r="E14" s="71" t="s">
        <v>2320</v>
      </c>
      <c r="F14" s="72" t="s">
        <v>2321</v>
      </c>
      <c r="G14" s="71" t="s">
        <v>1228</v>
      </c>
      <c r="H14" s="73" t="s">
        <v>2322</v>
      </c>
      <c r="I14" s="88">
        <v>1.53</v>
      </c>
      <c r="J14" s="88">
        <v>1.53</v>
      </c>
      <c r="K14" s="90" t="s">
        <v>2323</v>
      </c>
      <c r="L14" s="63">
        <v>2022</v>
      </c>
    </row>
    <row r="15" s="63" customFormat="1" ht="28" customHeight="1" outlineLevel="2" spans="1:12">
      <c r="A15" s="68">
        <v>7</v>
      </c>
      <c r="B15" s="68" t="s">
        <v>2303</v>
      </c>
      <c r="C15" s="69" t="s">
        <v>2304</v>
      </c>
      <c r="D15" s="70" t="s">
        <v>2305</v>
      </c>
      <c r="E15" s="71" t="s">
        <v>2324</v>
      </c>
      <c r="F15" s="72" t="s">
        <v>2321</v>
      </c>
      <c r="G15" s="71" t="s">
        <v>1228</v>
      </c>
      <c r="H15" s="73" t="s">
        <v>2325</v>
      </c>
      <c r="I15" s="88">
        <v>50</v>
      </c>
      <c r="J15" s="88">
        <v>50</v>
      </c>
      <c r="K15" s="90" t="s">
        <v>2326</v>
      </c>
      <c r="L15" s="63">
        <v>2022</v>
      </c>
    </row>
    <row r="16" s="63" customFormat="1" ht="28" customHeight="1" outlineLevel="2" spans="1:12">
      <c r="A16" s="68">
        <v>8</v>
      </c>
      <c r="B16" s="68" t="s">
        <v>2303</v>
      </c>
      <c r="C16" s="69" t="s">
        <v>2304</v>
      </c>
      <c r="D16" s="70" t="s">
        <v>2305</v>
      </c>
      <c r="E16" s="71" t="s">
        <v>886</v>
      </c>
      <c r="F16" s="72" t="s">
        <v>2321</v>
      </c>
      <c r="G16" s="73" t="s">
        <v>1240</v>
      </c>
      <c r="H16" s="73" t="s">
        <v>2327</v>
      </c>
      <c r="I16" s="88">
        <v>5</v>
      </c>
      <c r="J16" s="88">
        <v>5</v>
      </c>
      <c r="K16" s="73" t="s">
        <v>2328</v>
      </c>
      <c r="L16" s="63">
        <v>2023</v>
      </c>
    </row>
    <row r="17" s="63" customFormat="1" ht="28" customHeight="1" outlineLevel="2" spans="1:12">
      <c r="A17" s="68">
        <v>9</v>
      </c>
      <c r="B17" s="68" t="s">
        <v>2303</v>
      </c>
      <c r="C17" s="69" t="s">
        <v>2304</v>
      </c>
      <c r="D17" s="70" t="s">
        <v>2305</v>
      </c>
      <c r="E17" s="71" t="s">
        <v>886</v>
      </c>
      <c r="F17" s="72" t="s">
        <v>2321</v>
      </c>
      <c r="G17" s="71" t="s">
        <v>1246</v>
      </c>
      <c r="H17" s="73" t="s">
        <v>2329</v>
      </c>
      <c r="I17" s="88">
        <v>0.848</v>
      </c>
      <c r="J17" s="88">
        <v>0.848</v>
      </c>
      <c r="K17" s="90" t="s">
        <v>2330</v>
      </c>
      <c r="L17" s="63">
        <v>2022</v>
      </c>
    </row>
    <row r="18" s="63" customFormat="1" ht="28" customHeight="1" outlineLevel="2" spans="1:12">
      <c r="A18" s="68">
        <v>10</v>
      </c>
      <c r="B18" s="68" t="s">
        <v>2331</v>
      </c>
      <c r="C18" s="69" t="s">
        <v>2304</v>
      </c>
      <c r="D18" s="70" t="s">
        <v>2305</v>
      </c>
      <c r="E18" s="71" t="s">
        <v>886</v>
      </c>
      <c r="F18" s="72" t="s">
        <v>2321</v>
      </c>
      <c r="G18" s="71" t="s">
        <v>1323</v>
      </c>
      <c r="H18" s="73" t="s">
        <v>2332</v>
      </c>
      <c r="I18" s="88">
        <v>12.24</v>
      </c>
      <c r="J18" s="88">
        <v>12.24</v>
      </c>
      <c r="K18" s="90" t="s">
        <v>2326</v>
      </c>
      <c r="L18" s="63">
        <v>2022</v>
      </c>
    </row>
    <row r="19" s="63" customFormat="1" ht="28" customHeight="1" outlineLevel="2" spans="1:12">
      <c r="A19" s="68">
        <v>11</v>
      </c>
      <c r="B19" s="68" t="s">
        <v>2311</v>
      </c>
      <c r="C19" s="69" t="s">
        <v>2304</v>
      </c>
      <c r="D19" s="70" t="s">
        <v>2305</v>
      </c>
      <c r="E19" s="71" t="s">
        <v>2333</v>
      </c>
      <c r="F19" s="72" t="s">
        <v>2321</v>
      </c>
      <c r="G19" s="71" t="s">
        <v>1215</v>
      </c>
      <c r="H19" s="73" t="s">
        <v>2334</v>
      </c>
      <c r="I19" s="88">
        <v>701.91</v>
      </c>
      <c r="J19" s="88">
        <v>310</v>
      </c>
      <c r="K19" s="90" t="s">
        <v>2326</v>
      </c>
      <c r="L19" s="63">
        <v>2022</v>
      </c>
    </row>
    <row r="20" s="63" customFormat="1" ht="28" customHeight="1" outlineLevel="1" spans="1:11">
      <c r="A20" s="67"/>
      <c r="B20" s="67"/>
      <c r="C20" s="74"/>
      <c r="D20" s="75" t="s">
        <v>2310</v>
      </c>
      <c r="E20" s="76"/>
      <c r="F20" s="77"/>
      <c r="G20" s="76"/>
      <c r="H20" s="78"/>
      <c r="I20" s="89">
        <f>SUBTOTAL(9,I14:I19)</f>
        <v>771.528</v>
      </c>
      <c r="J20" s="89">
        <f>SUBTOTAL(9,J14:J19)</f>
        <v>379.618</v>
      </c>
      <c r="K20" s="91"/>
    </row>
    <row r="21" s="63" customFormat="1" ht="28" customHeight="1" outlineLevel="2" spans="1:12">
      <c r="A21" s="68">
        <v>12</v>
      </c>
      <c r="B21" s="70" t="s">
        <v>2331</v>
      </c>
      <c r="C21" s="69" t="s">
        <v>2304</v>
      </c>
      <c r="D21" s="70" t="s">
        <v>2335</v>
      </c>
      <c r="E21" s="71" t="s">
        <v>2336</v>
      </c>
      <c r="F21" s="70" t="s">
        <v>2321</v>
      </c>
      <c r="G21" s="79" t="s">
        <v>1323</v>
      </c>
      <c r="H21" s="80" t="s">
        <v>2337</v>
      </c>
      <c r="I21" s="92">
        <v>150</v>
      </c>
      <c r="J21" s="93">
        <v>150</v>
      </c>
      <c r="K21" s="94" t="s">
        <v>2338</v>
      </c>
      <c r="L21" s="63">
        <v>2023</v>
      </c>
    </row>
    <row r="22" s="63" customFormat="1" ht="28" customHeight="1" outlineLevel="1" spans="1:11">
      <c r="A22" s="67"/>
      <c r="B22" s="75"/>
      <c r="C22" s="74"/>
      <c r="D22" s="75" t="s">
        <v>2339</v>
      </c>
      <c r="E22" s="76"/>
      <c r="F22" s="75"/>
      <c r="G22" s="81"/>
      <c r="H22" s="82"/>
      <c r="I22" s="95">
        <f>SUBTOTAL(9,I21)</f>
        <v>150</v>
      </c>
      <c r="J22" s="95">
        <f>SUBTOTAL(9,J21)</f>
        <v>150</v>
      </c>
      <c r="K22" s="96"/>
    </row>
    <row r="23" s="63" customFormat="1" ht="28" customHeight="1" outlineLevel="2" spans="1:12">
      <c r="A23" s="68">
        <v>13</v>
      </c>
      <c r="B23" s="70" t="s">
        <v>2340</v>
      </c>
      <c r="C23" s="69" t="s">
        <v>2304</v>
      </c>
      <c r="D23" s="70" t="s">
        <v>2341</v>
      </c>
      <c r="E23" s="71" t="s">
        <v>2342</v>
      </c>
      <c r="F23" s="70" t="s">
        <v>2321</v>
      </c>
      <c r="G23" s="79" t="s">
        <v>1368</v>
      </c>
      <c r="H23" s="80" t="s">
        <v>2343</v>
      </c>
      <c r="I23" s="92">
        <v>30</v>
      </c>
      <c r="J23" s="93">
        <v>0</v>
      </c>
      <c r="K23" s="94" t="s">
        <v>2344</v>
      </c>
      <c r="L23" s="63">
        <v>2023</v>
      </c>
    </row>
    <row r="24" s="63" customFormat="1" ht="28" customHeight="1" outlineLevel="2" spans="1:12">
      <c r="A24" s="68">
        <v>14</v>
      </c>
      <c r="B24" s="70" t="s">
        <v>2345</v>
      </c>
      <c r="C24" s="69" t="s">
        <v>2304</v>
      </c>
      <c r="D24" s="70" t="s">
        <v>2341</v>
      </c>
      <c r="E24" s="54" t="s">
        <v>2346</v>
      </c>
      <c r="F24" s="70" t="s">
        <v>2321</v>
      </c>
      <c r="G24" s="79" t="s">
        <v>2347</v>
      </c>
      <c r="H24" s="80" t="s">
        <v>2348</v>
      </c>
      <c r="I24" s="92">
        <v>68.32</v>
      </c>
      <c r="J24" s="93">
        <v>68.32</v>
      </c>
      <c r="K24" s="94" t="s">
        <v>2349</v>
      </c>
      <c r="L24" s="63">
        <v>2023</v>
      </c>
    </row>
    <row r="25" s="63" customFormat="1" ht="28" customHeight="1" outlineLevel="1" spans="1:11">
      <c r="A25" s="67"/>
      <c r="B25" s="75"/>
      <c r="C25" s="74"/>
      <c r="D25" s="75" t="s">
        <v>2350</v>
      </c>
      <c r="E25" s="83"/>
      <c r="F25" s="75"/>
      <c r="G25" s="81"/>
      <c r="H25" s="82"/>
      <c r="I25" s="95">
        <f>SUBTOTAL(9,I23:I24)</f>
        <v>98.32</v>
      </c>
      <c r="J25" s="95">
        <f>SUBTOTAL(9,J23:J24)</f>
        <v>68.32</v>
      </c>
      <c r="K25" s="96"/>
    </row>
    <row r="26" s="63" customFormat="1" ht="28" customHeight="1" outlineLevel="2" spans="1:12">
      <c r="A26" s="68">
        <v>15</v>
      </c>
      <c r="B26" s="70" t="s">
        <v>2340</v>
      </c>
      <c r="C26" s="69" t="s">
        <v>2304</v>
      </c>
      <c r="D26" s="70" t="s">
        <v>2351</v>
      </c>
      <c r="E26" s="71" t="s">
        <v>2352</v>
      </c>
      <c r="F26" s="70" t="s">
        <v>2321</v>
      </c>
      <c r="G26" s="79" t="s">
        <v>1428</v>
      </c>
      <c r="H26" s="80" t="s">
        <v>2353</v>
      </c>
      <c r="I26" s="92">
        <v>23.35</v>
      </c>
      <c r="J26" s="93">
        <v>23.35</v>
      </c>
      <c r="K26" s="94" t="s">
        <v>2354</v>
      </c>
      <c r="L26" s="63">
        <v>2023</v>
      </c>
    </row>
    <row r="27" s="63" customFormat="1" ht="28" customHeight="1" outlineLevel="1" spans="1:11">
      <c r="A27" s="67"/>
      <c r="B27" s="75"/>
      <c r="C27" s="74"/>
      <c r="D27" s="75" t="s">
        <v>2355</v>
      </c>
      <c r="E27" s="76"/>
      <c r="F27" s="75"/>
      <c r="G27" s="81"/>
      <c r="H27" s="82"/>
      <c r="I27" s="95">
        <f>SUBTOTAL(9,I26)</f>
        <v>23.35</v>
      </c>
      <c r="J27" s="95">
        <f>SUBTOTAL(9,J26)</f>
        <v>23.35</v>
      </c>
      <c r="K27" s="96"/>
    </row>
    <row r="28" s="63" customFormat="1" ht="28" customHeight="1" outlineLevel="2" spans="1:12">
      <c r="A28" s="68">
        <v>16</v>
      </c>
      <c r="B28" s="68" t="s">
        <v>2356</v>
      </c>
      <c r="C28" s="69" t="s">
        <v>2304</v>
      </c>
      <c r="D28" s="70" t="s">
        <v>2357</v>
      </c>
      <c r="E28" s="71" t="s">
        <v>1509</v>
      </c>
      <c r="F28" s="72" t="s">
        <v>2321</v>
      </c>
      <c r="G28" s="71" t="s">
        <v>2358</v>
      </c>
      <c r="H28" s="73" t="s">
        <v>2359</v>
      </c>
      <c r="I28" s="88">
        <v>5.8</v>
      </c>
      <c r="J28" s="88">
        <v>5.8</v>
      </c>
      <c r="K28" s="90" t="s">
        <v>2360</v>
      </c>
      <c r="L28" s="63">
        <v>2021</v>
      </c>
    </row>
    <row r="29" s="63" customFormat="1" ht="28" customHeight="1" outlineLevel="2" spans="1:12">
      <c r="A29" s="68">
        <v>17</v>
      </c>
      <c r="B29" s="70" t="s">
        <v>2356</v>
      </c>
      <c r="C29" s="69" t="s">
        <v>2304</v>
      </c>
      <c r="D29" s="70" t="s">
        <v>2357</v>
      </c>
      <c r="E29" s="69" t="s">
        <v>1509</v>
      </c>
      <c r="F29" s="70" t="s">
        <v>2321</v>
      </c>
      <c r="G29" s="79" t="s">
        <v>2361</v>
      </c>
      <c r="H29" s="80" t="s">
        <v>2362</v>
      </c>
      <c r="I29" s="92">
        <v>20</v>
      </c>
      <c r="J29" s="93">
        <v>0</v>
      </c>
      <c r="K29" s="94" t="s">
        <v>2363</v>
      </c>
      <c r="L29" s="63">
        <v>2023</v>
      </c>
    </row>
    <row r="30" s="63" customFormat="1" ht="28" customHeight="1" outlineLevel="2" spans="1:12">
      <c r="A30" s="68">
        <v>18</v>
      </c>
      <c r="B30" s="70" t="s">
        <v>2356</v>
      </c>
      <c r="C30" s="69" t="s">
        <v>2304</v>
      </c>
      <c r="D30" s="70" t="s">
        <v>2357</v>
      </c>
      <c r="E30" s="69" t="s">
        <v>1509</v>
      </c>
      <c r="F30" s="70" t="s">
        <v>2321</v>
      </c>
      <c r="G30" s="79" t="s">
        <v>2361</v>
      </c>
      <c r="H30" s="80" t="s">
        <v>2364</v>
      </c>
      <c r="I30" s="92">
        <v>11.55</v>
      </c>
      <c r="J30" s="93">
        <v>0</v>
      </c>
      <c r="K30" s="94" t="s">
        <v>2363</v>
      </c>
      <c r="L30" s="63">
        <v>2023</v>
      </c>
    </row>
    <row r="31" s="63" customFormat="1" ht="28" customHeight="1" outlineLevel="2" spans="1:12">
      <c r="A31" s="68">
        <v>19</v>
      </c>
      <c r="B31" s="70" t="s">
        <v>2356</v>
      </c>
      <c r="C31" s="69" t="s">
        <v>2304</v>
      </c>
      <c r="D31" s="70" t="s">
        <v>2357</v>
      </c>
      <c r="E31" s="84" t="s">
        <v>1509</v>
      </c>
      <c r="F31" s="70" t="s">
        <v>2321</v>
      </c>
      <c r="G31" s="79" t="s">
        <v>2361</v>
      </c>
      <c r="H31" s="80" t="s">
        <v>2365</v>
      </c>
      <c r="I31" s="92">
        <v>30</v>
      </c>
      <c r="J31" s="93">
        <v>28.8</v>
      </c>
      <c r="K31" s="94" t="s">
        <v>2363</v>
      </c>
      <c r="L31" s="63">
        <v>2023</v>
      </c>
    </row>
    <row r="32" s="63" customFormat="1" ht="28" customHeight="1" outlineLevel="2" spans="1:12">
      <c r="A32" s="68">
        <v>20</v>
      </c>
      <c r="B32" s="70" t="s">
        <v>2356</v>
      </c>
      <c r="C32" s="69" t="s">
        <v>2304</v>
      </c>
      <c r="D32" s="70" t="s">
        <v>2357</v>
      </c>
      <c r="E32" s="69" t="s">
        <v>1509</v>
      </c>
      <c r="F32" s="70" t="s">
        <v>2321</v>
      </c>
      <c r="G32" s="79" t="s">
        <v>2361</v>
      </c>
      <c r="H32" s="80" t="s">
        <v>2366</v>
      </c>
      <c r="I32" s="92">
        <v>15</v>
      </c>
      <c r="J32" s="93">
        <v>0</v>
      </c>
      <c r="K32" s="94" t="s">
        <v>2363</v>
      </c>
      <c r="L32" s="63">
        <v>2023</v>
      </c>
    </row>
    <row r="33" s="63" customFormat="1" ht="28" customHeight="1" outlineLevel="2" spans="1:12">
      <c r="A33" s="68">
        <v>21</v>
      </c>
      <c r="B33" s="70" t="s">
        <v>2356</v>
      </c>
      <c r="C33" s="69" t="s">
        <v>2304</v>
      </c>
      <c r="D33" s="70" t="s">
        <v>2357</v>
      </c>
      <c r="E33" s="69" t="s">
        <v>1509</v>
      </c>
      <c r="F33" s="70" t="s">
        <v>2321</v>
      </c>
      <c r="G33" s="79" t="s">
        <v>2361</v>
      </c>
      <c r="H33" s="80" t="s">
        <v>2367</v>
      </c>
      <c r="I33" s="92">
        <v>1338.47</v>
      </c>
      <c r="J33" s="93">
        <v>100</v>
      </c>
      <c r="K33" s="94" t="s">
        <v>2363</v>
      </c>
      <c r="L33" s="63">
        <v>2023</v>
      </c>
    </row>
    <row r="34" s="63" customFormat="1" ht="28" customHeight="1" outlineLevel="2" spans="1:12">
      <c r="A34" s="68">
        <v>22</v>
      </c>
      <c r="B34" s="70" t="s">
        <v>2356</v>
      </c>
      <c r="C34" s="69" t="s">
        <v>2304</v>
      </c>
      <c r="D34" s="70" t="s">
        <v>2357</v>
      </c>
      <c r="E34" s="69" t="s">
        <v>1509</v>
      </c>
      <c r="F34" s="70" t="s">
        <v>2321</v>
      </c>
      <c r="G34" s="79" t="s">
        <v>1496</v>
      </c>
      <c r="H34" s="80" t="s">
        <v>2368</v>
      </c>
      <c r="I34" s="92">
        <v>150</v>
      </c>
      <c r="J34" s="93">
        <v>150</v>
      </c>
      <c r="K34" s="94" t="s">
        <v>2369</v>
      </c>
      <c r="L34" s="63">
        <v>2023</v>
      </c>
    </row>
    <row r="35" s="63" customFormat="1" ht="28" customHeight="1" outlineLevel="2" spans="1:12">
      <c r="A35" s="68">
        <v>23</v>
      </c>
      <c r="B35" s="70" t="s">
        <v>2356</v>
      </c>
      <c r="C35" s="69" t="s">
        <v>2304</v>
      </c>
      <c r="D35" s="70" t="s">
        <v>2357</v>
      </c>
      <c r="E35" s="69" t="s">
        <v>1509</v>
      </c>
      <c r="F35" s="70" t="s">
        <v>2321</v>
      </c>
      <c r="G35" s="79" t="s">
        <v>1500</v>
      </c>
      <c r="H35" s="80" t="s">
        <v>2370</v>
      </c>
      <c r="I35" s="92">
        <v>20</v>
      </c>
      <c r="J35" s="93">
        <v>20</v>
      </c>
      <c r="K35" s="94" t="s">
        <v>2369</v>
      </c>
      <c r="L35" s="63">
        <v>2023</v>
      </c>
    </row>
    <row r="36" s="63" customFormat="1" ht="28" customHeight="1" outlineLevel="2" spans="1:12">
      <c r="A36" s="68">
        <v>24</v>
      </c>
      <c r="B36" s="70" t="s">
        <v>2356</v>
      </c>
      <c r="C36" s="69" t="s">
        <v>2304</v>
      </c>
      <c r="D36" s="70" t="s">
        <v>2357</v>
      </c>
      <c r="E36" s="69" t="s">
        <v>1509</v>
      </c>
      <c r="F36" s="70" t="s">
        <v>2321</v>
      </c>
      <c r="G36" s="79" t="s">
        <v>1506</v>
      </c>
      <c r="H36" s="80" t="s">
        <v>2371</v>
      </c>
      <c r="I36" s="92">
        <v>55</v>
      </c>
      <c r="J36" s="93">
        <v>55</v>
      </c>
      <c r="K36" s="94" t="s">
        <v>2369</v>
      </c>
      <c r="L36" s="63">
        <v>2023</v>
      </c>
    </row>
    <row r="37" s="63" customFormat="1" ht="28" customHeight="1" outlineLevel="2" spans="1:12">
      <c r="A37" s="68">
        <v>25</v>
      </c>
      <c r="B37" s="70" t="s">
        <v>2356</v>
      </c>
      <c r="C37" s="69" t="s">
        <v>2304</v>
      </c>
      <c r="D37" s="70" t="s">
        <v>2357</v>
      </c>
      <c r="E37" s="69" t="s">
        <v>1509</v>
      </c>
      <c r="F37" s="70" t="s">
        <v>2321</v>
      </c>
      <c r="G37" s="79" t="s">
        <v>1504</v>
      </c>
      <c r="H37" s="80" t="s">
        <v>2372</v>
      </c>
      <c r="I37" s="92">
        <v>40</v>
      </c>
      <c r="J37" s="93">
        <v>40</v>
      </c>
      <c r="K37" s="94" t="s">
        <v>2369</v>
      </c>
      <c r="L37" s="63">
        <v>2023</v>
      </c>
    </row>
    <row r="38" s="63" customFormat="1" ht="28" customHeight="1" outlineLevel="2" spans="1:12">
      <c r="A38" s="68">
        <v>26</v>
      </c>
      <c r="B38" s="70" t="s">
        <v>2356</v>
      </c>
      <c r="C38" s="69" t="s">
        <v>2304</v>
      </c>
      <c r="D38" s="70" t="s">
        <v>2357</v>
      </c>
      <c r="E38" s="69" t="s">
        <v>1509</v>
      </c>
      <c r="F38" s="70" t="s">
        <v>2321</v>
      </c>
      <c r="G38" s="79" t="s">
        <v>1361</v>
      </c>
      <c r="H38" s="80" t="s">
        <v>2373</v>
      </c>
      <c r="I38" s="92">
        <v>50</v>
      </c>
      <c r="J38" s="93">
        <v>50</v>
      </c>
      <c r="K38" s="94" t="s">
        <v>2369</v>
      </c>
      <c r="L38" s="63">
        <v>2023</v>
      </c>
    </row>
    <row r="39" s="63" customFormat="1" ht="28" customHeight="1" outlineLevel="2" spans="1:12">
      <c r="A39" s="68">
        <v>27</v>
      </c>
      <c r="B39" s="70" t="s">
        <v>2356</v>
      </c>
      <c r="C39" s="69" t="s">
        <v>2304</v>
      </c>
      <c r="D39" s="70" t="s">
        <v>2357</v>
      </c>
      <c r="E39" s="69" t="s">
        <v>1509</v>
      </c>
      <c r="F39" s="70" t="s">
        <v>2321</v>
      </c>
      <c r="G39" s="79" t="s">
        <v>2361</v>
      </c>
      <c r="H39" s="80" t="s">
        <v>2374</v>
      </c>
      <c r="I39" s="92">
        <v>10</v>
      </c>
      <c r="J39" s="93">
        <v>10</v>
      </c>
      <c r="K39" s="94" t="s">
        <v>2375</v>
      </c>
      <c r="L39" s="63">
        <v>2023</v>
      </c>
    </row>
    <row r="40" s="63" customFormat="1" ht="28" customHeight="1" outlineLevel="2" spans="1:12">
      <c r="A40" s="68">
        <v>28</v>
      </c>
      <c r="B40" s="70" t="s">
        <v>2356</v>
      </c>
      <c r="C40" s="69" t="s">
        <v>2304</v>
      </c>
      <c r="D40" s="70" t="s">
        <v>2357</v>
      </c>
      <c r="E40" s="69" t="s">
        <v>2376</v>
      </c>
      <c r="F40" s="70" t="s">
        <v>2321</v>
      </c>
      <c r="G40" s="79" t="s">
        <v>2361</v>
      </c>
      <c r="H40" s="80" t="s">
        <v>2367</v>
      </c>
      <c r="I40" s="92">
        <v>5.783</v>
      </c>
      <c r="J40" s="93">
        <v>0</v>
      </c>
      <c r="K40" s="94" t="s">
        <v>2363</v>
      </c>
      <c r="L40" s="63">
        <v>2023</v>
      </c>
    </row>
    <row r="41" s="63" customFormat="1" ht="28" customHeight="1" outlineLevel="2" spans="1:12">
      <c r="A41" s="68">
        <v>29</v>
      </c>
      <c r="B41" s="68" t="s">
        <v>2303</v>
      </c>
      <c r="C41" s="69" t="s">
        <v>2304</v>
      </c>
      <c r="D41" s="70" t="s">
        <v>2357</v>
      </c>
      <c r="E41" s="71" t="s">
        <v>1512</v>
      </c>
      <c r="F41" s="72" t="s">
        <v>2321</v>
      </c>
      <c r="G41" s="73" t="s">
        <v>1561</v>
      </c>
      <c r="H41" s="73" t="s">
        <v>2377</v>
      </c>
      <c r="I41" s="88">
        <v>10</v>
      </c>
      <c r="J41" s="88">
        <v>10</v>
      </c>
      <c r="K41" s="73" t="s">
        <v>2328</v>
      </c>
      <c r="L41" s="63">
        <v>2023</v>
      </c>
    </row>
    <row r="42" s="63" customFormat="1" ht="28" customHeight="1" outlineLevel="2" spans="1:12">
      <c r="A42" s="68">
        <v>30</v>
      </c>
      <c r="B42" s="68" t="s">
        <v>2303</v>
      </c>
      <c r="C42" s="69" t="s">
        <v>2304</v>
      </c>
      <c r="D42" s="70" t="s">
        <v>2357</v>
      </c>
      <c r="E42" s="71" t="s">
        <v>1512</v>
      </c>
      <c r="F42" s="72" t="s">
        <v>2321</v>
      </c>
      <c r="G42" s="73" t="s">
        <v>1542</v>
      </c>
      <c r="H42" s="73" t="s">
        <v>2378</v>
      </c>
      <c r="I42" s="88">
        <v>24.41</v>
      </c>
      <c r="J42" s="88">
        <v>24.41</v>
      </c>
      <c r="K42" s="73" t="s">
        <v>2328</v>
      </c>
      <c r="L42" s="63">
        <v>2023</v>
      </c>
    </row>
    <row r="43" s="63" customFormat="1" ht="28" customHeight="1" outlineLevel="2" spans="1:12">
      <c r="A43" s="68">
        <v>31</v>
      </c>
      <c r="B43" s="70" t="s">
        <v>2356</v>
      </c>
      <c r="C43" s="69" t="s">
        <v>2304</v>
      </c>
      <c r="D43" s="70" t="s">
        <v>2357</v>
      </c>
      <c r="E43" s="71" t="s">
        <v>1512</v>
      </c>
      <c r="F43" s="70" t="s">
        <v>2321</v>
      </c>
      <c r="G43" s="79" t="s">
        <v>2361</v>
      </c>
      <c r="H43" s="80" t="s">
        <v>2379</v>
      </c>
      <c r="I43" s="92">
        <v>81.5</v>
      </c>
      <c r="J43" s="93">
        <v>66.6</v>
      </c>
      <c r="K43" s="94" t="s">
        <v>2363</v>
      </c>
      <c r="L43" s="63">
        <v>2023</v>
      </c>
    </row>
    <row r="44" s="63" customFormat="1" ht="28" customHeight="1" outlineLevel="2" spans="1:12">
      <c r="A44" s="68">
        <v>32</v>
      </c>
      <c r="B44" s="70" t="s">
        <v>2356</v>
      </c>
      <c r="C44" s="69" t="s">
        <v>2304</v>
      </c>
      <c r="D44" s="70" t="s">
        <v>2357</v>
      </c>
      <c r="E44" s="69" t="s">
        <v>1512</v>
      </c>
      <c r="F44" s="70" t="s">
        <v>2321</v>
      </c>
      <c r="G44" s="79" t="s">
        <v>2361</v>
      </c>
      <c r="H44" s="80" t="s">
        <v>2380</v>
      </c>
      <c r="I44" s="92">
        <v>7.3</v>
      </c>
      <c r="J44" s="93">
        <v>7.3</v>
      </c>
      <c r="K44" s="94" t="s">
        <v>2363</v>
      </c>
      <c r="L44" s="63">
        <v>2023</v>
      </c>
    </row>
    <row r="45" s="63" customFormat="1" ht="28" customHeight="1" outlineLevel="2" spans="1:12">
      <c r="A45" s="68">
        <v>33</v>
      </c>
      <c r="B45" s="70" t="s">
        <v>2356</v>
      </c>
      <c r="C45" s="69" t="s">
        <v>2304</v>
      </c>
      <c r="D45" s="70" t="s">
        <v>2357</v>
      </c>
      <c r="E45" s="69" t="s">
        <v>1512</v>
      </c>
      <c r="F45" s="70" t="s">
        <v>2321</v>
      </c>
      <c r="G45" s="79" t="s">
        <v>2361</v>
      </c>
      <c r="H45" s="80" t="s">
        <v>2381</v>
      </c>
      <c r="I45" s="92">
        <v>5</v>
      </c>
      <c r="J45" s="93">
        <v>5</v>
      </c>
      <c r="K45" s="94" t="s">
        <v>2363</v>
      </c>
      <c r="L45" s="63">
        <v>2023</v>
      </c>
    </row>
    <row r="46" s="63" customFormat="1" ht="28" customHeight="1" outlineLevel="2" spans="1:12">
      <c r="A46" s="68">
        <v>34</v>
      </c>
      <c r="B46" s="70" t="s">
        <v>2356</v>
      </c>
      <c r="C46" s="69" t="s">
        <v>2304</v>
      </c>
      <c r="D46" s="70" t="s">
        <v>2357</v>
      </c>
      <c r="E46" s="69" t="s">
        <v>1512</v>
      </c>
      <c r="F46" s="70" t="s">
        <v>2321</v>
      </c>
      <c r="G46" s="79" t="s">
        <v>2361</v>
      </c>
      <c r="H46" s="80" t="s">
        <v>2382</v>
      </c>
      <c r="I46" s="92">
        <v>4</v>
      </c>
      <c r="J46" s="93">
        <v>2.4</v>
      </c>
      <c r="K46" s="94" t="s">
        <v>2363</v>
      </c>
      <c r="L46" s="63">
        <v>2023</v>
      </c>
    </row>
    <row r="47" s="63" customFormat="1" ht="28" customHeight="1" outlineLevel="2" spans="1:12">
      <c r="A47" s="68">
        <v>35</v>
      </c>
      <c r="B47" s="70" t="s">
        <v>2356</v>
      </c>
      <c r="C47" s="69" t="s">
        <v>2304</v>
      </c>
      <c r="D47" s="70" t="s">
        <v>2357</v>
      </c>
      <c r="E47" s="69" t="s">
        <v>1512</v>
      </c>
      <c r="F47" s="70" t="s">
        <v>2321</v>
      </c>
      <c r="G47" s="79" t="s">
        <v>2361</v>
      </c>
      <c r="H47" s="80" t="s">
        <v>2383</v>
      </c>
      <c r="I47" s="92">
        <v>2</v>
      </c>
      <c r="J47" s="93">
        <v>1.6</v>
      </c>
      <c r="K47" s="94" t="s">
        <v>2363</v>
      </c>
      <c r="L47" s="63">
        <v>2023</v>
      </c>
    </row>
    <row r="48" s="63" customFormat="1" ht="28" customHeight="1" outlineLevel="2" spans="1:12">
      <c r="A48" s="68">
        <v>36</v>
      </c>
      <c r="B48" s="70" t="s">
        <v>2356</v>
      </c>
      <c r="C48" s="69" t="s">
        <v>2304</v>
      </c>
      <c r="D48" s="70" t="s">
        <v>2357</v>
      </c>
      <c r="E48" s="69" t="s">
        <v>1512</v>
      </c>
      <c r="F48" s="70" t="s">
        <v>2321</v>
      </c>
      <c r="G48" s="79" t="s">
        <v>2361</v>
      </c>
      <c r="H48" s="80" t="s">
        <v>2384</v>
      </c>
      <c r="I48" s="92">
        <v>0.9</v>
      </c>
      <c r="J48" s="93">
        <v>0.9</v>
      </c>
      <c r="K48" s="94" t="s">
        <v>2363</v>
      </c>
      <c r="L48" s="63">
        <v>2023</v>
      </c>
    </row>
    <row r="49" s="63" customFormat="1" ht="28" customHeight="1" outlineLevel="2" spans="1:12">
      <c r="A49" s="68">
        <v>37</v>
      </c>
      <c r="B49" s="70" t="s">
        <v>2356</v>
      </c>
      <c r="C49" s="69" t="s">
        <v>2304</v>
      </c>
      <c r="D49" s="70" t="s">
        <v>2357</v>
      </c>
      <c r="E49" s="69" t="s">
        <v>1512</v>
      </c>
      <c r="F49" s="70" t="s">
        <v>2321</v>
      </c>
      <c r="G49" s="79" t="s">
        <v>2361</v>
      </c>
      <c r="H49" s="80" t="s">
        <v>2385</v>
      </c>
      <c r="I49" s="92">
        <v>20</v>
      </c>
      <c r="J49" s="93">
        <v>0</v>
      </c>
      <c r="K49" s="94" t="s">
        <v>2363</v>
      </c>
      <c r="L49" s="63">
        <v>2023</v>
      </c>
    </row>
    <row r="50" s="62" customFormat="1" ht="30" customHeight="1" outlineLevel="2" spans="1:12">
      <c r="A50" s="68">
        <v>38</v>
      </c>
      <c r="B50" s="70" t="s">
        <v>2356</v>
      </c>
      <c r="C50" s="69" t="s">
        <v>2304</v>
      </c>
      <c r="D50" s="70" t="s">
        <v>2357</v>
      </c>
      <c r="E50" s="69" t="s">
        <v>1512</v>
      </c>
      <c r="F50" s="70" t="s">
        <v>2321</v>
      </c>
      <c r="G50" s="79" t="s">
        <v>2361</v>
      </c>
      <c r="H50" s="80" t="s">
        <v>2386</v>
      </c>
      <c r="I50" s="92">
        <v>10</v>
      </c>
      <c r="J50" s="93">
        <v>0</v>
      </c>
      <c r="K50" s="94" t="s">
        <v>2363</v>
      </c>
      <c r="L50" s="63">
        <v>2023</v>
      </c>
    </row>
    <row r="51" s="62" customFormat="1" ht="30" customHeight="1" outlineLevel="2" spans="1:12">
      <c r="A51" s="68">
        <v>39</v>
      </c>
      <c r="B51" s="70" t="s">
        <v>2356</v>
      </c>
      <c r="C51" s="69" t="s">
        <v>2304</v>
      </c>
      <c r="D51" s="70" t="s">
        <v>2357</v>
      </c>
      <c r="E51" s="69" t="s">
        <v>1512</v>
      </c>
      <c r="F51" s="70" t="s">
        <v>2321</v>
      </c>
      <c r="G51" s="79" t="s">
        <v>2361</v>
      </c>
      <c r="H51" s="80" t="s">
        <v>2387</v>
      </c>
      <c r="I51" s="92">
        <v>30</v>
      </c>
      <c r="J51" s="93">
        <v>0</v>
      </c>
      <c r="K51" s="94" t="s">
        <v>2363</v>
      </c>
      <c r="L51" s="63">
        <v>2023</v>
      </c>
    </row>
    <row r="52" s="62" customFormat="1" ht="29" customHeight="1" outlineLevel="2" spans="1:12">
      <c r="A52" s="68">
        <v>40</v>
      </c>
      <c r="B52" s="70" t="s">
        <v>2356</v>
      </c>
      <c r="C52" s="69" t="s">
        <v>2304</v>
      </c>
      <c r="D52" s="70" t="s">
        <v>2357</v>
      </c>
      <c r="E52" s="69" t="s">
        <v>1512</v>
      </c>
      <c r="F52" s="70" t="s">
        <v>2321</v>
      </c>
      <c r="G52" s="79" t="s">
        <v>2361</v>
      </c>
      <c r="H52" s="80" t="s">
        <v>2388</v>
      </c>
      <c r="I52" s="92">
        <v>0.6</v>
      </c>
      <c r="J52" s="93">
        <v>0.6</v>
      </c>
      <c r="K52" s="94" t="s">
        <v>2375</v>
      </c>
      <c r="L52" s="63">
        <v>2023</v>
      </c>
    </row>
    <row r="53" s="62" customFormat="1" ht="27" customHeight="1" outlineLevel="2" spans="1:12">
      <c r="A53" s="68">
        <v>41</v>
      </c>
      <c r="B53" s="70" t="s">
        <v>2356</v>
      </c>
      <c r="C53" s="69" t="s">
        <v>2304</v>
      </c>
      <c r="D53" s="70" t="s">
        <v>2357</v>
      </c>
      <c r="E53" s="69" t="s">
        <v>1512</v>
      </c>
      <c r="F53" s="70" t="s">
        <v>2321</v>
      </c>
      <c r="G53" s="79" t="s">
        <v>2361</v>
      </c>
      <c r="H53" s="80" t="s">
        <v>2389</v>
      </c>
      <c r="I53" s="92">
        <v>81.5</v>
      </c>
      <c r="J53" s="93">
        <v>79.62</v>
      </c>
      <c r="K53" s="94" t="s">
        <v>2390</v>
      </c>
      <c r="L53" s="63">
        <v>2023</v>
      </c>
    </row>
    <row r="54" s="62" customFormat="1" ht="27" customHeight="1" outlineLevel="2" spans="1:12">
      <c r="A54" s="68">
        <v>42</v>
      </c>
      <c r="B54" s="70" t="s">
        <v>2356</v>
      </c>
      <c r="C54" s="69" t="s">
        <v>2304</v>
      </c>
      <c r="D54" s="70" t="s">
        <v>2357</v>
      </c>
      <c r="E54" s="69" t="s">
        <v>1512</v>
      </c>
      <c r="F54" s="70" t="s">
        <v>2321</v>
      </c>
      <c r="G54" s="79" t="s">
        <v>2361</v>
      </c>
      <c r="H54" s="80" t="s">
        <v>2391</v>
      </c>
      <c r="I54" s="92">
        <v>17.6</v>
      </c>
      <c r="J54" s="93">
        <v>0</v>
      </c>
      <c r="K54" s="94" t="s">
        <v>2363</v>
      </c>
      <c r="L54" s="63">
        <v>2023</v>
      </c>
    </row>
    <row r="55" s="62" customFormat="1" ht="27" customHeight="1" outlineLevel="2" spans="1:12">
      <c r="A55" s="68">
        <v>43</v>
      </c>
      <c r="B55" s="70" t="s">
        <v>2356</v>
      </c>
      <c r="C55" s="69" t="s">
        <v>2304</v>
      </c>
      <c r="D55" s="70" t="s">
        <v>2357</v>
      </c>
      <c r="E55" s="69" t="s">
        <v>1512</v>
      </c>
      <c r="F55" s="70" t="s">
        <v>2321</v>
      </c>
      <c r="G55" s="79" t="s">
        <v>1583</v>
      </c>
      <c r="H55" s="80" t="s">
        <v>2391</v>
      </c>
      <c r="I55" s="92">
        <v>5</v>
      </c>
      <c r="J55" s="93">
        <v>0</v>
      </c>
      <c r="K55" s="94" t="s">
        <v>2363</v>
      </c>
      <c r="L55" s="63">
        <v>2023</v>
      </c>
    </row>
    <row r="56" s="62" customFormat="1" ht="27" customHeight="1" outlineLevel="2" spans="1:12">
      <c r="A56" s="68">
        <v>44</v>
      </c>
      <c r="B56" s="70" t="s">
        <v>2356</v>
      </c>
      <c r="C56" s="69" t="s">
        <v>2304</v>
      </c>
      <c r="D56" s="70" t="s">
        <v>2357</v>
      </c>
      <c r="E56" s="69" t="s">
        <v>1512</v>
      </c>
      <c r="F56" s="70" t="s">
        <v>2321</v>
      </c>
      <c r="G56" s="79" t="s">
        <v>2392</v>
      </c>
      <c r="H56" s="80" t="s">
        <v>2391</v>
      </c>
      <c r="I56" s="92">
        <v>15</v>
      </c>
      <c r="J56" s="93">
        <v>0</v>
      </c>
      <c r="K56" s="94" t="s">
        <v>2363</v>
      </c>
      <c r="L56" s="63">
        <v>2023</v>
      </c>
    </row>
    <row r="57" s="62" customFormat="1" ht="27" customHeight="1" outlineLevel="2" spans="1:12">
      <c r="A57" s="68">
        <v>45</v>
      </c>
      <c r="B57" s="70" t="s">
        <v>2356</v>
      </c>
      <c r="C57" s="69" t="s">
        <v>2304</v>
      </c>
      <c r="D57" s="70" t="s">
        <v>2357</v>
      </c>
      <c r="E57" s="69" t="s">
        <v>1512</v>
      </c>
      <c r="F57" s="70" t="s">
        <v>2321</v>
      </c>
      <c r="G57" s="79" t="s">
        <v>1583</v>
      </c>
      <c r="H57" s="85" t="s">
        <v>2391</v>
      </c>
      <c r="I57" s="92">
        <v>10</v>
      </c>
      <c r="J57" s="93">
        <v>0</v>
      </c>
      <c r="K57" s="94" t="s">
        <v>2363</v>
      </c>
      <c r="L57" s="63">
        <v>2023</v>
      </c>
    </row>
    <row r="58" s="62" customFormat="1" ht="27" customHeight="1" outlineLevel="2" spans="1:12">
      <c r="A58" s="68">
        <v>46</v>
      </c>
      <c r="B58" s="70" t="s">
        <v>2356</v>
      </c>
      <c r="C58" s="69" t="s">
        <v>2304</v>
      </c>
      <c r="D58" s="70" t="s">
        <v>2357</v>
      </c>
      <c r="E58" s="71" t="s">
        <v>1512</v>
      </c>
      <c r="F58" s="70" t="s">
        <v>2321</v>
      </c>
      <c r="G58" s="79" t="s">
        <v>1496</v>
      </c>
      <c r="H58" s="80" t="s">
        <v>2391</v>
      </c>
      <c r="I58" s="92">
        <v>20</v>
      </c>
      <c r="J58" s="93">
        <v>20</v>
      </c>
      <c r="K58" s="94" t="s">
        <v>2363</v>
      </c>
      <c r="L58" s="63">
        <v>2023</v>
      </c>
    </row>
    <row r="59" s="62" customFormat="1" ht="27" customHeight="1" outlineLevel="1" spans="1:12">
      <c r="A59" s="67"/>
      <c r="B59" s="75"/>
      <c r="C59" s="74"/>
      <c r="D59" s="75" t="s">
        <v>2393</v>
      </c>
      <c r="E59" s="76"/>
      <c r="F59" s="75"/>
      <c r="G59" s="81"/>
      <c r="H59" s="82"/>
      <c r="I59" s="95">
        <f>SUBTOTAL(9,I28:I58)</f>
        <v>2096.413</v>
      </c>
      <c r="J59" s="95">
        <f>SUBTOTAL(9,J28:J58)</f>
        <v>678.03</v>
      </c>
      <c r="K59" s="96"/>
      <c r="L59" s="63"/>
    </row>
    <row r="60" s="62" customFormat="1" ht="27" outlineLevel="2" spans="1:12">
      <c r="A60" s="68">
        <v>47</v>
      </c>
      <c r="B60" s="68" t="s">
        <v>2303</v>
      </c>
      <c r="C60" s="69" t="s">
        <v>2304</v>
      </c>
      <c r="D60" s="70" t="s">
        <v>2394</v>
      </c>
      <c r="E60" s="71" t="s">
        <v>1121</v>
      </c>
      <c r="F60" s="72" t="s">
        <v>2321</v>
      </c>
      <c r="G60" s="73" t="s">
        <v>1542</v>
      </c>
      <c r="H60" s="73" t="s">
        <v>2395</v>
      </c>
      <c r="I60" s="88">
        <v>20.79</v>
      </c>
      <c r="J60" s="88">
        <v>18</v>
      </c>
      <c r="K60" s="73" t="s">
        <v>2328</v>
      </c>
      <c r="L60" s="63">
        <v>2023</v>
      </c>
    </row>
    <row r="61" s="62" customFormat="1" ht="24" customHeight="1" outlineLevel="2" spans="1:12">
      <c r="A61" s="68">
        <v>48</v>
      </c>
      <c r="B61" s="68" t="s">
        <v>2303</v>
      </c>
      <c r="C61" s="69" t="s">
        <v>2304</v>
      </c>
      <c r="D61" s="70" t="s">
        <v>2394</v>
      </c>
      <c r="E61" s="71" t="s">
        <v>1130</v>
      </c>
      <c r="F61" s="72" t="s">
        <v>2321</v>
      </c>
      <c r="G61" s="73" t="s">
        <v>1556</v>
      </c>
      <c r="H61" s="73" t="s">
        <v>2396</v>
      </c>
      <c r="I61" s="88">
        <v>4</v>
      </c>
      <c r="J61" s="88">
        <v>4</v>
      </c>
      <c r="K61" s="73" t="s">
        <v>2328</v>
      </c>
      <c r="L61" s="63">
        <v>2023</v>
      </c>
    </row>
    <row r="62" s="62" customFormat="1" ht="24" customHeight="1" outlineLevel="2" spans="1:12">
      <c r="A62" s="68">
        <v>49</v>
      </c>
      <c r="B62" s="68" t="s">
        <v>2303</v>
      </c>
      <c r="C62" s="69" t="s">
        <v>2304</v>
      </c>
      <c r="D62" s="70" t="s">
        <v>2394</v>
      </c>
      <c r="E62" s="71" t="s">
        <v>1130</v>
      </c>
      <c r="F62" s="72" t="s">
        <v>2321</v>
      </c>
      <c r="G62" s="73" t="s">
        <v>1556</v>
      </c>
      <c r="H62" s="73" t="s">
        <v>2397</v>
      </c>
      <c r="I62" s="88">
        <v>15</v>
      </c>
      <c r="J62" s="88">
        <v>15</v>
      </c>
      <c r="K62" s="73" t="s">
        <v>2328</v>
      </c>
      <c r="L62" s="63">
        <v>2023</v>
      </c>
    </row>
    <row r="63" s="62" customFormat="1" ht="24" customHeight="1" outlineLevel="2" spans="1:12">
      <c r="A63" s="68">
        <v>50</v>
      </c>
      <c r="B63" s="68" t="s">
        <v>2303</v>
      </c>
      <c r="C63" s="69" t="s">
        <v>2304</v>
      </c>
      <c r="D63" s="70" t="s">
        <v>2394</v>
      </c>
      <c r="E63" s="71" t="s">
        <v>1130</v>
      </c>
      <c r="F63" s="72" t="s">
        <v>2321</v>
      </c>
      <c r="G63" s="73" t="s">
        <v>1542</v>
      </c>
      <c r="H63" s="73" t="s">
        <v>2398</v>
      </c>
      <c r="I63" s="88">
        <v>29.94</v>
      </c>
      <c r="J63" s="88">
        <v>29.94</v>
      </c>
      <c r="K63" s="73" t="s">
        <v>2328</v>
      </c>
      <c r="L63" s="63">
        <v>2023</v>
      </c>
    </row>
    <row r="64" s="62" customFormat="1" ht="24" customHeight="1" outlineLevel="2" spans="1:12">
      <c r="A64" s="68">
        <v>51</v>
      </c>
      <c r="B64" s="68" t="s">
        <v>2303</v>
      </c>
      <c r="C64" s="69" t="s">
        <v>2304</v>
      </c>
      <c r="D64" s="70" t="s">
        <v>2394</v>
      </c>
      <c r="E64" s="71" t="s">
        <v>1130</v>
      </c>
      <c r="F64" s="72" t="s">
        <v>2321</v>
      </c>
      <c r="G64" s="73" t="s">
        <v>1542</v>
      </c>
      <c r="H64" s="73" t="s">
        <v>2399</v>
      </c>
      <c r="I64" s="88">
        <v>41.82</v>
      </c>
      <c r="J64" s="88">
        <v>41.82</v>
      </c>
      <c r="K64" s="73" t="s">
        <v>2328</v>
      </c>
      <c r="L64" s="63">
        <v>2023</v>
      </c>
    </row>
    <row r="65" s="62" customFormat="1" ht="27" customHeight="1" outlineLevel="2" spans="1:12">
      <c r="A65" s="68">
        <v>52</v>
      </c>
      <c r="B65" s="70" t="s">
        <v>2303</v>
      </c>
      <c r="C65" s="69" t="s">
        <v>2304</v>
      </c>
      <c r="D65" s="70" t="s">
        <v>2394</v>
      </c>
      <c r="E65" s="71" t="s">
        <v>1132</v>
      </c>
      <c r="F65" s="70" t="s">
        <v>2321</v>
      </c>
      <c r="G65" s="71" t="s">
        <v>1566</v>
      </c>
      <c r="H65" s="80" t="s">
        <v>2400</v>
      </c>
      <c r="I65" s="92">
        <v>5</v>
      </c>
      <c r="J65" s="93">
        <v>5</v>
      </c>
      <c r="K65" s="94" t="s">
        <v>2401</v>
      </c>
      <c r="L65" s="63">
        <v>2023</v>
      </c>
    </row>
    <row r="66" s="62" customFormat="1" ht="27" customHeight="1" outlineLevel="2" spans="1:12">
      <c r="A66" s="68">
        <v>53</v>
      </c>
      <c r="B66" s="70" t="s">
        <v>2356</v>
      </c>
      <c r="C66" s="77" t="s">
        <v>2402</v>
      </c>
      <c r="D66" s="70" t="s">
        <v>2394</v>
      </c>
      <c r="E66" s="69" t="s">
        <v>2403</v>
      </c>
      <c r="F66" s="70" t="s">
        <v>2321</v>
      </c>
      <c r="G66" s="79" t="s">
        <v>2404</v>
      </c>
      <c r="H66" s="80" t="s">
        <v>2405</v>
      </c>
      <c r="I66" s="92">
        <v>9.96</v>
      </c>
      <c r="J66" s="93">
        <v>9.96</v>
      </c>
      <c r="K66" s="94" t="s">
        <v>2406</v>
      </c>
      <c r="L66" s="63">
        <v>2023</v>
      </c>
    </row>
    <row r="67" s="62" customFormat="1" ht="27" customHeight="1" outlineLevel="2" spans="1:12">
      <c r="A67" s="68">
        <v>54</v>
      </c>
      <c r="B67" s="68" t="s">
        <v>2303</v>
      </c>
      <c r="C67" s="69" t="s">
        <v>2304</v>
      </c>
      <c r="D67" s="70" t="s">
        <v>2394</v>
      </c>
      <c r="E67" s="71" t="s">
        <v>2407</v>
      </c>
      <c r="F67" s="72" t="s">
        <v>2321</v>
      </c>
      <c r="G67" s="73" t="s">
        <v>1246</v>
      </c>
      <c r="H67" s="73" t="s">
        <v>2408</v>
      </c>
      <c r="I67" s="88">
        <v>0.5</v>
      </c>
      <c r="J67" s="88">
        <v>0.5</v>
      </c>
      <c r="K67" s="73" t="s">
        <v>2328</v>
      </c>
      <c r="L67" s="63">
        <v>2023</v>
      </c>
    </row>
    <row r="68" s="62" customFormat="1" ht="27" customHeight="1" outlineLevel="2" spans="1:12">
      <c r="A68" s="68">
        <v>55</v>
      </c>
      <c r="B68" s="68" t="s">
        <v>2303</v>
      </c>
      <c r="C68" s="69" t="s">
        <v>2304</v>
      </c>
      <c r="D68" s="70" t="s">
        <v>2394</v>
      </c>
      <c r="E68" s="71" t="s">
        <v>2407</v>
      </c>
      <c r="F68" s="72" t="s">
        <v>2321</v>
      </c>
      <c r="G68" s="73" t="s">
        <v>1246</v>
      </c>
      <c r="H68" s="73" t="s">
        <v>2409</v>
      </c>
      <c r="I68" s="88">
        <v>10</v>
      </c>
      <c r="J68" s="88">
        <v>9.68</v>
      </c>
      <c r="K68" s="73" t="s">
        <v>2328</v>
      </c>
      <c r="L68" s="63">
        <v>2023</v>
      </c>
    </row>
    <row r="69" s="62" customFormat="1" ht="27" customHeight="1" outlineLevel="2" spans="1:12">
      <c r="A69" s="68">
        <v>56</v>
      </c>
      <c r="B69" s="68" t="s">
        <v>2303</v>
      </c>
      <c r="C69" s="69" t="s">
        <v>2304</v>
      </c>
      <c r="D69" s="70" t="s">
        <v>2394</v>
      </c>
      <c r="E69" s="71" t="s">
        <v>2407</v>
      </c>
      <c r="F69" s="72" t="s">
        <v>2321</v>
      </c>
      <c r="G69" s="73" t="s">
        <v>1240</v>
      </c>
      <c r="H69" s="73" t="s">
        <v>2408</v>
      </c>
      <c r="I69" s="88">
        <v>2</v>
      </c>
      <c r="J69" s="88">
        <v>2</v>
      </c>
      <c r="K69" s="73" t="s">
        <v>2328</v>
      </c>
      <c r="L69" s="63">
        <v>2023</v>
      </c>
    </row>
    <row r="70" s="62" customFormat="1" ht="27" customHeight="1" outlineLevel="1" spans="1:12">
      <c r="A70" s="67"/>
      <c r="B70" s="67"/>
      <c r="C70" s="74"/>
      <c r="D70" s="75" t="s">
        <v>2410</v>
      </c>
      <c r="E70" s="76"/>
      <c r="F70" s="77"/>
      <c r="G70" s="78"/>
      <c r="H70" s="78"/>
      <c r="I70" s="89">
        <f>SUBTOTAL(9,I60:I69)</f>
        <v>139.01</v>
      </c>
      <c r="J70" s="89">
        <f>SUBTOTAL(9,J60:J69)</f>
        <v>135.9</v>
      </c>
      <c r="K70" s="78"/>
      <c r="L70" s="63"/>
    </row>
    <row r="71" s="62" customFormat="1" ht="26" customHeight="1" outlineLevel="2" spans="1:12">
      <c r="A71" s="68">
        <v>57</v>
      </c>
      <c r="B71" s="70" t="s">
        <v>2411</v>
      </c>
      <c r="C71" s="69" t="s">
        <v>2304</v>
      </c>
      <c r="D71" s="70" t="s">
        <v>2412</v>
      </c>
      <c r="E71" s="69" t="s">
        <v>2413</v>
      </c>
      <c r="F71" s="70" t="s">
        <v>2321</v>
      </c>
      <c r="G71" s="79" t="s">
        <v>1517</v>
      </c>
      <c r="H71" s="85" t="s">
        <v>2414</v>
      </c>
      <c r="I71" s="92">
        <v>100</v>
      </c>
      <c r="J71" s="93">
        <v>100</v>
      </c>
      <c r="K71" s="94" t="s">
        <v>2415</v>
      </c>
      <c r="L71" s="63">
        <v>2023</v>
      </c>
    </row>
    <row r="72" s="62" customFormat="1" ht="27" outlineLevel="2" spans="1:12">
      <c r="A72" s="68">
        <v>58</v>
      </c>
      <c r="B72" s="70" t="s">
        <v>2416</v>
      </c>
      <c r="C72" s="69" t="s">
        <v>2304</v>
      </c>
      <c r="D72" s="70" t="s">
        <v>2412</v>
      </c>
      <c r="E72" s="69" t="s">
        <v>2413</v>
      </c>
      <c r="F72" s="70" t="s">
        <v>2321</v>
      </c>
      <c r="G72" s="79" t="s">
        <v>2244</v>
      </c>
      <c r="H72" s="80" t="s">
        <v>2417</v>
      </c>
      <c r="I72" s="92">
        <v>20</v>
      </c>
      <c r="J72" s="93">
        <v>20</v>
      </c>
      <c r="K72" s="94" t="s">
        <v>2418</v>
      </c>
      <c r="L72" s="63">
        <v>2023</v>
      </c>
    </row>
    <row r="73" s="62" customFormat="1" ht="27" outlineLevel="2" spans="1:12">
      <c r="A73" s="68">
        <v>59</v>
      </c>
      <c r="B73" s="70" t="s">
        <v>2416</v>
      </c>
      <c r="C73" s="69" t="s">
        <v>2304</v>
      </c>
      <c r="D73" s="70" t="s">
        <v>2412</v>
      </c>
      <c r="E73" s="69" t="s">
        <v>2413</v>
      </c>
      <c r="F73" s="70" t="s">
        <v>2321</v>
      </c>
      <c r="G73" s="79" t="s">
        <v>1496</v>
      </c>
      <c r="H73" s="80" t="s">
        <v>2419</v>
      </c>
      <c r="I73" s="92">
        <v>20</v>
      </c>
      <c r="J73" s="93">
        <v>0</v>
      </c>
      <c r="K73" s="94" t="s">
        <v>2420</v>
      </c>
      <c r="L73" s="63">
        <v>2023</v>
      </c>
    </row>
    <row r="74" s="62" customFormat="1" ht="26" customHeight="1" outlineLevel="2" spans="1:12">
      <c r="A74" s="68">
        <v>60</v>
      </c>
      <c r="B74" s="70" t="s">
        <v>2416</v>
      </c>
      <c r="C74" s="69" t="s">
        <v>2304</v>
      </c>
      <c r="D74" s="70" t="s">
        <v>2412</v>
      </c>
      <c r="E74" s="69" t="s">
        <v>2413</v>
      </c>
      <c r="F74" s="70" t="s">
        <v>2321</v>
      </c>
      <c r="G74" s="79" t="s">
        <v>1517</v>
      </c>
      <c r="H74" s="80" t="s">
        <v>2421</v>
      </c>
      <c r="I74" s="92">
        <v>150</v>
      </c>
      <c r="J74" s="93">
        <v>150</v>
      </c>
      <c r="K74" s="94" t="s">
        <v>2422</v>
      </c>
      <c r="L74" s="63">
        <v>2023</v>
      </c>
    </row>
    <row r="75" s="62" customFormat="1" ht="26" customHeight="1" outlineLevel="2" spans="1:12">
      <c r="A75" s="68">
        <v>61</v>
      </c>
      <c r="B75" s="70" t="s">
        <v>2416</v>
      </c>
      <c r="C75" s="69" t="s">
        <v>2304</v>
      </c>
      <c r="D75" s="70" t="s">
        <v>2412</v>
      </c>
      <c r="E75" s="69" t="s">
        <v>2413</v>
      </c>
      <c r="F75" s="70" t="s">
        <v>2321</v>
      </c>
      <c r="G75" s="79" t="s">
        <v>1517</v>
      </c>
      <c r="H75" s="80" t="s">
        <v>2423</v>
      </c>
      <c r="I75" s="92">
        <v>369</v>
      </c>
      <c r="J75" s="93">
        <v>0</v>
      </c>
      <c r="K75" s="94" t="s">
        <v>2424</v>
      </c>
      <c r="L75" s="63">
        <v>2023</v>
      </c>
    </row>
    <row r="76" s="62" customFormat="1" ht="27" customHeight="1" outlineLevel="2" spans="1:12">
      <c r="A76" s="68">
        <v>62</v>
      </c>
      <c r="B76" s="70" t="s">
        <v>2416</v>
      </c>
      <c r="C76" s="69" t="s">
        <v>2304</v>
      </c>
      <c r="D76" s="70" t="s">
        <v>2412</v>
      </c>
      <c r="E76" s="69" t="s">
        <v>2413</v>
      </c>
      <c r="F76" s="70" t="s">
        <v>2321</v>
      </c>
      <c r="G76" s="79" t="s">
        <v>1517</v>
      </c>
      <c r="H76" s="80" t="s">
        <v>2425</v>
      </c>
      <c r="I76" s="92">
        <v>28.2655</v>
      </c>
      <c r="J76" s="93">
        <v>28.2655</v>
      </c>
      <c r="K76" s="94" t="s">
        <v>2418</v>
      </c>
      <c r="L76" s="63">
        <v>2023</v>
      </c>
    </row>
    <row r="77" s="62" customFormat="1" ht="27" customHeight="1" outlineLevel="2" spans="1:12">
      <c r="A77" s="68">
        <v>63</v>
      </c>
      <c r="B77" s="70" t="s">
        <v>2416</v>
      </c>
      <c r="C77" s="69" t="s">
        <v>2304</v>
      </c>
      <c r="D77" s="70" t="s">
        <v>2412</v>
      </c>
      <c r="E77" s="69" t="s">
        <v>2413</v>
      </c>
      <c r="F77" s="70" t="s">
        <v>2321</v>
      </c>
      <c r="G77" s="79" t="s">
        <v>1517</v>
      </c>
      <c r="H77" s="80" t="s">
        <v>2426</v>
      </c>
      <c r="I77" s="92">
        <v>40</v>
      </c>
      <c r="J77" s="93">
        <v>40</v>
      </c>
      <c r="K77" s="94" t="s">
        <v>2418</v>
      </c>
      <c r="L77" s="63">
        <v>2023</v>
      </c>
    </row>
    <row r="78" s="62" customFormat="1" ht="27" customHeight="1" outlineLevel="2" spans="1:12">
      <c r="A78" s="68">
        <v>64</v>
      </c>
      <c r="B78" s="68" t="s">
        <v>2303</v>
      </c>
      <c r="C78" s="69" t="s">
        <v>2304</v>
      </c>
      <c r="D78" s="70" t="s">
        <v>2412</v>
      </c>
      <c r="E78" s="71" t="s">
        <v>2427</v>
      </c>
      <c r="F78" s="72" t="s">
        <v>2321</v>
      </c>
      <c r="G78" s="73" t="s">
        <v>1228</v>
      </c>
      <c r="H78" s="73" t="s">
        <v>2428</v>
      </c>
      <c r="I78" s="88">
        <v>5</v>
      </c>
      <c r="J78" s="88">
        <v>5</v>
      </c>
      <c r="K78" s="73" t="s">
        <v>2328</v>
      </c>
      <c r="L78" s="63">
        <v>2023</v>
      </c>
    </row>
    <row r="79" s="62" customFormat="1" ht="27" customHeight="1" outlineLevel="2" spans="1:12">
      <c r="A79" s="68">
        <v>65</v>
      </c>
      <c r="B79" s="68" t="s">
        <v>2356</v>
      </c>
      <c r="C79" s="69" t="s">
        <v>2304</v>
      </c>
      <c r="D79" s="70" t="s">
        <v>2412</v>
      </c>
      <c r="E79" s="71" t="s">
        <v>2429</v>
      </c>
      <c r="F79" s="72" t="s">
        <v>2321</v>
      </c>
      <c r="G79" s="71" t="s">
        <v>1614</v>
      </c>
      <c r="H79" s="73" t="s">
        <v>2430</v>
      </c>
      <c r="I79" s="88">
        <v>70</v>
      </c>
      <c r="J79" s="88">
        <v>70</v>
      </c>
      <c r="K79" s="90" t="s">
        <v>2431</v>
      </c>
      <c r="L79" s="63">
        <v>2022</v>
      </c>
    </row>
    <row r="80" s="62" customFormat="1" ht="27" customHeight="1" outlineLevel="2" spans="1:12">
      <c r="A80" s="68">
        <v>66</v>
      </c>
      <c r="B80" s="68" t="s">
        <v>2356</v>
      </c>
      <c r="C80" s="69" t="s">
        <v>2304</v>
      </c>
      <c r="D80" s="70" t="s">
        <v>2412</v>
      </c>
      <c r="E80" s="71" t="s">
        <v>2429</v>
      </c>
      <c r="F80" s="72" t="s">
        <v>2321</v>
      </c>
      <c r="G80" s="71" t="s">
        <v>1614</v>
      </c>
      <c r="H80" s="73" t="s">
        <v>2432</v>
      </c>
      <c r="I80" s="88">
        <v>5</v>
      </c>
      <c r="J80" s="88">
        <v>5</v>
      </c>
      <c r="K80" s="90" t="s">
        <v>2433</v>
      </c>
      <c r="L80" s="63">
        <v>2022</v>
      </c>
    </row>
    <row r="81" s="62" customFormat="1" ht="27" customHeight="1" outlineLevel="2" spans="1:12">
      <c r="A81" s="68">
        <v>67</v>
      </c>
      <c r="B81" s="70" t="s">
        <v>2356</v>
      </c>
      <c r="C81" s="69" t="s">
        <v>2304</v>
      </c>
      <c r="D81" s="70" t="s">
        <v>2412</v>
      </c>
      <c r="E81" s="69" t="s">
        <v>2429</v>
      </c>
      <c r="F81" s="70" t="s">
        <v>2321</v>
      </c>
      <c r="G81" s="79" t="s">
        <v>1928</v>
      </c>
      <c r="H81" s="80" t="s">
        <v>2434</v>
      </c>
      <c r="I81" s="92">
        <v>28.5969</v>
      </c>
      <c r="J81" s="93">
        <v>28.4969</v>
      </c>
      <c r="K81" s="94" t="s">
        <v>2435</v>
      </c>
      <c r="L81" s="63">
        <v>2023</v>
      </c>
    </row>
    <row r="82" s="62" customFormat="1" ht="27" customHeight="1" outlineLevel="2" spans="1:12">
      <c r="A82" s="68">
        <v>68</v>
      </c>
      <c r="B82" s="70" t="s">
        <v>2356</v>
      </c>
      <c r="C82" s="69" t="s">
        <v>2304</v>
      </c>
      <c r="D82" s="70" t="s">
        <v>2412</v>
      </c>
      <c r="E82" s="69" t="s">
        <v>2429</v>
      </c>
      <c r="F82" s="70" t="s">
        <v>2321</v>
      </c>
      <c r="G82" s="79" t="s">
        <v>1928</v>
      </c>
      <c r="H82" s="80" t="s">
        <v>2436</v>
      </c>
      <c r="I82" s="92">
        <v>8</v>
      </c>
      <c r="J82" s="93">
        <v>0</v>
      </c>
      <c r="K82" s="94" t="s">
        <v>2435</v>
      </c>
      <c r="L82" s="63">
        <v>2023</v>
      </c>
    </row>
    <row r="83" s="62" customFormat="1" ht="27" customHeight="1" outlineLevel="2" spans="1:12">
      <c r="A83" s="68">
        <v>69</v>
      </c>
      <c r="B83" s="70" t="s">
        <v>2356</v>
      </c>
      <c r="C83" s="69" t="s">
        <v>2304</v>
      </c>
      <c r="D83" s="70" t="s">
        <v>2412</v>
      </c>
      <c r="E83" s="69" t="s">
        <v>2429</v>
      </c>
      <c r="F83" s="70" t="s">
        <v>2321</v>
      </c>
      <c r="G83" s="79" t="s">
        <v>1928</v>
      </c>
      <c r="H83" s="80" t="s">
        <v>2437</v>
      </c>
      <c r="I83" s="92">
        <v>10.75</v>
      </c>
      <c r="J83" s="93">
        <v>10.75</v>
      </c>
      <c r="K83" s="94" t="s">
        <v>2435</v>
      </c>
      <c r="L83" s="63">
        <v>2023</v>
      </c>
    </row>
    <row r="84" s="62" customFormat="1" ht="27" outlineLevel="2" spans="1:12">
      <c r="A84" s="68">
        <v>70</v>
      </c>
      <c r="B84" s="70" t="s">
        <v>2356</v>
      </c>
      <c r="C84" s="69" t="s">
        <v>2304</v>
      </c>
      <c r="D84" s="70" t="s">
        <v>2412</v>
      </c>
      <c r="E84" s="69" t="s">
        <v>2429</v>
      </c>
      <c r="F84" s="70" t="s">
        <v>2321</v>
      </c>
      <c r="G84" s="79" t="s">
        <v>1928</v>
      </c>
      <c r="H84" s="80" t="s">
        <v>2438</v>
      </c>
      <c r="I84" s="92">
        <v>0.1686</v>
      </c>
      <c r="J84" s="93">
        <v>0</v>
      </c>
      <c r="K84" s="94" t="s">
        <v>2435</v>
      </c>
      <c r="L84" s="63">
        <v>2023</v>
      </c>
    </row>
    <row r="85" s="62" customFormat="1" ht="27" outlineLevel="2" spans="1:12">
      <c r="A85" s="68">
        <v>71</v>
      </c>
      <c r="B85" s="70" t="s">
        <v>2356</v>
      </c>
      <c r="C85" s="69" t="s">
        <v>2304</v>
      </c>
      <c r="D85" s="70" t="s">
        <v>2412</v>
      </c>
      <c r="E85" s="69" t="s">
        <v>2429</v>
      </c>
      <c r="F85" s="70" t="s">
        <v>2321</v>
      </c>
      <c r="G85" s="79" t="s">
        <v>1928</v>
      </c>
      <c r="H85" s="80" t="s">
        <v>2439</v>
      </c>
      <c r="I85" s="92">
        <v>20</v>
      </c>
      <c r="J85" s="93">
        <v>20</v>
      </c>
      <c r="K85" s="94" t="s">
        <v>2435</v>
      </c>
      <c r="L85" s="63">
        <v>2023</v>
      </c>
    </row>
    <row r="86" s="62" customFormat="1" ht="27" customHeight="1" outlineLevel="2" spans="1:12">
      <c r="A86" s="68">
        <v>72</v>
      </c>
      <c r="B86" s="70" t="s">
        <v>2356</v>
      </c>
      <c r="C86" s="69" t="s">
        <v>2304</v>
      </c>
      <c r="D86" s="70" t="s">
        <v>2412</v>
      </c>
      <c r="E86" s="69" t="s">
        <v>2429</v>
      </c>
      <c r="F86" s="70" t="s">
        <v>2321</v>
      </c>
      <c r="G86" s="79" t="s">
        <v>1928</v>
      </c>
      <c r="H86" s="80" t="s">
        <v>1623</v>
      </c>
      <c r="I86" s="92">
        <v>54</v>
      </c>
      <c r="J86" s="93">
        <v>54</v>
      </c>
      <c r="K86" s="94" t="s">
        <v>2440</v>
      </c>
      <c r="L86" s="63">
        <v>2023</v>
      </c>
    </row>
    <row r="87" s="62" customFormat="1" ht="27" customHeight="1" outlineLevel="2" spans="1:12">
      <c r="A87" s="68">
        <v>73</v>
      </c>
      <c r="B87" s="70" t="s">
        <v>2356</v>
      </c>
      <c r="C87" s="69" t="s">
        <v>2304</v>
      </c>
      <c r="D87" s="70" t="s">
        <v>2412</v>
      </c>
      <c r="E87" s="69" t="s">
        <v>2429</v>
      </c>
      <c r="F87" s="70" t="s">
        <v>2321</v>
      </c>
      <c r="G87" s="79" t="s">
        <v>1928</v>
      </c>
      <c r="H87" s="80" t="s">
        <v>2441</v>
      </c>
      <c r="I87" s="92">
        <v>2.53</v>
      </c>
      <c r="J87" s="93">
        <v>0</v>
      </c>
      <c r="K87" s="94" t="s">
        <v>2442</v>
      </c>
      <c r="L87" s="63">
        <v>2023</v>
      </c>
    </row>
    <row r="88" s="62" customFormat="1" ht="27" customHeight="1" outlineLevel="2" spans="1:12">
      <c r="A88" s="68">
        <v>74</v>
      </c>
      <c r="B88" s="70" t="s">
        <v>2411</v>
      </c>
      <c r="C88" s="69" t="s">
        <v>2304</v>
      </c>
      <c r="D88" s="70" t="s">
        <v>2412</v>
      </c>
      <c r="E88" s="69" t="s">
        <v>2443</v>
      </c>
      <c r="F88" s="70" t="s">
        <v>2321</v>
      </c>
      <c r="G88" s="79" t="s">
        <v>1652</v>
      </c>
      <c r="H88" s="80" t="s">
        <v>2444</v>
      </c>
      <c r="I88" s="92">
        <v>20</v>
      </c>
      <c r="J88" s="93">
        <v>20</v>
      </c>
      <c r="K88" s="94" t="s">
        <v>2445</v>
      </c>
      <c r="L88" s="63">
        <v>2023</v>
      </c>
    </row>
    <row r="89" s="62" customFormat="1" ht="27" customHeight="1" outlineLevel="2" spans="1:12">
      <c r="A89" s="68">
        <v>75</v>
      </c>
      <c r="B89" s="70" t="s">
        <v>2416</v>
      </c>
      <c r="C89" s="69" t="s">
        <v>2304</v>
      </c>
      <c r="D89" s="70" t="s">
        <v>2412</v>
      </c>
      <c r="E89" s="69" t="s">
        <v>1143</v>
      </c>
      <c r="F89" s="70" t="s">
        <v>2321</v>
      </c>
      <c r="G89" s="79" t="s">
        <v>1652</v>
      </c>
      <c r="H89" s="80" t="s">
        <v>2446</v>
      </c>
      <c r="I89" s="92">
        <v>30</v>
      </c>
      <c r="J89" s="93">
        <v>30</v>
      </c>
      <c r="K89" s="94" t="s">
        <v>2418</v>
      </c>
      <c r="L89" s="63">
        <v>2023</v>
      </c>
    </row>
    <row r="90" s="62" customFormat="1" ht="27" customHeight="1" outlineLevel="2" spans="1:12">
      <c r="A90" s="68">
        <v>76</v>
      </c>
      <c r="B90" s="70" t="s">
        <v>2416</v>
      </c>
      <c r="C90" s="69" t="s">
        <v>2304</v>
      </c>
      <c r="D90" s="70" t="s">
        <v>2412</v>
      </c>
      <c r="E90" s="71" t="s">
        <v>1143</v>
      </c>
      <c r="F90" s="70" t="s">
        <v>2321</v>
      </c>
      <c r="G90" s="79" t="s">
        <v>1652</v>
      </c>
      <c r="H90" s="80" t="s">
        <v>2447</v>
      </c>
      <c r="I90" s="92">
        <v>12</v>
      </c>
      <c r="J90" s="93">
        <v>12</v>
      </c>
      <c r="K90" s="94" t="s">
        <v>2418</v>
      </c>
      <c r="L90" s="63">
        <v>2023</v>
      </c>
    </row>
    <row r="91" s="62" customFormat="1" ht="27" customHeight="1" outlineLevel="2" spans="1:12">
      <c r="A91" s="68">
        <v>77</v>
      </c>
      <c r="B91" s="70" t="s">
        <v>2416</v>
      </c>
      <c r="C91" s="69" t="s">
        <v>2304</v>
      </c>
      <c r="D91" s="70" t="s">
        <v>2412</v>
      </c>
      <c r="E91" s="69" t="s">
        <v>1143</v>
      </c>
      <c r="F91" s="70" t="s">
        <v>2321</v>
      </c>
      <c r="G91" s="79" t="s">
        <v>1652</v>
      </c>
      <c r="H91" s="80" t="s">
        <v>2448</v>
      </c>
      <c r="I91" s="92">
        <v>31.73</v>
      </c>
      <c r="J91" s="93">
        <v>31.73</v>
      </c>
      <c r="K91" s="94" t="s">
        <v>2418</v>
      </c>
      <c r="L91" s="63">
        <v>2023</v>
      </c>
    </row>
    <row r="92" s="62" customFormat="1" ht="27" customHeight="1" outlineLevel="2" spans="1:12">
      <c r="A92" s="68">
        <v>78</v>
      </c>
      <c r="B92" s="70" t="s">
        <v>2416</v>
      </c>
      <c r="C92" s="69" t="s">
        <v>2304</v>
      </c>
      <c r="D92" s="70" t="s">
        <v>2412</v>
      </c>
      <c r="E92" s="69" t="s">
        <v>1143</v>
      </c>
      <c r="F92" s="70" t="s">
        <v>2321</v>
      </c>
      <c r="G92" s="79" t="s">
        <v>1652</v>
      </c>
      <c r="H92" s="80" t="s">
        <v>2449</v>
      </c>
      <c r="I92" s="92">
        <v>4.5</v>
      </c>
      <c r="J92" s="93">
        <v>4.5</v>
      </c>
      <c r="K92" s="94" t="s">
        <v>2418</v>
      </c>
      <c r="L92" s="63">
        <v>2023</v>
      </c>
    </row>
    <row r="93" s="62" customFormat="1" ht="27" customHeight="1" outlineLevel="2" spans="1:12">
      <c r="A93" s="68">
        <v>79</v>
      </c>
      <c r="B93" s="70" t="s">
        <v>2416</v>
      </c>
      <c r="C93" s="69" t="s">
        <v>2304</v>
      </c>
      <c r="D93" s="70" t="s">
        <v>2412</v>
      </c>
      <c r="E93" s="69" t="s">
        <v>1143</v>
      </c>
      <c r="F93" s="70" t="s">
        <v>2321</v>
      </c>
      <c r="G93" s="79" t="s">
        <v>1652</v>
      </c>
      <c r="H93" s="80" t="s">
        <v>2450</v>
      </c>
      <c r="I93" s="92">
        <v>3.5</v>
      </c>
      <c r="J93" s="93">
        <v>3.5</v>
      </c>
      <c r="K93" s="94" t="s">
        <v>2418</v>
      </c>
      <c r="L93" s="63">
        <v>2023</v>
      </c>
    </row>
    <row r="94" s="62" customFormat="1" ht="27" customHeight="1" outlineLevel="2" spans="1:12">
      <c r="A94" s="68">
        <v>80</v>
      </c>
      <c r="B94" s="70" t="s">
        <v>2416</v>
      </c>
      <c r="C94" s="69" t="s">
        <v>2304</v>
      </c>
      <c r="D94" s="70" t="s">
        <v>2412</v>
      </c>
      <c r="E94" s="69" t="s">
        <v>1143</v>
      </c>
      <c r="F94" s="70" t="s">
        <v>2321</v>
      </c>
      <c r="G94" s="79" t="s">
        <v>1652</v>
      </c>
      <c r="H94" s="80" t="s">
        <v>2451</v>
      </c>
      <c r="I94" s="92">
        <v>100</v>
      </c>
      <c r="J94" s="93">
        <v>100</v>
      </c>
      <c r="K94" s="94" t="s">
        <v>2452</v>
      </c>
      <c r="L94" s="63">
        <v>2023</v>
      </c>
    </row>
    <row r="95" s="62" customFormat="1" ht="27" customHeight="1" outlineLevel="2" spans="1:12">
      <c r="A95" s="68">
        <v>81</v>
      </c>
      <c r="B95" s="70" t="s">
        <v>2416</v>
      </c>
      <c r="C95" s="69" t="s">
        <v>2304</v>
      </c>
      <c r="D95" s="70" t="s">
        <v>2412</v>
      </c>
      <c r="E95" s="69" t="s">
        <v>1143</v>
      </c>
      <c r="F95" s="70" t="s">
        <v>2321</v>
      </c>
      <c r="G95" s="79" t="s">
        <v>1652</v>
      </c>
      <c r="H95" s="80" t="s">
        <v>2453</v>
      </c>
      <c r="I95" s="92">
        <v>161.3904</v>
      </c>
      <c r="J95" s="93">
        <v>20</v>
      </c>
      <c r="K95" s="99" t="s">
        <v>2454</v>
      </c>
      <c r="L95" s="63">
        <v>2021</v>
      </c>
    </row>
    <row r="96" s="62" customFormat="1" ht="27" customHeight="1" outlineLevel="2" spans="1:12">
      <c r="A96" s="68">
        <v>82</v>
      </c>
      <c r="B96" s="70" t="s">
        <v>2416</v>
      </c>
      <c r="C96" s="69" t="s">
        <v>2304</v>
      </c>
      <c r="D96" s="70" t="s">
        <v>2412</v>
      </c>
      <c r="E96" s="69" t="s">
        <v>1143</v>
      </c>
      <c r="F96" s="70" t="s">
        <v>2321</v>
      </c>
      <c r="G96" s="79" t="s">
        <v>1652</v>
      </c>
      <c r="H96" s="80" t="s">
        <v>2455</v>
      </c>
      <c r="I96" s="92">
        <v>80</v>
      </c>
      <c r="J96" s="93">
        <v>80</v>
      </c>
      <c r="K96" s="99" t="s">
        <v>2456</v>
      </c>
      <c r="L96" s="63">
        <v>2022</v>
      </c>
    </row>
    <row r="97" s="62" customFormat="1" ht="27" customHeight="1" outlineLevel="2" spans="1:12">
      <c r="A97" s="68">
        <v>83</v>
      </c>
      <c r="B97" s="70" t="s">
        <v>2416</v>
      </c>
      <c r="C97" s="69" t="s">
        <v>2304</v>
      </c>
      <c r="D97" s="70" t="s">
        <v>2412</v>
      </c>
      <c r="E97" s="69" t="s">
        <v>1143</v>
      </c>
      <c r="F97" s="70" t="s">
        <v>2321</v>
      </c>
      <c r="G97" s="79" t="s">
        <v>1652</v>
      </c>
      <c r="H97" s="80" t="s">
        <v>2457</v>
      </c>
      <c r="I97" s="92">
        <v>10</v>
      </c>
      <c r="J97" s="93">
        <v>10</v>
      </c>
      <c r="K97" s="99" t="s">
        <v>2458</v>
      </c>
      <c r="L97" s="63">
        <v>2022</v>
      </c>
    </row>
    <row r="98" s="62" customFormat="1" ht="27" customHeight="1" outlineLevel="2" spans="1:12">
      <c r="A98" s="68">
        <v>84</v>
      </c>
      <c r="B98" s="70" t="s">
        <v>2416</v>
      </c>
      <c r="C98" s="69" t="s">
        <v>2304</v>
      </c>
      <c r="D98" s="70" t="s">
        <v>2412</v>
      </c>
      <c r="E98" s="69" t="s">
        <v>1143</v>
      </c>
      <c r="F98" s="70" t="s">
        <v>2321</v>
      </c>
      <c r="G98" s="79" t="s">
        <v>1652</v>
      </c>
      <c r="H98" s="80" t="s">
        <v>2459</v>
      </c>
      <c r="I98" s="92">
        <v>20.16</v>
      </c>
      <c r="J98" s="93">
        <v>20.16</v>
      </c>
      <c r="K98" s="99" t="s">
        <v>2458</v>
      </c>
      <c r="L98" s="63">
        <v>2022</v>
      </c>
    </row>
    <row r="99" s="62" customFormat="1" ht="27" customHeight="1" outlineLevel="2" spans="1:12">
      <c r="A99" s="68">
        <v>85</v>
      </c>
      <c r="B99" s="70" t="s">
        <v>2416</v>
      </c>
      <c r="C99" s="69" t="s">
        <v>2304</v>
      </c>
      <c r="D99" s="70" t="s">
        <v>2412</v>
      </c>
      <c r="E99" s="69" t="s">
        <v>1143</v>
      </c>
      <c r="F99" s="70" t="s">
        <v>2321</v>
      </c>
      <c r="G99" s="79" t="s">
        <v>1652</v>
      </c>
      <c r="H99" s="80" t="s">
        <v>2460</v>
      </c>
      <c r="I99" s="92">
        <v>835.95568</v>
      </c>
      <c r="J99" s="93">
        <v>126</v>
      </c>
      <c r="K99" s="99" t="s">
        <v>2461</v>
      </c>
      <c r="L99" s="63">
        <v>2022</v>
      </c>
    </row>
    <row r="100" s="62" customFormat="1" ht="27" customHeight="1" outlineLevel="2" spans="1:12">
      <c r="A100" s="68">
        <v>86</v>
      </c>
      <c r="B100" s="70" t="s">
        <v>2416</v>
      </c>
      <c r="C100" s="69" t="s">
        <v>2304</v>
      </c>
      <c r="D100" s="70" t="s">
        <v>2412</v>
      </c>
      <c r="E100" s="69" t="s">
        <v>2462</v>
      </c>
      <c r="F100" s="70" t="s">
        <v>2321</v>
      </c>
      <c r="G100" s="79" t="s">
        <v>1716</v>
      </c>
      <c r="H100" s="80" t="s">
        <v>2463</v>
      </c>
      <c r="I100" s="92">
        <v>24</v>
      </c>
      <c r="J100" s="93">
        <v>24</v>
      </c>
      <c r="K100" s="94" t="s">
        <v>2418</v>
      </c>
      <c r="L100" s="63">
        <v>2023</v>
      </c>
    </row>
    <row r="101" s="62" customFormat="1" ht="27" customHeight="1" outlineLevel="1" spans="1:12">
      <c r="A101" s="67"/>
      <c r="B101" s="75"/>
      <c r="C101" s="74"/>
      <c r="D101" s="75" t="s">
        <v>2464</v>
      </c>
      <c r="E101" s="74"/>
      <c r="F101" s="75"/>
      <c r="G101" s="81"/>
      <c r="H101" s="82"/>
      <c r="I101" s="95">
        <f>SUBTOTAL(9,I71:I100)</f>
        <v>2264.54708</v>
      </c>
      <c r="J101" s="95">
        <f>SUBTOTAL(9,J71:J100)</f>
        <v>1013.4024</v>
      </c>
      <c r="K101" s="96"/>
      <c r="L101" s="63"/>
    </row>
    <row r="102" s="62" customFormat="1" ht="27" customHeight="1" outlineLevel="2" spans="1:12">
      <c r="A102" s="68">
        <v>87</v>
      </c>
      <c r="B102" s="68" t="s">
        <v>2303</v>
      </c>
      <c r="C102" s="69" t="s">
        <v>2304</v>
      </c>
      <c r="D102" s="70" t="s">
        <v>2465</v>
      </c>
      <c r="E102" s="71" t="s">
        <v>2466</v>
      </c>
      <c r="F102" s="72" t="s">
        <v>2321</v>
      </c>
      <c r="G102" s="73" t="s">
        <v>1506</v>
      </c>
      <c r="H102" s="73" t="s">
        <v>2467</v>
      </c>
      <c r="I102" s="88">
        <v>37.1</v>
      </c>
      <c r="J102" s="88">
        <v>37.1</v>
      </c>
      <c r="K102" s="73" t="s">
        <v>2468</v>
      </c>
      <c r="L102" s="63">
        <v>2023</v>
      </c>
    </row>
    <row r="103" s="62" customFormat="1" ht="27" customHeight="1" outlineLevel="2" spans="1:12">
      <c r="A103" s="68">
        <v>88</v>
      </c>
      <c r="B103" s="68" t="s">
        <v>2303</v>
      </c>
      <c r="C103" s="69" t="s">
        <v>2304</v>
      </c>
      <c r="D103" s="70" t="s">
        <v>2465</v>
      </c>
      <c r="E103" s="71" t="s">
        <v>2466</v>
      </c>
      <c r="F103" s="72" t="s">
        <v>2321</v>
      </c>
      <c r="G103" s="71" t="s">
        <v>2469</v>
      </c>
      <c r="H103" s="73" t="s">
        <v>2470</v>
      </c>
      <c r="I103" s="88">
        <v>67.46</v>
      </c>
      <c r="J103" s="88">
        <v>67.46</v>
      </c>
      <c r="K103" s="90" t="s">
        <v>2471</v>
      </c>
      <c r="L103" s="63">
        <v>2022</v>
      </c>
    </row>
    <row r="104" s="62" customFormat="1" ht="27" customHeight="1" outlineLevel="2" spans="1:12">
      <c r="A104" s="68">
        <v>89</v>
      </c>
      <c r="B104" s="68" t="s">
        <v>2303</v>
      </c>
      <c r="C104" s="69" t="s">
        <v>2304</v>
      </c>
      <c r="D104" s="70" t="s">
        <v>2465</v>
      </c>
      <c r="E104" s="71" t="s">
        <v>2466</v>
      </c>
      <c r="F104" s="72" t="s">
        <v>2321</v>
      </c>
      <c r="G104" s="71" t="s">
        <v>2472</v>
      </c>
      <c r="H104" s="73" t="s">
        <v>2473</v>
      </c>
      <c r="I104" s="88">
        <v>10</v>
      </c>
      <c r="J104" s="88">
        <v>10</v>
      </c>
      <c r="K104" s="90" t="s">
        <v>2474</v>
      </c>
      <c r="L104" s="63">
        <v>2022</v>
      </c>
    </row>
    <row r="105" s="62" customFormat="1" ht="27" customHeight="1" outlineLevel="2" spans="1:12">
      <c r="A105" s="68">
        <v>90</v>
      </c>
      <c r="B105" s="68" t="s">
        <v>2303</v>
      </c>
      <c r="C105" s="69" t="s">
        <v>2304</v>
      </c>
      <c r="D105" s="70" t="s">
        <v>2465</v>
      </c>
      <c r="E105" s="71" t="s">
        <v>2466</v>
      </c>
      <c r="F105" s="72" t="s">
        <v>2321</v>
      </c>
      <c r="G105" s="71" t="s">
        <v>2472</v>
      </c>
      <c r="H105" s="73" t="s">
        <v>2470</v>
      </c>
      <c r="I105" s="88">
        <v>120</v>
      </c>
      <c r="J105" s="88">
        <v>120</v>
      </c>
      <c r="K105" s="90" t="s">
        <v>2471</v>
      </c>
      <c r="L105" s="63">
        <v>2022</v>
      </c>
    </row>
    <row r="106" s="62" customFormat="1" ht="27" customHeight="1" outlineLevel="2" spans="1:12">
      <c r="A106" s="68">
        <v>91</v>
      </c>
      <c r="B106" s="68" t="s">
        <v>2303</v>
      </c>
      <c r="C106" s="69" t="s">
        <v>2304</v>
      </c>
      <c r="D106" s="70" t="s">
        <v>2465</v>
      </c>
      <c r="E106" s="71" t="s">
        <v>2475</v>
      </c>
      <c r="F106" s="72" t="s">
        <v>2321</v>
      </c>
      <c r="G106" s="73" t="s">
        <v>1683</v>
      </c>
      <c r="H106" s="73" t="s">
        <v>2476</v>
      </c>
      <c r="I106" s="88">
        <v>12</v>
      </c>
      <c r="J106" s="88">
        <v>12</v>
      </c>
      <c r="K106" s="73" t="s">
        <v>2328</v>
      </c>
      <c r="L106" s="63">
        <v>2023</v>
      </c>
    </row>
    <row r="107" s="62" customFormat="1" ht="27" customHeight="1" outlineLevel="1" spans="1:12">
      <c r="A107" s="67"/>
      <c r="B107" s="67"/>
      <c r="C107" s="74"/>
      <c r="D107" s="75" t="s">
        <v>2477</v>
      </c>
      <c r="E107" s="76"/>
      <c r="F107" s="77"/>
      <c r="G107" s="78"/>
      <c r="H107" s="78"/>
      <c r="I107" s="89">
        <f>SUBTOTAL(9,I102:I106)</f>
        <v>246.56</v>
      </c>
      <c r="J107" s="89">
        <f>SUBTOTAL(9,J102:J106)</f>
        <v>246.56</v>
      </c>
      <c r="K107" s="78"/>
      <c r="L107" s="63"/>
    </row>
    <row r="108" s="62" customFormat="1" ht="27" customHeight="1" outlineLevel="2" spans="1:12">
      <c r="A108" s="68">
        <v>92</v>
      </c>
      <c r="B108" s="68" t="s">
        <v>1781</v>
      </c>
      <c r="C108" s="69" t="s">
        <v>2304</v>
      </c>
      <c r="D108" s="70" t="s">
        <v>2478</v>
      </c>
      <c r="E108" s="71" t="s">
        <v>1163</v>
      </c>
      <c r="F108" s="72" t="s">
        <v>2321</v>
      </c>
      <c r="G108" s="71" t="s">
        <v>1782</v>
      </c>
      <c r="H108" s="73" t="s">
        <v>2479</v>
      </c>
      <c r="I108" s="88">
        <v>38</v>
      </c>
      <c r="J108" s="88">
        <v>38</v>
      </c>
      <c r="K108" s="90" t="s">
        <v>2480</v>
      </c>
      <c r="L108" s="63">
        <v>2022</v>
      </c>
    </row>
    <row r="109" s="62" customFormat="1" ht="27" customHeight="1" outlineLevel="2" spans="1:12">
      <c r="A109" s="68">
        <v>93</v>
      </c>
      <c r="B109" s="68" t="s">
        <v>1781</v>
      </c>
      <c r="C109" s="69" t="s">
        <v>2304</v>
      </c>
      <c r="D109" s="70" t="s">
        <v>2478</v>
      </c>
      <c r="E109" s="71" t="s">
        <v>1163</v>
      </c>
      <c r="F109" s="72" t="s">
        <v>2321</v>
      </c>
      <c r="G109" s="71" t="s">
        <v>1782</v>
      </c>
      <c r="H109" s="73" t="s">
        <v>2481</v>
      </c>
      <c r="I109" s="88">
        <v>30</v>
      </c>
      <c r="J109" s="88">
        <v>30</v>
      </c>
      <c r="K109" s="90" t="s">
        <v>2480</v>
      </c>
      <c r="L109" s="63">
        <v>2022</v>
      </c>
    </row>
    <row r="110" s="62" customFormat="1" ht="27" customHeight="1" outlineLevel="1" spans="1:12">
      <c r="A110" s="67"/>
      <c r="B110" s="67"/>
      <c r="C110" s="74"/>
      <c r="D110" s="75" t="s">
        <v>2482</v>
      </c>
      <c r="E110" s="76"/>
      <c r="F110" s="77"/>
      <c r="G110" s="76"/>
      <c r="H110" s="78"/>
      <c r="I110" s="89">
        <f>SUBTOTAL(9,I108:I109)</f>
        <v>68</v>
      </c>
      <c r="J110" s="89">
        <f>SUBTOTAL(9,J108:J109)</f>
        <v>68</v>
      </c>
      <c r="K110" s="91"/>
      <c r="L110" s="63"/>
    </row>
    <row r="111" s="62" customFormat="1" ht="28" customHeight="1" outlineLevel="2" spans="1:12">
      <c r="A111" s="68">
        <v>94</v>
      </c>
      <c r="B111" s="68" t="s">
        <v>2356</v>
      </c>
      <c r="C111" s="69" t="s">
        <v>2304</v>
      </c>
      <c r="D111" s="70" t="s">
        <v>2483</v>
      </c>
      <c r="E111" s="71" t="s">
        <v>2484</v>
      </c>
      <c r="F111" s="72" t="s">
        <v>2321</v>
      </c>
      <c r="G111" s="71" t="s">
        <v>1822</v>
      </c>
      <c r="H111" s="73" t="s">
        <v>2485</v>
      </c>
      <c r="I111" s="88">
        <v>7.68</v>
      </c>
      <c r="J111" s="88">
        <v>7.68</v>
      </c>
      <c r="K111" s="90" t="s">
        <v>2486</v>
      </c>
      <c r="L111" s="63">
        <v>2021</v>
      </c>
    </row>
    <row r="112" s="62" customFormat="1" ht="28" customHeight="1" outlineLevel="2" spans="1:12">
      <c r="A112" s="68">
        <v>95</v>
      </c>
      <c r="B112" s="68" t="s">
        <v>2356</v>
      </c>
      <c r="C112" s="69" t="s">
        <v>2304</v>
      </c>
      <c r="D112" s="70" t="s">
        <v>2483</v>
      </c>
      <c r="E112" s="71" t="s">
        <v>1188</v>
      </c>
      <c r="F112" s="72" t="s">
        <v>2321</v>
      </c>
      <c r="G112" s="71" t="s">
        <v>1822</v>
      </c>
      <c r="H112" s="73" t="s">
        <v>2487</v>
      </c>
      <c r="I112" s="88">
        <v>5</v>
      </c>
      <c r="J112" s="88">
        <v>5</v>
      </c>
      <c r="K112" s="90" t="s">
        <v>2326</v>
      </c>
      <c r="L112" s="63">
        <v>2022</v>
      </c>
    </row>
    <row r="113" s="62" customFormat="1" ht="28" customHeight="1" outlineLevel="1" spans="1:12">
      <c r="A113" s="67"/>
      <c r="B113" s="67"/>
      <c r="C113" s="74"/>
      <c r="D113" s="75" t="s">
        <v>2488</v>
      </c>
      <c r="E113" s="76"/>
      <c r="F113" s="77"/>
      <c r="G113" s="76"/>
      <c r="H113" s="78"/>
      <c r="I113" s="89">
        <f>SUBTOTAL(9,I111:I112)</f>
        <v>12.68</v>
      </c>
      <c r="J113" s="89">
        <f>SUBTOTAL(9,J111:J112)</f>
        <v>12.68</v>
      </c>
      <c r="K113" s="91"/>
      <c r="L113" s="63"/>
    </row>
    <row r="114" s="62" customFormat="1" ht="28" customHeight="1" outlineLevel="2" spans="1:12">
      <c r="A114" s="68">
        <v>96</v>
      </c>
      <c r="B114" s="68" t="s">
        <v>2303</v>
      </c>
      <c r="C114" s="69" t="s">
        <v>2304</v>
      </c>
      <c r="D114" s="70" t="s">
        <v>2489</v>
      </c>
      <c r="E114" s="71" t="s">
        <v>2490</v>
      </c>
      <c r="F114" s="72" t="s">
        <v>2307</v>
      </c>
      <c r="G114" s="73" t="s">
        <v>1556</v>
      </c>
      <c r="H114" s="73" t="s">
        <v>2491</v>
      </c>
      <c r="I114" s="88">
        <v>97.044</v>
      </c>
      <c r="J114" s="88">
        <v>96</v>
      </c>
      <c r="K114" s="73" t="s">
        <v>2328</v>
      </c>
      <c r="L114" s="63">
        <v>2023</v>
      </c>
    </row>
    <row r="115" s="62" customFormat="1" ht="28" customHeight="1" outlineLevel="1" spans="1:12">
      <c r="A115" s="67"/>
      <c r="B115" s="67"/>
      <c r="C115" s="74"/>
      <c r="D115" s="75" t="s">
        <v>2492</v>
      </c>
      <c r="E115" s="76"/>
      <c r="F115" s="77"/>
      <c r="G115" s="78"/>
      <c r="H115" s="78"/>
      <c r="I115" s="89">
        <f>SUBTOTAL(9,I114)</f>
        <v>97.044</v>
      </c>
      <c r="J115" s="89">
        <f>SUBTOTAL(9,J114)</f>
        <v>96</v>
      </c>
      <c r="K115" s="78"/>
      <c r="L115" s="63"/>
    </row>
    <row r="116" s="62" customFormat="1" ht="28" customHeight="1" outlineLevel="2" spans="1:12">
      <c r="A116" s="68">
        <v>97</v>
      </c>
      <c r="B116" s="68" t="s">
        <v>2303</v>
      </c>
      <c r="C116" s="69" t="s">
        <v>2304</v>
      </c>
      <c r="D116" s="70" t="s">
        <v>2493</v>
      </c>
      <c r="E116" s="71" t="s">
        <v>2494</v>
      </c>
      <c r="F116" s="72" t="s">
        <v>2321</v>
      </c>
      <c r="G116" s="71" t="s">
        <v>1656</v>
      </c>
      <c r="H116" s="73" t="s">
        <v>2495</v>
      </c>
      <c r="I116" s="88">
        <v>2.3</v>
      </c>
      <c r="J116" s="88">
        <v>2.3</v>
      </c>
      <c r="K116" s="90" t="s">
        <v>2326</v>
      </c>
      <c r="L116" s="63">
        <v>2022</v>
      </c>
    </row>
    <row r="117" s="62" customFormat="1" ht="28" customHeight="1" outlineLevel="1" spans="1:12">
      <c r="A117" s="67"/>
      <c r="B117" s="67"/>
      <c r="C117" s="74"/>
      <c r="D117" s="75" t="s">
        <v>2496</v>
      </c>
      <c r="E117" s="76"/>
      <c r="F117" s="77"/>
      <c r="G117" s="76"/>
      <c r="H117" s="78"/>
      <c r="I117" s="89">
        <f>SUBTOTAL(9,I116)</f>
        <v>2.3</v>
      </c>
      <c r="J117" s="89">
        <f>SUBTOTAL(9,J116)</f>
        <v>2.3</v>
      </c>
      <c r="K117" s="91"/>
      <c r="L117" s="63"/>
    </row>
    <row r="118" s="62" customFormat="1" ht="28" customHeight="1" outlineLevel="2" spans="1:12">
      <c r="A118" s="68">
        <v>98</v>
      </c>
      <c r="B118" s="68" t="s">
        <v>2311</v>
      </c>
      <c r="C118" s="69" t="s">
        <v>2304</v>
      </c>
      <c r="D118" s="70" t="s">
        <v>2497</v>
      </c>
      <c r="E118" s="71" t="s">
        <v>2498</v>
      </c>
      <c r="F118" s="72" t="s">
        <v>2321</v>
      </c>
      <c r="G118" s="71" t="s">
        <v>1729</v>
      </c>
      <c r="H118" s="73" t="s">
        <v>2499</v>
      </c>
      <c r="I118" s="88">
        <v>6</v>
      </c>
      <c r="J118" s="88">
        <v>6</v>
      </c>
      <c r="K118" s="90" t="s">
        <v>2500</v>
      </c>
      <c r="L118" s="63">
        <v>2021</v>
      </c>
    </row>
    <row r="119" s="62" customFormat="1" ht="30" customHeight="1" outlineLevel="2" spans="1:12">
      <c r="A119" s="68">
        <v>99</v>
      </c>
      <c r="B119" s="70" t="s">
        <v>2411</v>
      </c>
      <c r="C119" s="69" t="s">
        <v>2304</v>
      </c>
      <c r="D119" s="70" t="s">
        <v>2497</v>
      </c>
      <c r="E119" s="69" t="s">
        <v>2498</v>
      </c>
      <c r="F119" s="70" t="s">
        <v>2321</v>
      </c>
      <c r="G119" s="79" t="s">
        <v>2501</v>
      </c>
      <c r="H119" s="97" t="s">
        <v>2502</v>
      </c>
      <c r="I119" s="93">
        <v>20</v>
      </c>
      <c r="J119" s="93">
        <v>20</v>
      </c>
      <c r="K119" s="94" t="s">
        <v>2503</v>
      </c>
      <c r="L119" s="63">
        <v>2023</v>
      </c>
    </row>
    <row r="120" s="62" customFormat="1" ht="30" customHeight="1" outlineLevel="1" spans="1:12">
      <c r="A120" s="67"/>
      <c r="B120" s="75"/>
      <c r="C120" s="74"/>
      <c r="D120" s="75" t="s">
        <v>2504</v>
      </c>
      <c r="E120" s="74"/>
      <c r="F120" s="75"/>
      <c r="G120" s="81"/>
      <c r="H120" s="98"/>
      <c r="I120" s="100">
        <f>SUBTOTAL(9,I118:I119)</f>
        <v>26</v>
      </c>
      <c r="J120" s="100">
        <f>SUBTOTAL(9,J118:J119)</f>
        <v>26</v>
      </c>
      <c r="K120" s="96"/>
      <c r="L120" s="63"/>
    </row>
    <row r="121" s="62" customFormat="1" ht="30" customHeight="1" spans="1:12">
      <c r="A121" s="67"/>
      <c r="B121" s="75"/>
      <c r="C121" s="74"/>
      <c r="D121" s="75" t="s">
        <v>125</v>
      </c>
      <c r="E121" s="74"/>
      <c r="F121" s="75"/>
      <c r="G121" s="81"/>
      <c r="H121" s="98"/>
      <c r="I121" s="100">
        <f>SUBTOTAL(9,I5:I119)</f>
        <v>7734.38208</v>
      </c>
      <c r="J121" s="100">
        <f>SUBTOTAL(9,J5:J119)</f>
        <v>3038.7904</v>
      </c>
      <c r="K121" s="96"/>
      <c r="L121" s="63"/>
    </row>
  </sheetData>
  <autoFilter ref="A4:V120">
    <extLst/>
  </autoFilter>
  <sortState ref="B12:L104">
    <sortCondition ref="E12:E104"/>
  </sortState>
  <mergeCells count="1">
    <mergeCell ref="A2:K2"/>
  </mergeCells>
  <dataValidations count="1">
    <dataValidation type="list" allowBlank="1" showInputMessage="1" showErrorMessage="1" sqref="F5 F6 F8 F9 F11 F12 F14 F15 F19 F21 F23 F24 F26 F40 F53 F54 F60 F65 F66 F69 F71 F72 F73 F77 F78 F87 F88 F89 F93 F96 F99 F100 F105 F106 F108 F109 F111 F112 F114 F116 F118 F119 F16:F18 F28:F29 F30:F32 F33:F39 F41:F49 F50:F52 F55:F56 F57:F58 F61:F64 F67:F68 F74:F76 F79:F81 F82:F84 F85:F86 F90:F92 F94:F95 F97:F98 F102:F104">
      <formula1>$N$2:$N$12</formula1>
    </dataValidation>
  </dataValidations>
  <printOptions horizontalCentered="1"/>
  <pageMargins left="0.751388888888889" right="0.751388888888889" top="1" bottom="1" header="0.507638888888889" footer="0.507638888888889"/>
  <pageSetup paperSize="9" scale="58" orientation="landscape" horizontalDpi="600"/>
  <headerFooter/>
  <colBreaks count="1" manualBreakCount="1">
    <brk id="11" max="1048575" man="1"/>
  </col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1"/>
  <sheetViews>
    <sheetView view="pageBreakPreview" zoomScaleNormal="100" zoomScaleSheetLayoutView="100" workbookViewId="0">
      <selection activeCell="A2" sqref="A2:F2"/>
    </sheetView>
  </sheetViews>
  <sheetFormatPr defaultColWidth="9" defaultRowHeight="13.5"/>
  <cols>
    <col min="1" max="1" width="8" style="37" customWidth="1"/>
    <col min="2" max="2" width="26.625" style="36" customWidth="1"/>
    <col min="3" max="3" width="14.625" style="38" customWidth="1"/>
    <col min="4" max="4" width="13.1083333333333" style="38" customWidth="1"/>
    <col min="5" max="5" width="15.625" style="38" customWidth="1"/>
    <col min="6" max="6" width="13.1083333333333" style="38" customWidth="1"/>
    <col min="7" max="16384" width="9" style="36"/>
  </cols>
  <sheetData>
    <row r="1" s="36" customFormat="1" spans="1:6">
      <c r="A1" s="39" t="s">
        <v>2505</v>
      </c>
      <c r="C1" s="38"/>
      <c r="D1" s="38"/>
      <c r="E1" s="38"/>
      <c r="F1" s="38"/>
    </row>
    <row r="2" s="36" customFormat="1" ht="28.95" customHeight="1" spans="1:11">
      <c r="A2" s="40" t="s">
        <v>2506</v>
      </c>
      <c r="B2" s="40"/>
      <c r="C2" s="40"/>
      <c r="D2" s="40"/>
      <c r="E2" s="40"/>
      <c r="F2" s="40"/>
      <c r="G2" s="41"/>
      <c r="H2" s="41"/>
      <c r="I2" s="41"/>
      <c r="J2" s="41"/>
      <c r="K2" s="61"/>
    </row>
    <row r="3" s="36" customFormat="1" ht="24.6" customHeight="1" spans="1:6">
      <c r="A3" s="37"/>
      <c r="C3" s="38"/>
      <c r="D3" s="38"/>
      <c r="E3" s="38"/>
      <c r="F3" s="42" t="s">
        <v>2</v>
      </c>
    </row>
    <row r="4" s="36" customFormat="1" ht="28" customHeight="1" spans="1:6">
      <c r="A4" s="43" t="s">
        <v>112</v>
      </c>
      <c r="B4" s="43" t="s">
        <v>2300</v>
      </c>
      <c r="C4" s="44" t="s">
        <v>2304</v>
      </c>
      <c r="D4" s="45"/>
      <c r="E4" s="46" t="s">
        <v>2507</v>
      </c>
      <c r="F4" s="47" t="s">
        <v>22</v>
      </c>
    </row>
    <row r="5" s="36" customFormat="1" ht="28" customHeight="1" spans="1:6">
      <c r="A5" s="48"/>
      <c r="B5" s="48"/>
      <c r="C5" s="46" t="s">
        <v>120</v>
      </c>
      <c r="D5" s="46" t="s">
        <v>117</v>
      </c>
      <c r="E5" s="46" t="s">
        <v>117</v>
      </c>
      <c r="F5" s="49"/>
    </row>
    <row r="6" s="36" customFormat="1" ht="30" customHeight="1" spans="1:6">
      <c r="A6" s="50" t="s">
        <v>2508</v>
      </c>
      <c r="B6" s="51"/>
      <c r="C6" s="52">
        <f>SUM(C7:C21)</f>
        <v>1738.63</v>
      </c>
      <c r="D6" s="52">
        <f>SUM(D7:D21)</f>
        <v>5985.7921</v>
      </c>
      <c r="E6" s="52">
        <f>SUM(E7:E21)</f>
        <v>9.96</v>
      </c>
      <c r="F6" s="52">
        <f>SUM(F7:F21)</f>
        <v>7734.3821</v>
      </c>
    </row>
    <row r="7" s="36" customFormat="1" ht="30" customHeight="1" spans="1:6">
      <c r="A7" s="53">
        <v>201</v>
      </c>
      <c r="B7" s="54" t="s">
        <v>126</v>
      </c>
      <c r="C7" s="55">
        <v>1626.4</v>
      </c>
      <c r="D7" s="55">
        <v>771.528</v>
      </c>
      <c r="E7" s="55"/>
      <c r="F7" s="56">
        <f>C7+D7+E7</f>
        <v>2397.928</v>
      </c>
    </row>
    <row r="8" s="36" customFormat="1" ht="30" customHeight="1" spans="1:6">
      <c r="A8" s="53">
        <v>204</v>
      </c>
      <c r="B8" s="54" t="s">
        <v>128</v>
      </c>
      <c r="C8" s="55">
        <v>38.13</v>
      </c>
      <c r="D8" s="55"/>
      <c r="E8" s="55"/>
      <c r="F8" s="56">
        <f t="shared" ref="F8:F21" si="0">C8+D8+E8</f>
        <v>38.13</v>
      </c>
    </row>
    <row r="9" s="36" customFormat="1" ht="30" customHeight="1" spans="1:6">
      <c r="A9" s="53">
        <v>206</v>
      </c>
      <c r="B9" s="54" t="s">
        <v>130</v>
      </c>
      <c r="C9" s="55"/>
      <c r="D9" s="55">
        <v>150</v>
      </c>
      <c r="E9" s="55"/>
      <c r="F9" s="56">
        <f t="shared" si="0"/>
        <v>150</v>
      </c>
    </row>
    <row r="10" s="36" customFormat="1" ht="30" customHeight="1" spans="1:6">
      <c r="A10" s="53">
        <v>207</v>
      </c>
      <c r="B10" s="54" t="s">
        <v>131</v>
      </c>
      <c r="C10" s="55">
        <v>74.1</v>
      </c>
      <c r="D10" s="55"/>
      <c r="E10" s="55"/>
      <c r="F10" s="56">
        <f t="shared" si="0"/>
        <v>74.1</v>
      </c>
    </row>
    <row r="11" s="36" customFormat="1" ht="30" customHeight="1" spans="1:6">
      <c r="A11" s="53">
        <v>208</v>
      </c>
      <c r="B11" s="54" t="s">
        <v>132</v>
      </c>
      <c r="C11" s="55"/>
      <c r="D11" s="55">
        <v>98.32</v>
      </c>
      <c r="E11" s="55"/>
      <c r="F11" s="56">
        <f t="shared" si="0"/>
        <v>98.32</v>
      </c>
    </row>
    <row r="12" s="36" customFormat="1" ht="30" customHeight="1" spans="1:6">
      <c r="A12" s="53">
        <v>210</v>
      </c>
      <c r="B12" s="54" t="s">
        <v>133</v>
      </c>
      <c r="C12" s="55"/>
      <c r="D12" s="55">
        <v>23.35</v>
      </c>
      <c r="E12" s="55"/>
      <c r="F12" s="56">
        <f t="shared" si="0"/>
        <v>23.35</v>
      </c>
    </row>
    <row r="13" s="36" customFormat="1" ht="30" customHeight="1" spans="1:6">
      <c r="A13" s="53">
        <v>211</v>
      </c>
      <c r="B13" s="54" t="s">
        <v>2509</v>
      </c>
      <c r="C13" s="55"/>
      <c r="D13" s="55">
        <v>2096.413</v>
      </c>
      <c r="E13" s="55"/>
      <c r="F13" s="56">
        <f t="shared" si="0"/>
        <v>2096.413</v>
      </c>
    </row>
    <row r="14" s="36" customFormat="1" ht="30" customHeight="1" spans="1:6">
      <c r="A14" s="53">
        <v>212</v>
      </c>
      <c r="B14" s="54" t="s">
        <v>135</v>
      </c>
      <c r="C14" s="55"/>
      <c r="D14" s="55">
        <f>12.5+116.55</f>
        <v>129.05</v>
      </c>
      <c r="E14" s="55">
        <v>9.96</v>
      </c>
      <c r="F14" s="56">
        <f t="shared" si="0"/>
        <v>139.01</v>
      </c>
    </row>
    <row r="15" s="36" customFormat="1" ht="30" customHeight="1" spans="1:6">
      <c r="A15" s="53">
        <v>213</v>
      </c>
      <c r="B15" s="54" t="s">
        <v>136</v>
      </c>
      <c r="C15" s="55"/>
      <c r="D15" s="55">
        <v>2264.5471</v>
      </c>
      <c r="E15" s="55"/>
      <c r="F15" s="56">
        <f t="shared" si="0"/>
        <v>2264.5471</v>
      </c>
    </row>
    <row r="16" s="36" customFormat="1" ht="30" customHeight="1" spans="1:6">
      <c r="A16" s="53">
        <v>214</v>
      </c>
      <c r="B16" s="54" t="s">
        <v>137</v>
      </c>
      <c r="C16" s="55"/>
      <c r="D16" s="55">
        <v>246.56</v>
      </c>
      <c r="E16" s="55"/>
      <c r="F16" s="56">
        <f t="shared" si="0"/>
        <v>246.56</v>
      </c>
    </row>
    <row r="17" s="36" customFormat="1" ht="30" customHeight="1" spans="1:6">
      <c r="A17" s="57">
        <v>215</v>
      </c>
      <c r="B17" s="54" t="s">
        <v>138</v>
      </c>
      <c r="C17" s="55"/>
      <c r="D17" s="55">
        <v>68</v>
      </c>
      <c r="E17" s="55"/>
      <c r="F17" s="56">
        <f t="shared" si="0"/>
        <v>68</v>
      </c>
    </row>
    <row r="18" s="36" customFormat="1" ht="30" customHeight="1" spans="1:6">
      <c r="A18" s="57">
        <v>220</v>
      </c>
      <c r="B18" s="54" t="s">
        <v>142</v>
      </c>
      <c r="C18" s="55"/>
      <c r="D18" s="55">
        <v>12.68</v>
      </c>
      <c r="E18" s="55"/>
      <c r="F18" s="56">
        <f t="shared" si="0"/>
        <v>12.68</v>
      </c>
    </row>
    <row r="19" s="36" customFormat="1" ht="30" customHeight="1" spans="1:6">
      <c r="A19" s="57">
        <v>221</v>
      </c>
      <c r="B19" s="54" t="s">
        <v>143</v>
      </c>
      <c r="C19" s="55"/>
      <c r="D19" s="55">
        <v>97.044</v>
      </c>
      <c r="E19" s="55"/>
      <c r="F19" s="56">
        <f t="shared" si="0"/>
        <v>97.044</v>
      </c>
    </row>
    <row r="20" s="36" customFormat="1" ht="30" customHeight="1" spans="1:6">
      <c r="A20" s="53">
        <v>224</v>
      </c>
      <c r="B20" s="54" t="s">
        <v>145</v>
      </c>
      <c r="C20" s="55"/>
      <c r="D20" s="55">
        <v>2.3</v>
      </c>
      <c r="E20" s="55"/>
      <c r="F20" s="56">
        <f t="shared" si="0"/>
        <v>2.3</v>
      </c>
    </row>
    <row r="21" s="36" customFormat="1" ht="30" customHeight="1" spans="1:6">
      <c r="A21" s="58">
        <v>229</v>
      </c>
      <c r="B21" s="59" t="s">
        <v>147</v>
      </c>
      <c r="C21" s="60"/>
      <c r="D21" s="60">
        <v>26</v>
      </c>
      <c r="E21" s="60"/>
      <c r="F21" s="56">
        <f t="shared" si="0"/>
        <v>26</v>
      </c>
    </row>
  </sheetData>
  <mergeCells count="6">
    <mergeCell ref="A2:F2"/>
    <mergeCell ref="C4:D4"/>
    <mergeCell ref="A6:B6"/>
    <mergeCell ref="A4:A5"/>
    <mergeCell ref="B4:B5"/>
    <mergeCell ref="F4:F5"/>
  </mergeCells>
  <printOptions horizontalCentered="1"/>
  <pageMargins left="0.751388888888889" right="0.751388888888889" top="1" bottom="1" header="0.507638888888889" footer="0.507638888888889"/>
  <pageSetup paperSize="9" scale="96" firstPageNumber="10" orientation="portrait" useFirstPageNumber="1" horizontalDpi="600"/>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38"/>
  <sheetViews>
    <sheetView view="pageBreakPreview" zoomScaleNormal="100" zoomScaleSheetLayoutView="100" workbookViewId="0">
      <selection activeCell="A2" sqref="A2:G2"/>
    </sheetView>
  </sheetViews>
  <sheetFormatPr defaultColWidth="9" defaultRowHeight="13.5" outlineLevelCol="6"/>
  <cols>
    <col min="1" max="1" width="9.25" style="18" customWidth="1"/>
    <col min="2" max="2" width="20.5" style="20" customWidth="1"/>
    <col min="3" max="5" width="9.125" style="21" customWidth="1"/>
    <col min="6" max="6" width="48.4083333333333" style="20" customWidth="1"/>
    <col min="7" max="7" width="10.875" style="18" customWidth="1"/>
  </cols>
  <sheetData>
    <row r="1" ht="18" customHeight="1" spans="1:1">
      <c r="A1" s="22" t="s">
        <v>2510</v>
      </c>
    </row>
    <row r="2" ht="24" spans="1:7">
      <c r="A2" s="23" t="s">
        <v>2511</v>
      </c>
      <c r="B2" s="23"/>
      <c r="C2" s="23"/>
      <c r="D2" s="23"/>
      <c r="E2" s="23"/>
      <c r="F2" s="23"/>
      <c r="G2" s="23"/>
    </row>
    <row r="3" ht="18" customHeight="1" spans="7:7">
      <c r="G3" s="24" t="s">
        <v>2</v>
      </c>
    </row>
    <row r="4" ht="26" customHeight="1" spans="1:7">
      <c r="A4" s="25" t="s">
        <v>155</v>
      </c>
      <c r="B4" s="26" t="s">
        <v>2512</v>
      </c>
      <c r="C4" s="26"/>
      <c r="D4" s="26"/>
      <c r="E4" s="26"/>
      <c r="F4" s="26" t="s">
        <v>2513</v>
      </c>
      <c r="G4" s="25"/>
    </row>
    <row r="5" s="18" customFormat="1" ht="34" customHeight="1" spans="1:7">
      <c r="A5" s="25"/>
      <c r="B5" s="26" t="s">
        <v>2514</v>
      </c>
      <c r="C5" s="26" t="s">
        <v>2515</v>
      </c>
      <c r="D5" s="26" t="s">
        <v>2516</v>
      </c>
      <c r="E5" s="26" t="s">
        <v>2517</v>
      </c>
      <c r="F5" s="26" t="s">
        <v>2518</v>
      </c>
      <c r="G5" s="25" t="s">
        <v>1921</v>
      </c>
    </row>
    <row r="6" ht="23" customHeight="1" spans="1:7">
      <c r="A6" s="27">
        <v>1</v>
      </c>
      <c r="B6" s="28" t="s">
        <v>2214</v>
      </c>
      <c r="C6" s="29">
        <v>15000</v>
      </c>
      <c r="D6" s="29">
        <v>5000</v>
      </c>
      <c r="E6" s="29">
        <v>10000</v>
      </c>
      <c r="F6" s="28" t="s">
        <v>2218</v>
      </c>
      <c r="G6" s="30">
        <v>700</v>
      </c>
    </row>
    <row r="7" ht="23" customHeight="1" spans="1:7">
      <c r="A7" s="27">
        <v>2</v>
      </c>
      <c r="B7" s="28"/>
      <c r="C7" s="29"/>
      <c r="D7" s="29"/>
      <c r="E7" s="29"/>
      <c r="F7" s="28" t="s">
        <v>2220</v>
      </c>
      <c r="G7" s="30">
        <v>400</v>
      </c>
    </row>
    <row r="8" ht="23" customHeight="1" spans="1:7">
      <c r="A8" s="27">
        <v>3</v>
      </c>
      <c r="B8" s="28"/>
      <c r="C8" s="29"/>
      <c r="D8" s="29"/>
      <c r="E8" s="29"/>
      <c r="F8" s="28" t="s">
        <v>2221</v>
      </c>
      <c r="G8" s="30">
        <v>424</v>
      </c>
    </row>
    <row r="9" ht="28.5" spans="1:7">
      <c r="A9" s="27">
        <v>4</v>
      </c>
      <c r="B9" s="28"/>
      <c r="C9" s="29"/>
      <c r="D9" s="29"/>
      <c r="E9" s="29"/>
      <c r="F9" s="28" t="s">
        <v>2222</v>
      </c>
      <c r="G9" s="30">
        <v>399</v>
      </c>
    </row>
    <row r="10" ht="22" customHeight="1" spans="1:7">
      <c r="A10" s="27">
        <v>5</v>
      </c>
      <c r="B10" s="28"/>
      <c r="C10" s="29"/>
      <c r="D10" s="29"/>
      <c r="E10" s="29"/>
      <c r="F10" s="28" t="s">
        <v>2223</v>
      </c>
      <c r="G10" s="30">
        <v>300</v>
      </c>
    </row>
    <row r="11" ht="22" customHeight="1" spans="1:7">
      <c r="A11" s="27">
        <v>6</v>
      </c>
      <c r="B11" s="28"/>
      <c r="C11" s="29"/>
      <c r="D11" s="29"/>
      <c r="E11" s="29"/>
      <c r="F11" s="28" t="s">
        <v>2224</v>
      </c>
      <c r="G11" s="30">
        <v>1904</v>
      </c>
    </row>
    <row r="12" ht="22" customHeight="1" spans="1:7">
      <c r="A12" s="27">
        <v>7</v>
      </c>
      <c r="B12" s="28"/>
      <c r="C12" s="29"/>
      <c r="D12" s="29"/>
      <c r="E12" s="29"/>
      <c r="F12" s="28" t="s">
        <v>2225</v>
      </c>
      <c r="G12" s="30">
        <v>560</v>
      </c>
    </row>
    <row r="13" ht="22" customHeight="1" spans="1:7">
      <c r="A13" s="27">
        <v>8</v>
      </c>
      <c r="B13" s="28"/>
      <c r="C13" s="29"/>
      <c r="D13" s="29"/>
      <c r="E13" s="29"/>
      <c r="F13" s="28" t="s">
        <v>2226</v>
      </c>
      <c r="G13" s="30">
        <v>1175</v>
      </c>
    </row>
    <row r="14" ht="22" customHeight="1" spans="1:7">
      <c r="A14" s="27">
        <v>9</v>
      </c>
      <c r="B14" s="28"/>
      <c r="C14" s="29"/>
      <c r="D14" s="29"/>
      <c r="E14" s="29"/>
      <c r="F14" s="28" t="s">
        <v>2227</v>
      </c>
      <c r="G14" s="30">
        <v>823</v>
      </c>
    </row>
    <row r="15" ht="22" customHeight="1" spans="1:7">
      <c r="A15" s="27">
        <v>10</v>
      </c>
      <c r="B15" s="28"/>
      <c r="C15" s="29"/>
      <c r="D15" s="29"/>
      <c r="E15" s="29"/>
      <c r="F15" s="28" t="s">
        <v>2228</v>
      </c>
      <c r="G15" s="30">
        <v>233</v>
      </c>
    </row>
    <row r="16" ht="22" customHeight="1" spans="1:7">
      <c r="A16" s="27">
        <v>11</v>
      </c>
      <c r="B16" s="28"/>
      <c r="C16" s="29"/>
      <c r="D16" s="29"/>
      <c r="E16" s="29"/>
      <c r="F16" s="28" t="s">
        <v>2229</v>
      </c>
      <c r="G16" s="30">
        <v>500</v>
      </c>
    </row>
    <row r="17" ht="22" customHeight="1" spans="1:7">
      <c r="A17" s="27">
        <v>12</v>
      </c>
      <c r="B17" s="28"/>
      <c r="C17" s="29"/>
      <c r="D17" s="29"/>
      <c r="E17" s="29"/>
      <c r="F17" s="28" t="s">
        <v>2230</v>
      </c>
      <c r="G17" s="30">
        <v>237</v>
      </c>
    </row>
    <row r="18" ht="22" customHeight="1" spans="1:7">
      <c r="A18" s="27">
        <v>13</v>
      </c>
      <c r="B18" s="28"/>
      <c r="C18" s="29"/>
      <c r="D18" s="29"/>
      <c r="E18" s="29"/>
      <c r="F18" s="28" t="s">
        <v>2231</v>
      </c>
      <c r="G18" s="30">
        <v>217</v>
      </c>
    </row>
    <row r="19" ht="22" customHeight="1" spans="1:7">
      <c r="A19" s="27">
        <v>14</v>
      </c>
      <c r="B19" s="28"/>
      <c r="C19" s="29"/>
      <c r="D19" s="29"/>
      <c r="E19" s="29"/>
      <c r="F19" s="28" t="s">
        <v>2232</v>
      </c>
      <c r="G19" s="30">
        <v>753</v>
      </c>
    </row>
    <row r="20" ht="22" customHeight="1" spans="1:7">
      <c r="A20" s="27">
        <v>15</v>
      </c>
      <c r="B20" s="28"/>
      <c r="C20" s="29"/>
      <c r="D20" s="29"/>
      <c r="E20" s="29"/>
      <c r="F20" s="28" t="s">
        <v>2233</v>
      </c>
      <c r="G20" s="30">
        <v>979</v>
      </c>
    </row>
    <row r="21" ht="22" customHeight="1" spans="1:7">
      <c r="A21" s="27">
        <v>16</v>
      </c>
      <c r="B21" s="28"/>
      <c r="C21" s="29"/>
      <c r="D21" s="29"/>
      <c r="E21" s="29"/>
      <c r="F21" s="28" t="s">
        <v>2234</v>
      </c>
      <c r="G21" s="30">
        <v>156</v>
      </c>
    </row>
    <row r="22" ht="22" customHeight="1" spans="1:7">
      <c r="A22" s="27">
        <v>17</v>
      </c>
      <c r="B22" s="28"/>
      <c r="C22" s="29"/>
      <c r="D22" s="29"/>
      <c r="E22" s="29"/>
      <c r="F22" s="28" t="s">
        <v>2235</v>
      </c>
      <c r="G22" s="30">
        <v>240</v>
      </c>
    </row>
    <row r="23" s="19" customFormat="1" ht="26" customHeight="1" spans="1:7">
      <c r="A23" s="31" t="s">
        <v>184</v>
      </c>
      <c r="B23" s="32"/>
      <c r="C23" s="33">
        <f>SUM(C6:C22)</f>
        <v>15000</v>
      </c>
      <c r="D23" s="33">
        <f>SUM(D6:D22)</f>
        <v>5000</v>
      </c>
      <c r="E23" s="33">
        <f>SUM(E6:E22)</f>
        <v>10000</v>
      </c>
      <c r="F23" s="25" t="s">
        <v>184</v>
      </c>
      <c r="G23" s="33">
        <f>SUM(G6:G22)</f>
        <v>10000</v>
      </c>
    </row>
    <row r="24" ht="32" customHeight="1" spans="1:7">
      <c r="A24" s="27">
        <v>18</v>
      </c>
      <c r="B24" s="28" t="s">
        <v>2210</v>
      </c>
      <c r="C24" s="29">
        <v>10000</v>
      </c>
      <c r="D24" s="29">
        <v>6600</v>
      </c>
      <c r="E24" s="29">
        <v>3400</v>
      </c>
      <c r="F24" s="28" t="s">
        <v>2235</v>
      </c>
      <c r="G24" s="30">
        <v>3400</v>
      </c>
    </row>
    <row r="25" ht="49" customHeight="1" spans="1:7">
      <c r="A25" s="27">
        <v>19</v>
      </c>
      <c r="B25" s="28" t="s">
        <v>2207</v>
      </c>
      <c r="C25" s="29">
        <v>3000</v>
      </c>
      <c r="D25" s="29">
        <v>1000</v>
      </c>
      <c r="E25" s="29">
        <v>2000</v>
      </c>
      <c r="F25" s="28" t="s">
        <v>2236</v>
      </c>
      <c r="G25" s="30">
        <v>2000</v>
      </c>
    </row>
    <row r="26" ht="26" customHeight="1" spans="1:7">
      <c r="A26" s="27">
        <v>20</v>
      </c>
      <c r="B26" s="28" t="s">
        <v>2212</v>
      </c>
      <c r="C26" s="29">
        <v>15000</v>
      </c>
      <c r="D26" s="29">
        <v>8800</v>
      </c>
      <c r="E26" s="29">
        <v>6200</v>
      </c>
      <c r="F26" s="28" t="s">
        <v>2234</v>
      </c>
      <c r="G26" s="30">
        <v>979</v>
      </c>
    </row>
    <row r="27" ht="29" customHeight="1" spans="1:7">
      <c r="A27" s="27">
        <v>21</v>
      </c>
      <c r="B27" s="28"/>
      <c r="C27" s="29"/>
      <c r="D27" s="29"/>
      <c r="E27" s="29"/>
      <c r="F27" s="28" t="s">
        <v>2237</v>
      </c>
      <c r="G27" s="30">
        <v>400</v>
      </c>
    </row>
    <row r="28" ht="26" customHeight="1" spans="1:7">
      <c r="A28" s="27">
        <v>22</v>
      </c>
      <c r="B28" s="28"/>
      <c r="C28" s="29"/>
      <c r="D28" s="29"/>
      <c r="E28" s="29"/>
      <c r="F28" s="28" t="s">
        <v>2238</v>
      </c>
      <c r="G28" s="30">
        <v>300</v>
      </c>
    </row>
    <row r="29" ht="28" customHeight="1" spans="1:7">
      <c r="A29" s="27">
        <v>23</v>
      </c>
      <c r="B29" s="28"/>
      <c r="C29" s="29"/>
      <c r="D29" s="29"/>
      <c r="E29" s="29"/>
      <c r="F29" s="28" t="s">
        <v>2239</v>
      </c>
      <c r="G29" s="30">
        <v>221</v>
      </c>
    </row>
    <row r="30" ht="26" customHeight="1" spans="1:7">
      <c r="A30" s="27">
        <v>24</v>
      </c>
      <c r="B30" s="28"/>
      <c r="C30" s="29"/>
      <c r="D30" s="29"/>
      <c r="E30" s="29"/>
      <c r="F30" s="28" t="s">
        <v>2240</v>
      </c>
      <c r="G30" s="30">
        <v>300</v>
      </c>
    </row>
    <row r="31" ht="28.5" spans="1:7">
      <c r="A31" s="27">
        <v>25</v>
      </c>
      <c r="B31" s="28"/>
      <c r="C31" s="29"/>
      <c r="D31" s="29"/>
      <c r="E31" s="29"/>
      <c r="F31" s="28" t="s">
        <v>2519</v>
      </c>
      <c r="G31" s="30">
        <v>746</v>
      </c>
    </row>
    <row r="32" ht="26" customHeight="1" spans="1:7">
      <c r="A32" s="27">
        <v>26</v>
      </c>
      <c r="B32" s="28"/>
      <c r="C32" s="29"/>
      <c r="D32" s="29"/>
      <c r="E32" s="29"/>
      <c r="F32" s="28" t="s">
        <v>2242</v>
      </c>
      <c r="G32" s="30">
        <v>2337</v>
      </c>
    </row>
    <row r="33" ht="26" customHeight="1" spans="1:7">
      <c r="A33" s="27">
        <v>27</v>
      </c>
      <c r="B33" s="28"/>
      <c r="C33" s="29"/>
      <c r="D33" s="29"/>
      <c r="E33" s="29"/>
      <c r="F33" s="28" t="s">
        <v>2243</v>
      </c>
      <c r="G33" s="30">
        <v>367</v>
      </c>
    </row>
    <row r="34" ht="30" customHeight="1" spans="1:7">
      <c r="A34" s="27">
        <v>28</v>
      </c>
      <c r="B34" s="28"/>
      <c r="C34" s="29"/>
      <c r="D34" s="29"/>
      <c r="E34" s="29"/>
      <c r="F34" s="28" t="s">
        <v>2245</v>
      </c>
      <c r="G34" s="30">
        <v>300</v>
      </c>
    </row>
    <row r="35" ht="26" customHeight="1" spans="1:7">
      <c r="A35" s="27">
        <v>29</v>
      </c>
      <c r="B35" s="28"/>
      <c r="C35" s="29"/>
      <c r="D35" s="29"/>
      <c r="E35" s="29"/>
      <c r="F35" s="28" t="s">
        <v>2246</v>
      </c>
      <c r="G35" s="30">
        <v>100</v>
      </c>
    </row>
    <row r="36" ht="26" customHeight="1" spans="1:7">
      <c r="A36" s="27">
        <v>30</v>
      </c>
      <c r="B36" s="28"/>
      <c r="C36" s="29"/>
      <c r="D36" s="29"/>
      <c r="E36" s="29"/>
      <c r="F36" s="28" t="s">
        <v>2247</v>
      </c>
      <c r="G36" s="30">
        <v>150</v>
      </c>
    </row>
    <row r="37" ht="26" customHeight="1" spans="1:7">
      <c r="A37" s="31" t="s">
        <v>184</v>
      </c>
      <c r="B37" s="32"/>
      <c r="C37" s="33">
        <f>SUM(C24:C36)</f>
        <v>28000</v>
      </c>
      <c r="D37" s="33">
        <f>SUM(D24:D36)</f>
        <v>16400</v>
      </c>
      <c r="E37" s="33">
        <f>SUM(E24:E36)</f>
        <v>11600</v>
      </c>
      <c r="F37" s="25" t="s">
        <v>184</v>
      </c>
      <c r="G37" s="33">
        <f>SUM(G24:G36)</f>
        <v>11600</v>
      </c>
    </row>
    <row r="38" ht="33" customHeight="1" spans="1:7">
      <c r="A38" s="34" t="s">
        <v>22</v>
      </c>
      <c r="B38" s="35"/>
      <c r="C38" s="33">
        <f>C23+C37</f>
        <v>43000</v>
      </c>
      <c r="D38" s="33">
        <f>D23+D37</f>
        <v>21400</v>
      </c>
      <c r="E38" s="33">
        <f>E23+E37</f>
        <v>21600</v>
      </c>
      <c r="F38" s="26" t="s">
        <v>22</v>
      </c>
      <c r="G38" s="33">
        <f>G23+G37</f>
        <v>21600</v>
      </c>
    </row>
  </sheetData>
  <mergeCells count="15">
    <mergeCell ref="A2:G2"/>
    <mergeCell ref="B4:E4"/>
    <mergeCell ref="F4:G4"/>
    <mergeCell ref="A23:B23"/>
    <mergeCell ref="A37:B37"/>
    <mergeCell ref="A38:B38"/>
    <mergeCell ref="A4:A5"/>
    <mergeCell ref="B6:B22"/>
    <mergeCell ref="B26:B36"/>
    <mergeCell ref="C6:C22"/>
    <mergeCell ref="C26:C36"/>
    <mergeCell ref="D6:D22"/>
    <mergeCell ref="D26:D36"/>
    <mergeCell ref="E6:E22"/>
    <mergeCell ref="E26:E36"/>
  </mergeCells>
  <printOptions horizontalCentered="1"/>
  <pageMargins left="0.590277777777778" right="0.590277777777778" top="0.590277777777778" bottom="0.393055555555556" header="0.275" footer="0.15625"/>
  <pageSetup paperSize="9" scale="79" firstPageNumber="10" fitToHeight="0" orientation="portrait" useFirstPageNumber="1" horizontalDpi="600"/>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36"/>
  <sheetViews>
    <sheetView view="pageBreakPreview" zoomScaleNormal="100" zoomScaleSheetLayoutView="100" workbookViewId="0">
      <selection activeCell="H11" sqref="H11"/>
    </sheetView>
  </sheetViews>
  <sheetFormatPr defaultColWidth="9" defaultRowHeight="13.5" outlineLevelCol="4"/>
  <cols>
    <col min="1" max="1" width="7.46666666666667" style="8" customWidth="1"/>
    <col min="2" max="2" width="52.5583333333333" style="8" customWidth="1"/>
    <col min="3" max="5" width="13.25" style="8" customWidth="1"/>
    <col min="6" max="16384" width="9" style="8"/>
  </cols>
  <sheetData>
    <row r="1" spans="1:1">
      <c r="A1" s="9" t="s">
        <v>2520</v>
      </c>
    </row>
    <row r="2" ht="24" spans="1:5">
      <c r="A2" s="10" t="s">
        <v>2521</v>
      </c>
      <c r="B2" s="10"/>
      <c r="C2" s="10"/>
      <c r="D2" s="10"/>
      <c r="E2" s="10"/>
    </row>
    <row r="3" spans="4:5">
      <c r="D3" s="11" t="s">
        <v>2</v>
      </c>
      <c r="E3" s="11"/>
    </row>
    <row r="4" ht="23" customHeight="1" spans="1:5">
      <c r="A4" s="12" t="s">
        <v>155</v>
      </c>
      <c r="B4" s="12" t="s">
        <v>2522</v>
      </c>
      <c r="C4" s="12" t="s">
        <v>2523</v>
      </c>
      <c r="D4" s="4"/>
      <c r="E4" s="4"/>
    </row>
    <row r="5" spans="1:5">
      <c r="A5" s="4"/>
      <c r="B5" s="4"/>
      <c r="C5" s="12" t="s">
        <v>2524</v>
      </c>
      <c r="D5" s="12" t="s">
        <v>2525</v>
      </c>
      <c r="E5" s="12" t="s">
        <v>2526</v>
      </c>
    </row>
    <row r="6" spans="1:5">
      <c r="A6" s="4"/>
      <c r="B6" s="4"/>
      <c r="C6" s="4"/>
      <c r="D6" s="4"/>
      <c r="E6" s="4"/>
    </row>
    <row r="7" ht="22" customHeight="1" spans="1:5">
      <c r="A7" s="13">
        <v>1</v>
      </c>
      <c r="B7" s="14" t="s">
        <v>2527</v>
      </c>
      <c r="C7" s="15">
        <v>67487.94</v>
      </c>
      <c r="D7" s="15">
        <v>61229.95</v>
      </c>
      <c r="E7" s="16" t="s">
        <v>2528</v>
      </c>
    </row>
    <row r="8" ht="22" customHeight="1" spans="1:5">
      <c r="A8" s="13">
        <v>2</v>
      </c>
      <c r="B8" s="14" t="s">
        <v>2529</v>
      </c>
      <c r="C8" s="15">
        <v>40480.23</v>
      </c>
      <c r="D8" s="15">
        <v>34998.37</v>
      </c>
      <c r="E8" s="16" t="s">
        <v>2530</v>
      </c>
    </row>
    <row r="9" ht="22" customHeight="1" spans="1:5">
      <c r="A9" s="13">
        <v>3</v>
      </c>
      <c r="B9" s="14" t="s">
        <v>2531</v>
      </c>
      <c r="C9" s="15">
        <v>830</v>
      </c>
      <c r="D9" s="15">
        <v>825.86</v>
      </c>
      <c r="E9" s="16" t="s">
        <v>2532</v>
      </c>
    </row>
    <row r="10" ht="22" customHeight="1" spans="1:5">
      <c r="A10" s="13">
        <v>4</v>
      </c>
      <c r="B10" s="14" t="s">
        <v>2533</v>
      </c>
      <c r="C10" s="15">
        <v>310</v>
      </c>
      <c r="D10" s="15">
        <v>224.8</v>
      </c>
      <c r="E10" s="16" t="s">
        <v>2534</v>
      </c>
    </row>
    <row r="11" ht="22" customHeight="1" spans="1:5">
      <c r="A11" s="13">
        <v>5</v>
      </c>
      <c r="B11" s="14" t="s">
        <v>2535</v>
      </c>
      <c r="C11" s="15">
        <v>6049</v>
      </c>
      <c r="D11" s="15">
        <v>2893</v>
      </c>
      <c r="E11" s="16" t="s">
        <v>2536</v>
      </c>
    </row>
    <row r="12" ht="22" customHeight="1" spans="1:5">
      <c r="A12" s="13">
        <v>6</v>
      </c>
      <c r="B12" s="14" t="s">
        <v>2537</v>
      </c>
      <c r="C12" s="15">
        <v>2555.88</v>
      </c>
      <c r="D12" s="15">
        <v>2527.5</v>
      </c>
      <c r="E12" s="16" t="s">
        <v>2538</v>
      </c>
    </row>
    <row r="13" ht="22" customHeight="1" spans="1:5">
      <c r="A13" s="13">
        <v>7</v>
      </c>
      <c r="B13" s="14" t="s">
        <v>2539</v>
      </c>
      <c r="C13" s="15">
        <v>6017.6</v>
      </c>
      <c r="D13" s="15">
        <v>5865.97</v>
      </c>
      <c r="E13" s="16" t="s">
        <v>2540</v>
      </c>
    </row>
    <row r="14" ht="22" customHeight="1" spans="1:5">
      <c r="A14" s="13">
        <v>8</v>
      </c>
      <c r="B14" s="14" t="s">
        <v>2541</v>
      </c>
      <c r="C14" s="15">
        <v>3223.18</v>
      </c>
      <c r="D14" s="15">
        <v>3205.57</v>
      </c>
      <c r="E14" s="16" t="s">
        <v>2532</v>
      </c>
    </row>
    <row r="15" ht="22" customHeight="1" spans="1:5">
      <c r="A15" s="13">
        <v>9</v>
      </c>
      <c r="B15" s="14" t="s">
        <v>2542</v>
      </c>
      <c r="C15" s="15">
        <v>363.9</v>
      </c>
      <c r="D15" s="15">
        <v>293.08</v>
      </c>
      <c r="E15" s="16" t="s">
        <v>2543</v>
      </c>
    </row>
    <row r="16" ht="22" customHeight="1" spans="1:5">
      <c r="A16" s="13">
        <v>10</v>
      </c>
      <c r="B16" s="14" t="s">
        <v>2544</v>
      </c>
      <c r="C16" s="15">
        <v>475</v>
      </c>
      <c r="D16" s="15">
        <v>413</v>
      </c>
      <c r="E16" s="16" t="s">
        <v>2545</v>
      </c>
    </row>
    <row r="17" ht="22" customHeight="1" spans="1:5">
      <c r="A17" s="13">
        <v>11</v>
      </c>
      <c r="B17" s="14" t="s">
        <v>2546</v>
      </c>
      <c r="C17" s="15">
        <v>5115.34</v>
      </c>
      <c r="D17" s="15">
        <v>3888.56</v>
      </c>
      <c r="E17" s="16" t="s">
        <v>2547</v>
      </c>
    </row>
    <row r="18" ht="22" customHeight="1" spans="1:5">
      <c r="A18" s="13">
        <v>12</v>
      </c>
      <c r="B18" s="14" t="s">
        <v>2548</v>
      </c>
      <c r="C18" s="15">
        <v>76.2</v>
      </c>
      <c r="D18" s="15">
        <v>76.2</v>
      </c>
      <c r="E18" s="16" t="s">
        <v>2549</v>
      </c>
    </row>
    <row r="19" ht="22" customHeight="1" spans="1:5">
      <c r="A19" s="13">
        <v>13</v>
      </c>
      <c r="B19" s="14" t="s">
        <v>2550</v>
      </c>
      <c r="C19" s="15">
        <v>569.16</v>
      </c>
      <c r="D19" s="15">
        <v>569.16</v>
      </c>
      <c r="E19" s="16" t="s">
        <v>2549</v>
      </c>
    </row>
    <row r="20" ht="22" customHeight="1" spans="1:5">
      <c r="A20" s="13">
        <v>14</v>
      </c>
      <c r="B20" s="14" t="s">
        <v>2551</v>
      </c>
      <c r="C20" s="15">
        <v>295.6</v>
      </c>
      <c r="D20" s="15">
        <v>295.6</v>
      </c>
      <c r="E20" s="16" t="s">
        <v>2549</v>
      </c>
    </row>
    <row r="21" ht="22" customHeight="1" spans="1:5">
      <c r="A21" s="13">
        <v>15</v>
      </c>
      <c r="B21" s="14" t="s">
        <v>2552</v>
      </c>
      <c r="C21" s="15">
        <v>11099.26</v>
      </c>
      <c r="D21" s="15">
        <v>11099.26</v>
      </c>
      <c r="E21" s="16" t="s">
        <v>2549</v>
      </c>
    </row>
    <row r="22" ht="22" customHeight="1" spans="1:5">
      <c r="A22" s="13">
        <v>16</v>
      </c>
      <c r="B22" s="14" t="s">
        <v>2553</v>
      </c>
      <c r="C22" s="15">
        <v>280.08</v>
      </c>
      <c r="D22" s="15">
        <v>280.08</v>
      </c>
      <c r="E22" s="16" t="s">
        <v>2549</v>
      </c>
    </row>
    <row r="23" ht="22" customHeight="1" spans="1:5">
      <c r="A23" s="13">
        <v>17</v>
      </c>
      <c r="B23" s="14" t="s">
        <v>2554</v>
      </c>
      <c r="C23" s="15">
        <v>994</v>
      </c>
      <c r="D23" s="15">
        <v>628</v>
      </c>
      <c r="E23" s="16" t="s">
        <v>2555</v>
      </c>
    </row>
    <row r="24" ht="22" customHeight="1" spans="1:5">
      <c r="A24" s="13">
        <v>18</v>
      </c>
      <c r="B24" s="14" t="s">
        <v>2556</v>
      </c>
      <c r="C24" s="15">
        <v>97.06</v>
      </c>
      <c r="D24" s="15">
        <v>43.66</v>
      </c>
      <c r="E24" s="16" t="s">
        <v>2557</v>
      </c>
    </row>
    <row r="25" ht="22" customHeight="1" spans="1:5">
      <c r="A25" s="13">
        <v>19</v>
      </c>
      <c r="B25" s="14" t="s">
        <v>2558</v>
      </c>
      <c r="C25" s="15">
        <v>141</v>
      </c>
      <c r="D25" s="15">
        <v>79.4</v>
      </c>
      <c r="E25" s="16" t="s">
        <v>2559</v>
      </c>
    </row>
    <row r="26" ht="22" customHeight="1" spans="1:5">
      <c r="A26" s="13">
        <v>20</v>
      </c>
      <c r="B26" s="14" t="s">
        <v>2560</v>
      </c>
      <c r="C26" s="15">
        <v>1987.97</v>
      </c>
      <c r="D26" s="15">
        <v>1789.66</v>
      </c>
      <c r="E26" s="16" t="s">
        <v>2561</v>
      </c>
    </row>
    <row r="27" ht="22" customHeight="1" spans="1:5">
      <c r="A27" s="13">
        <v>21</v>
      </c>
      <c r="B27" s="14" t="s">
        <v>2562</v>
      </c>
      <c r="C27" s="15">
        <v>24206.58</v>
      </c>
      <c r="D27" s="15">
        <v>23660.58</v>
      </c>
      <c r="E27" s="16" t="s">
        <v>2563</v>
      </c>
    </row>
    <row r="28" ht="22" customHeight="1" spans="1:5">
      <c r="A28" s="13">
        <v>22</v>
      </c>
      <c r="B28" s="14" t="s">
        <v>2564</v>
      </c>
      <c r="C28" s="15">
        <v>17697</v>
      </c>
      <c r="D28" s="15">
        <v>17697</v>
      </c>
      <c r="E28" s="16" t="s">
        <v>2549</v>
      </c>
    </row>
    <row r="29" ht="22" customHeight="1" spans="1:5">
      <c r="A29" s="13">
        <v>23</v>
      </c>
      <c r="B29" s="14" t="s">
        <v>2565</v>
      </c>
      <c r="C29" s="15">
        <v>409</v>
      </c>
      <c r="D29" s="17" t="s">
        <v>2566</v>
      </c>
      <c r="E29" s="14" t="s">
        <v>2566</v>
      </c>
    </row>
    <row r="30" ht="22" customHeight="1" spans="1:5">
      <c r="A30" s="13">
        <v>24</v>
      </c>
      <c r="B30" s="14" t="s">
        <v>2567</v>
      </c>
      <c r="C30" s="15">
        <v>1667</v>
      </c>
      <c r="D30" s="15">
        <v>1660</v>
      </c>
      <c r="E30" s="16" t="s">
        <v>2568</v>
      </c>
    </row>
    <row r="31" ht="22" customHeight="1" spans="1:5">
      <c r="A31" s="13">
        <v>25</v>
      </c>
      <c r="B31" s="14" t="s">
        <v>2569</v>
      </c>
      <c r="C31" s="15">
        <v>4433.58</v>
      </c>
      <c r="D31" s="15">
        <v>4303.58</v>
      </c>
      <c r="E31" s="16" t="s">
        <v>2570</v>
      </c>
    </row>
    <row r="32" ht="22" customHeight="1" spans="1:5">
      <c r="A32" s="13">
        <v>26</v>
      </c>
      <c r="B32" s="14" t="s">
        <v>2571</v>
      </c>
      <c r="C32" s="15">
        <v>2758.34</v>
      </c>
      <c r="D32" s="15">
        <v>2571</v>
      </c>
      <c r="E32" s="16" t="s">
        <v>2572</v>
      </c>
    </row>
    <row r="33" ht="22" customHeight="1" spans="1:5">
      <c r="A33" s="13">
        <v>27</v>
      </c>
      <c r="B33" s="14" t="s">
        <v>2573</v>
      </c>
      <c r="C33" s="15">
        <v>2041.34</v>
      </c>
      <c r="D33" s="15">
        <v>1854</v>
      </c>
      <c r="E33" s="16" t="s">
        <v>2574</v>
      </c>
    </row>
    <row r="34" ht="22" customHeight="1" spans="1:5">
      <c r="A34" s="13">
        <v>28</v>
      </c>
      <c r="B34" s="14" t="s">
        <v>2575</v>
      </c>
      <c r="C34" s="15">
        <v>717</v>
      </c>
      <c r="D34" s="15">
        <v>717</v>
      </c>
      <c r="E34" s="16" t="s">
        <v>2549</v>
      </c>
    </row>
    <row r="35" ht="22" customHeight="1" spans="1:5">
      <c r="A35" s="13">
        <v>29</v>
      </c>
      <c r="B35" s="14" t="s">
        <v>2576</v>
      </c>
      <c r="C35" s="15">
        <v>42.79</v>
      </c>
      <c r="D35" s="17" t="s">
        <v>2566</v>
      </c>
      <c r="E35" s="14" t="s">
        <v>2566</v>
      </c>
    </row>
    <row r="36" ht="22" customHeight="1" spans="1:5">
      <c r="A36" s="13">
        <v>30</v>
      </c>
      <c r="B36" s="14" t="s">
        <v>2577</v>
      </c>
      <c r="C36" s="15">
        <v>42.79</v>
      </c>
      <c r="D36" s="17" t="s">
        <v>2566</v>
      </c>
      <c r="E36" s="14" t="s">
        <v>2566</v>
      </c>
    </row>
  </sheetData>
  <mergeCells count="8">
    <mergeCell ref="A2:E2"/>
    <mergeCell ref="D3:E3"/>
    <mergeCell ref="C4:E4"/>
    <mergeCell ref="A4:A6"/>
    <mergeCell ref="B4:B6"/>
    <mergeCell ref="C5:C6"/>
    <mergeCell ref="D5:D6"/>
    <mergeCell ref="E5:E6"/>
  </mergeCells>
  <printOptions horizontalCentered="1"/>
  <pageMargins left="0.590277777777778" right="0.590277777777778" top="0.747916666666667" bottom="0.747916666666667" header="0.507638888888889" footer="0.507638888888889"/>
  <pageSetup paperSize="9" scale="92" firstPageNumber="10" orientation="portrait" useFirstPageNumber="1" horizontalDpi="600"/>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546"/>
  <sheetViews>
    <sheetView topLeftCell="C336" workbookViewId="0">
      <selection activeCell="H380" sqref="H380"/>
    </sheetView>
  </sheetViews>
  <sheetFormatPr defaultColWidth="9" defaultRowHeight="13.5"/>
  <cols>
    <col min="1" max="1" width="26" customWidth="1"/>
    <col min="6" max="6" width="14.8666666666667" customWidth="1"/>
    <col min="7" max="7" width="58.6333333333333" customWidth="1"/>
    <col min="13" max="13" width="16.6333333333333" customWidth="1"/>
    <col min="17" max="17" width="15.225" customWidth="1"/>
    <col min="18" max="18" width="13.8666666666667" customWidth="1"/>
  </cols>
  <sheetData>
    <row r="1" spans="1:18">
      <c r="A1" s="1" t="s">
        <v>2578</v>
      </c>
      <c r="B1" s="2" t="s">
        <v>1230</v>
      </c>
      <c r="E1" s="3" t="s">
        <v>400</v>
      </c>
      <c r="F1" t="s">
        <v>2579</v>
      </c>
      <c r="G1" t="s">
        <v>2580</v>
      </c>
      <c r="M1" s="5" t="s">
        <v>812</v>
      </c>
      <c r="Q1" s="6" t="s">
        <v>1201</v>
      </c>
      <c r="R1" s="6" t="s">
        <v>833</v>
      </c>
    </row>
    <row r="2" spans="1:18">
      <c r="A2" s="1" t="s">
        <v>2581</v>
      </c>
      <c r="B2" s="2" t="s">
        <v>1296</v>
      </c>
      <c r="E2" s="3" t="s">
        <v>404</v>
      </c>
      <c r="F2" t="s">
        <v>856</v>
      </c>
      <c r="G2" t="s">
        <v>2582</v>
      </c>
      <c r="M2" s="5" t="s">
        <v>2583</v>
      </c>
      <c r="Q2" s="7"/>
      <c r="R2" s="7"/>
    </row>
    <row r="3" ht="24" spans="1:18">
      <c r="A3" s="1" t="s">
        <v>859</v>
      </c>
      <c r="B3" s="2" t="s">
        <v>1909</v>
      </c>
      <c r="E3" s="3" t="s">
        <v>203</v>
      </c>
      <c r="F3" t="s">
        <v>2584</v>
      </c>
      <c r="G3" t="s">
        <v>2585</v>
      </c>
      <c r="M3" s="5" t="s">
        <v>2586</v>
      </c>
      <c r="Q3" t="s">
        <v>2131</v>
      </c>
      <c r="R3" s="1" t="s">
        <v>2578</v>
      </c>
    </row>
    <row r="4" ht="24" spans="1:18">
      <c r="A4" s="1" t="s">
        <v>2587</v>
      </c>
      <c r="B4" s="2" t="s">
        <v>1895</v>
      </c>
      <c r="E4" s="3" t="s">
        <v>483</v>
      </c>
      <c r="F4" t="s">
        <v>2588</v>
      </c>
      <c r="G4" t="s">
        <v>2589</v>
      </c>
      <c r="M4" s="5" t="s">
        <v>2590</v>
      </c>
      <c r="Q4" t="s">
        <v>1217</v>
      </c>
      <c r="R4" s="1" t="s">
        <v>2581</v>
      </c>
    </row>
    <row r="5" ht="24" spans="1:18">
      <c r="A5" s="1" t="s">
        <v>977</v>
      </c>
      <c r="B5" s="2" t="s">
        <v>1905</v>
      </c>
      <c r="E5" s="3" t="s">
        <v>206</v>
      </c>
      <c r="F5" t="s">
        <v>889</v>
      </c>
      <c r="G5" t="s">
        <v>2591</v>
      </c>
      <c r="M5" s="5" t="s">
        <v>2592</v>
      </c>
      <c r="R5" s="1" t="s">
        <v>859</v>
      </c>
    </row>
    <row r="6" ht="24" spans="1:18">
      <c r="A6" s="1" t="s">
        <v>2593</v>
      </c>
      <c r="B6" s="2" t="s">
        <v>1218</v>
      </c>
      <c r="E6" s="3" t="s">
        <v>404</v>
      </c>
      <c r="F6" t="s">
        <v>880</v>
      </c>
      <c r="G6" t="s">
        <v>2594</v>
      </c>
      <c r="M6" s="5" t="s">
        <v>2595</v>
      </c>
      <c r="R6" s="1" t="s">
        <v>2587</v>
      </c>
    </row>
    <row r="7" ht="24" spans="1:18">
      <c r="A7" s="4" t="s">
        <v>838</v>
      </c>
      <c r="F7" t="s">
        <v>1117</v>
      </c>
      <c r="G7" t="s">
        <v>1251</v>
      </c>
      <c r="M7" s="5" t="s">
        <v>2596</v>
      </c>
      <c r="R7" s="1" t="s">
        <v>977</v>
      </c>
    </row>
    <row r="8" ht="24" spans="1:18">
      <c r="A8" t="s">
        <v>2297</v>
      </c>
      <c r="F8" t="s">
        <v>836</v>
      </c>
      <c r="G8" t="s">
        <v>2597</v>
      </c>
      <c r="M8" s="5" t="s">
        <v>2598</v>
      </c>
      <c r="R8" s="1" t="s">
        <v>2593</v>
      </c>
    </row>
    <row r="9" spans="6:18">
      <c r="F9" t="s">
        <v>1713</v>
      </c>
      <c r="G9" t="s">
        <v>2599</v>
      </c>
      <c r="M9" s="5" t="s">
        <v>2600</v>
      </c>
      <c r="R9" s="4" t="s">
        <v>838</v>
      </c>
    </row>
    <row r="10" spans="6:18">
      <c r="F10" t="s">
        <v>730</v>
      </c>
      <c r="G10" t="s">
        <v>2601</v>
      </c>
      <c r="M10" s="5" t="s">
        <v>2602</v>
      </c>
      <c r="R10" t="s">
        <v>2297</v>
      </c>
    </row>
    <row r="11" spans="6:18">
      <c r="F11" t="s">
        <v>1135</v>
      </c>
      <c r="G11" t="s">
        <v>2603</v>
      </c>
      <c r="M11" s="5" t="s">
        <v>2604</v>
      </c>
      <c r="R11" t="s">
        <v>1230</v>
      </c>
    </row>
    <row r="12" spans="6:18">
      <c r="F12" t="s">
        <v>2605</v>
      </c>
      <c r="G12" t="s">
        <v>2606</v>
      </c>
      <c r="M12" s="5" t="s">
        <v>2607</v>
      </c>
      <c r="R12" t="s">
        <v>1296</v>
      </c>
    </row>
    <row r="13" spans="6:18">
      <c r="F13" t="s">
        <v>1161</v>
      </c>
      <c r="G13" t="s">
        <v>2608</v>
      </c>
      <c r="M13" s="5" t="s">
        <v>2609</v>
      </c>
      <c r="R13" t="s">
        <v>1909</v>
      </c>
    </row>
    <row r="14" spans="6:18">
      <c r="F14" t="s">
        <v>2610</v>
      </c>
      <c r="G14" t="s">
        <v>2611</v>
      </c>
      <c r="M14" s="5" t="s">
        <v>2612</v>
      </c>
      <c r="R14" t="s">
        <v>1895</v>
      </c>
    </row>
    <row r="15" spans="6:18">
      <c r="F15" t="s">
        <v>1227</v>
      </c>
      <c r="G15" t="s">
        <v>1215</v>
      </c>
      <c r="M15" s="5" t="s">
        <v>2613</v>
      </c>
      <c r="R15" t="s">
        <v>1905</v>
      </c>
    </row>
    <row r="16" spans="6:18">
      <c r="F16" t="s">
        <v>2614</v>
      </c>
      <c r="G16" t="s">
        <v>2615</v>
      </c>
      <c r="M16" s="5" t="s">
        <v>2616</v>
      </c>
      <c r="R16" t="s">
        <v>1218</v>
      </c>
    </row>
    <row r="17" spans="13:13">
      <c r="M17" s="5" t="s">
        <v>2617</v>
      </c>
    </row>
    <row r="18" spans="6:13">
      <c r="F18" t="s">
        <v>1288</v>
      </c>
      <c r="G18" t="s">
        <v>2618</v>
      </c>
      <c r="M18" s="5" t="s">
        <v>2619</v>
      </c>
    </row>
    <row r="19" spans="7:13">
      <c r="G19" t="s">
        <v>2620</v>
      </c>
      <c r="M19" s="5" t="s">
        <v>2621</v>
      </c>
    </row>
    <row r="20" spans="7:13">
      <c r="G20" t="s">
        <v>2622</v>
      </c>
      <c r="M20" s="5" t="s">
        <v>2623</v>
      </c>
    </row>
    <row r="21" spans="7:13">
      <c r="G21" t="s">
        <v>2624</v>
      </c>
      <c r="M21" s="5" t="s">
        <v>2625</v>
      </c>
    </row>
    <row r="22" spans="7:13">
      <c r="G22" t="s">
        <v>2626</v>
      </c>
      <c r="M22" s="5" t="s">
        <v>2627</v>
      </c>
    </row>
    <row r="23" spans="7:13">
      <c r="G23" t="s">
        <v>2628</v>
      </c>
      <c r="M23" s="5" t="s">
        <v>2629</v>
      </c>
    </row>
    <row r="24" spans="7:13">
      <c r="G24" t="s">
        <v>2630</v>
      </c>
      <c r="M24" s="5" t="s">
        <v>2631</v>
      </c>
    </row>
    <row r="25" spans="7:13">
      <c r="G25" t="s">
        <v>2632</v>
      </c>
      <c r="M25" s="5" t="s">
        <v>2633</v>
      </c>
    </row>
    <row r="26" spans="7:13">
      <c r="G26" t="s">
        <v>2634</v>
      </c>
      <c r="M26" s="5" t="s">
        <v>2635</v>
      </c>
    </row>
    <row r="27" spans="7:13">
      <c r="G27" t="s">
        <v>2636</v>
      </c>
      <c r="M27" s="5" t="s">
        <v>2637</v>
      </c>
    </row>
    <row r="28" spans="7:13">
      <c r="G28" t="s">
        <v>2638</v>
      </c>
      <c r="M28" s="5" t="s">
        <v>2639</v>
      </c>
    </row>
    <row r="29" spans="7:13">
      <c r="G29" t="s">
        <v>2640</v>
      </c>
      <c r="M29" s="5" t="s">
        <v>2641</v>
      </c>
    </row>
    <row r="30" spans="7:13">
      <c r="G30" t="s">
        <v>2642</v>
      </c>
      <c r="M30" s="5" t="s">
        <v>2643</v>
      </c>
    </row>
    <row r="31" spans="7:13">
      <c r="G31" t="s">
        <v>2644</v>
      </c>
      <c r="M31" s="5" t="s">
        <v>2645</v>
      </c>
    </row>
    <row r="32" spans="7:13">
      <c r="G32" t="s">
        <v>2646</v>
      </c>
      <c r="M32" s="5" t="s">
        <v>2647</v>
      </c>
    </row>
    <row r="33" spans="7:13">
      <c r="G33" t="s">
        <v>2648</v>
      </c>
      <c r="M33" s="5" t="s">
        <v>2649</v>
      </c>
    </row>
    <row r="34" spans="7:13">
      <c r="G34" t="s">
        <v>2650</v>
      </c>
      <c r="M34" s="5" t="s">
        <v>2651</v>
      </c>
    </row>
    <row r="35" spans="7:13">
      <c r="G35" t="s">
        <v>2652</v>
      </c>
      <c r="M35" s="5" t="s">
        <v>2653</v>
      </c>
    </row>
    <row r="36" spans="7:13">
      <c r="G36" t="s">
        <v>2654</v>
      </c>
      <c r="M36" s="5" t="s">
        <v>2655</v>
      </c>
    </row>
    <row r="37" spans="7:13">
      <c r="G37" t="s">
        <v>2656</v>
      </c>
      <c r="M37" s="5" t="s">
        <v>2657</v>
      </c>
    </row>
    <row r="38" spans="7:13">
      <c r="G38" t="s">
        <v>1335</v>
      </c>
      <c r="M38" s="5" t="s">
        <v>2658</v>
      </c>
    </row>
    <row r="39" spans="7:13">
      <c r="G39" t="s">
        <v>2659</v>
      </c>
      <c r="M39" s="5" t="s">
        <v>1229</v>
      </c>
    </row>
    <row r="40" spans="7:13">
      <c r="G40" t="s">
        <v>2660</v>
      </c>
      <c r="M40" s="5" t="s">
        <v>2661</v>
      </c>
    </row>
    <row r="41" spans="7:13">
      <c r="G41" t="s">
        <v>2662</v>
      </c>
      <c r="M41" s="5" t="s">
        <v>2663</v>
      </c>
    </row>
    <row r="42" spans="7:13">
      <c r="G42" t="s">
        <v>2664</v>
      </c>
      <c r="M42" s="5" t="s">
        <v>2665</v>
      </c>
    </row>
    <row r="43" spans="7:13">
      <c r="G43" t="s">
        <v>2666</v>
      </c>
      <c r="M43" s="5" t="s">
        <v>2667</v>
      </c>
    </row>
    <row r="44" spans="7:13">
      <c r="G44" t="s">
        <v>2668</v>
      </c>
      <c r="M44" s="5" t="s">
        <v>2669</v>
      </c>
    </row>
    <row r="45" spans="7:13">
      <c r="G45" t="s">
        <v>1260</v>
      </c>
      <c r="M45" s="5" t="s">
        <v>2670</v>
      </c>
    </row>
    <row r="46" spans="7:13">
      <c r="G46" t="s">
        <v>2671</v>
      </c>
      <c r="M46" s="5" t="s">
        <v>2672</v>
      </c>
    </row>
    <row r="47" spans="7:13">
      <c r="G47" t="s">
        <v>2673</v>
      </c>
      <c r="M47" s="5" t="s">
        <v>2674</v>
      </c>
    </row>
    <row r="48" spans="7:13">
      <c r="G48" t="s">
        <v>2675</v>
      </c>
      <c r="M48" s="5" t="s">
        <v>2676</v>
      </c>
    </row>
    <row r="49" spans="7:13">
      <c r="G49" t="s">
        <v>2677</v>
      </c>
      <c r="M49" s="5" t="s">
        <v>2678</v>
      </c>
    </row>
    <row r="50" spans="7:13">
      <c r="G50" t="s">
        <v>2679</v>
      </c>
      <c r="M50" s="5" t="s">
        <v>2680</v>
      </c>
    </row>
    <row r="51" spans="7:13">
      <c r="G51" t="s">
        <v>2681</v>
      </c>
      <c r="M51" s="5" t="s">
        <v>2682</v>
      </c>
    </row>
    <row r="52" spans="7:13">
      <c r="G52" t="s">
        <v>2683</v>
      </c>
      <c r="M52" s="5" t="s">
        <v>2684</v>
      </c>
    </row>
    <row r="53" spans="7:13">
      <c r="G53" t="s">
        <v>2685</v>
      </c>
      <c r="M53" s="5" t="s">
        <v>2686</v>
      </c>
    </row>
    <row r="54" spans="7:13">
      <c r="G54" t="s">
        <v>2687</v>
      </c>
      <c r="M54" s="5" t="s">
        <v>2688</v>
      </c>
    </row>
    <row r="55" spans="7:13">
      <c r="G55" t="s">
        <v>2689</v>
      </c>
      <c r="M55" s="5" t="s">
        <v>2690</v>
      </c>
    </row>
    <row r="56" spans="7:13">
      <c r="G56" t="s">
        <v>2691</v>
      </c>
      <c r="M56" s="5" t="s">
        <v>2692</v>
      </c>
    </row>
    <row r="57" spans="7:13">
      <c r="G57" t="s">
        <v>2693</v>
      </c>
      <c r="M57" s="5" t="s">
        <v>2694</v>
      </c>
    </row>
    <row r="58" spans="7:13">
      <c r="G58" t="s">
        <v>1228</v>
      </c>
      <c r="M58" s="5" t="s">
        <v>2695</v>
      </c>
    </row>
    <row r="59" spans="7:13">
      <c r="G59" t="s">
        <v>1237</v>
      </c>
      <c r="M59" s="5" t="s">
        <v>2696</v>
      </c>
    </row>
    <row r="60" spans="7:13">
      <c r="G60" t="s">
        <v>2697</v>
      </c>
      <c r="M60" s="5" t="s">
        <v>2698</v>
      </c>
    </row>
    <row r="61" spans="7:13">
      <c r="G61" t="s">
        <v>2699</v>
      </c>
      <c r="M61" s="5" t="s">
        <v>2700</v>
      </c>
    </row>
    <row r="62" spans="7:13">
      <c r="G62" t="s">
        <v>2701</v>
      </c>
      <c r="M62" s="5" t="s">
        <v>2702</v>
      </c>
    </row>
    <row r="63" spans="7:13">
      <c r="G63" t="s">
        <v>2703</v>
      </c>
      <c r="M63" s="5" t="s">
        <v>2704</v>
      </c>
    </row>
    <row r="64" spans="7:13">
      <c r="G64" t="s">
        <v>1323</v>
      </c>
      <c r="M64" s="5" t="s">
        <v>2705</v>
      </c>
    </row>
    <row r="65" spans="7:13">
      <c r="G65" t="s">
        <v>2706</v>
      </c>
      <c r="M65" s="5" t="s">
        <v>2707</v>
      </c>
    </row>
    <row r="66" spans="7:13">
      <c r="G66" t="s">
        <v>2708</v>
      </c>
      <c r="M66" s="5" t="s">
        <v>2709</v>
      </c>
    </row>
    <row r="67" spans="7:13">
      <c r="G67" t="s">
        <v>2710</v>
      </c>
      <c r="M67" s="5" t="s">
        <v>2711</v>
      </c>
    </row>
    <row r="68" spans="7:13">
      <c r="G68" t="s">
        <v>2712</v>
      </c>
      <c r="M68" s="5" t="s">
        <v>2713</v>
      </c>
    </row>
    <row r="69" spans="7:13">
      <c r="G69" t="s">
        <v>2714</v>
      </c>
      <c r="M69" s="5" t="s">
        <v>2715</v>
      </c>
    </row>
    <row r="70" spans="7:13">
      <c r="G70" t="s">
        <v>2716</v>
      </c>
      <c r="M70" s="5" t="s">
        <v>2717</v>
      </c>
    </row>
    <row r="71" spans="7:13">
      <c r="G71" t="s">
        <v>2718</v>
      </c>
      <c r="M71" s="5" t="s">
        <v>2719</v>
      </c>
    </row>
    <row r="72" spans="7:13">
      <c r="G72" t="s">
        <v>2720</v>
      </c>
      <c r="M72" s="5" t="s">
        <v>2721</v>
      </c>
    </row>
    <row r="73" spans="7:13">
      <c r="G73" t="s">
        <v>1268</v>
      </c>
      <c r="M73" s="5" t="s">
        <v>2722</v>
      </c>
    </row>
    <row r="74" spans="7:13">
      <c r="G74" t="s">
        <v>2723</v>
      </c>
      <c r="M74" s="5" t="s">
        <v>2724</v>
      </c>
    </row>
    <row r="75" spans="7:13">
      <c r="G75" t="s">
        <v>1265</v>
      </c>
      <c r="M75" s="5" t="s">
        <v>2725</v>
      </c>
    </row>
    <row r="76" spans="7:13">
      <c r="G76" t="s">
        <v>2726</v>
      </c>
      <c r="M76" s="5" t="s">
        <v>2727</v>
      </c>
    </row>
    <row r="77" spans="7:13">
      <c r="G77" t="s">
        <v>2728</v>
      </c>
      <c r="M77" s="5" t="s">
        <v>2729</v>
      </c>
    </row>
    <row r="78" spans="7:13">
      <c r="G78" t="s">
        <v>2730</v>
      </c>
      <c r="M78" s="5" t="s">
        <v>2731</v>
      </c>
    </row>
    <row r="79" spans="7:13">
      <c r="G79" t="s">
        <v>2732</v>
      </c>
      <c r="M79" s="5" t="s">
        <v>2733</v>
      </c>
    </row>
    <row r="80" spans="7:13">
      <c r="G80" t="s">
        <v>1377</v>
      </c>
      <c r="M80" s="5" t="s">
        <v>2734</v>
      </c>
    </row>
    <row r="81" spans="7:13">
      <c r="G81" t="s">
        <v>2735</v>
      </c>
      <c r="M81" s="5" t="s">
        <v>2736</v>
      </c>
    </row>
    <row r="82" spans="7:13">
      <c r="G82" t="s">
        <v>2737</v>
      </c>
      <c r="M82" s="5" t="s">
        <v>2738</v>
      </c>
    </row>
    <row r="83" spans="7:13">
      <c r="G83" t="s">
        <v>2739</v>
      </c>
      <c r="M83" s="5" t="s">
        <v>2740</v>
      </c>
    </row>
    <row r="84" spans="7:13">
      <c r="G84" t="s">
        <v>2741</v>
      </c>
      <c r="M84" s="5" t="s">
        <v>2742</v>
      </c>
    </row>
    <row r="85" spans="7:13">
      <c r="G85" t="s">
        <v>2743</v>
      </c>
      <c r="M85" s="5" t="s">
        <v>2744</v>
      </c>
    </row>
    <row r="86" spans="7:13">
      <c r="G86" t="s">
        <v>2745</v>
      </c>
      <c r="M86" s="5" t="s">
        <v>2746</v>
      </c>
    </row>
    <row r="87" spans="7:13">
      <c r="G87" t="s">
        <v>2747</v>
      </c>
      <c r="M87" s="5" t="s">
        <v>2748</v>
      </c>
    </row>
    <row r="88" spans="7:13">
      <c r="G88" t="s">
        <v>2749</v>
      </c>
      <c r="M88" s="5" t="s">
        <v>2750</v>
      </c>
    </row>
    <row r="89" spans="7:13">
      <c r="G89" t="s">
        <v>2314</v>
      </c>
      <c r="M89" s="5" t="s">
        <v>2751</v>
      </c>
    </row>
    <row r="90" spans="7:13">
      <c r="G90" t="s">
        <v>2752</v>
      </c>
      <c r="M90" s="5" t="s">
        <v>2753</v>
      </c>
    </row>
    <row r="91" spans="7:13">
      <c r="G91" t="s">
        <v>2754</v>
      </c>
      <c r="M91" s="5" t="s">
        <v>2755</v>
      </c>
    </row>
    <row r="92" spans="7:13">
      <c r="G92" t="s">
        <v>2756</v>
      </c>
      <c r="M92" s="5" t="s">
        <v>2757</v>
      </c>
    </row>
    <row r="93" spans="7:13">
      <c r="G93" t="s">
        <v>1368</v>
      </c>
      <c r="M93" s="5" t="s">
        <v>2758</v>
      </c>
    </row>
    <row r="94" spans="7:13">
      <c r="G94" t="s">
        <v>1419</v>
      </c>
      <c r="M94" s="5" t="s">
        <v>2759</v>
      </c>
    </row>
    <row r="95" spans="7:13">
      <c r="G95" t="s">
        <v>2760</v>
      </c>
      <c r="M95" s="5" t="s">
        <v>2761</v>
      </c>
    </row>
    <row r="96" spans="7:13">
      <c r="G96" t="s">
        <v>2762</v>
      </c>
      <c r="M96" s="5" t="s">
        <v>2763</v>
      </c>
    </row>
    <row r="97" spans="7:13">
      <c r="G97" t="s">
        <v>2764</v>
      </c>
      <c r="M97" s="5" t="s">
        <v>2765</v>
      </c>
    </row>
    <row r="98" spans="7:13">
      <c r="G98" t="s">
        <v>2766</v>
      </c>
      <c r="M98" s="5" t="s">
        <v>2767</v>
      </c>
    </row>
    <row r="99" spans="7:13">
      <c r="G99" t="s">
        <v>2768</v>
      </c>
      <c r="M99" s="5" t="s">
        <v>2769</v>
      </c>
    </row>
    <row r="100" spans="7:13">
      <c r="G100" t="s">
        <v>2770</v>
      </c>
      <c r="M100" s="5" t="s">
        <v>2771</v>
      </c>
    </row>
    <row r="101" spans="7:13">
      <c r="G101" t="s">
        <v>2772</v>
      </c>
      <c r="M101" s="5" t="s">
        <v>2773</v>
      </c>
    </row>
    <row r="102" spans="7:13">
      <c r="G102" t="s">
        <v>1889</v>
      </c>
      <c r="M102" s="5" t="s">
        <v>2774</v>
      </c>
    </row>
    <row r="103" spans="7:13">
      <c r="G103" t="s">
        <v>2775</v>
      </c>
      <c r="M103" s="5" t="s">
        <v>2776</v>
      </c>
    </row>
    <row r="104" spans="7:13">
      <c r="G104" t="s">
        <v>2777</v>
      </c>
      <c r="M104" s="5" t="s">
        <v>1241</v>
      </c>
    </row>
    <row r="105" spans="7:13">
      <c r="G105" t="s">
        <v>2778</v>
      </c>
      <c r="M105" s="5" t="s">
        <v>2779</v>
      </c>
    </row>
    <row r="106" spans="7:13">
      <c r="G106" t="s">
        <v>2780</v>
      </c>
      <c r="M106" s="5" t="s">
        <v>2781</v>
      </c>
    </row>
    <row r="107" spans="7:13">
      <c r="G107" t="s">
        <v>2782</v>
      </c>
      <c r="M107" s="5" t="s">
        <v>2783</v>
      </c>
    </row>
    <row r="108" spans="7:13">
      <c r="G108" t="s">
        <v>2784</v>
      </c>
      <c r="M108" s="5" t="s">
        <v>2785</v>
      </c>
    </row>
    <row r="109" spans="7:13">
      <c r="G109" t="s">
        <v>2786</v>
      </c>
      <c r="M109" s="5" t="s">
        <v>2787</v>
      </c>
    </row>
    <row r="110" spans="7:13">
      <c r="G110" t="s">
        <v>2788</v>
      </c>
      <c r="M110" s="5" t="s">
        <v>2789</v>
      </c>
    </row>
    <row r="111" spans="7:13">
      <c r="G111" t="s">
        <v>2790</v>
      </c>
      <c r="M111" s="5" t="s">
        <v>2791</v>
      </c>
    </row>
    <row r="112" spans="7:13">
      <c r="G112" t="s">
        <v>2792</v>
      </c>
      <c r="M112" s="5" t="s">
        <v>2793</v>
      </c>
    </row>
    <row r="113" spans="7:13">
      <c r="G113" t="s">
        <v>2794</v>
      </c>
      <c r="M113" s="5" t="s">
        <v>2795</v>
      </c>
    </row>
    <row r="114" spans="7:13">
      <c r="G114" t="s">
        <v>2796</v>
      </c>
      <c r="M114" s="5" t="s">
        <v>2797</v>
      </c>
    </row>
    <row r="115" spans="7:13">
      <c r="G115" t="s">
        <v>2798</v>
      </c>
      <c r="M115" s="5" t="s">
        <v>2799</v>
      </c>
    </row>
    <row r="116" spans="7:13">
      <c r="G116" t="s">
        <v>1381</v>
      </c>
      <c r="M116" s="5" t="s">
        <v>2800</v>
      </c>
    </row>
    <row r="117" spans="7:13">
      <c r="G117" t="s">
        <v>1410</v>
      </c>
      <c r="M117" s="5" t="s">
        <v>2801</v>
      </c>
    </row>
    <row r="118" spans="7:13">
      <c r="G118" t="s">
        <v>2802</v>
      </c>
      <c r="M118" s="5" t="s">
        <v>2803</v>
      </c>
    </row>
    <row r="119" spans="7:13">
      <c r="G119" t="s">
        <v>1425</v>
      </c>
      <c r="M119" s="5" t="s">
        <v>2804</v>
      </c>
    </row>
    <row r="120" spans="7:13">
      <c r="G120" t="s">
        <v>2805</v>
      </c>
      <c r="M120" s="5" t="s">
        <v>2806</v>
      </c>
    </row>
    <row r="121" spans="7:13">
      <c r="G121" t="s">
        <v>2807</v>
      </c>
      <c r="M121" s="5" t="s">
        <v>2808</v>
      </c>
    </row>
    <row r="122" spans="7:13">
      <c r="G122" t="s">
        <v>1466</v>
      </c>
      <c r="M122" s="5" t="s">
        <v>2809</v>
      </c>
    </row>
    <row r="123" spans="7:13">
      <c r="G123" t="s">
        <v>1822</v>
      </c>
      <c r="M123" s="5" t="s">
        <v>2810</v>
      </c>
    </row>
    <row r="124" spans="7:13">
      <c r="G124" t="s">
        <v>2811</v>
      </c>
      <c r="M124" s="5" t="s">
        <v>2812</v>
      </c>
    </row>
    <row r="125" spans="7:13">
      <c r="G125" t="s">
        <v>1934</v>
      </c>
      <c r="M125" s="5" t="s">
        <v>2813</v>
      </c>
    </row>
    <row r="126" spans="7:13">
      <c r="G126" t="s">
        <v>1845</v>
      </c>
      <c r="M126" s="5" t="s">
        <v>2814</v>
      </c>
    </row>
    <row r="127" spans="7:13">
      <c r="G127" t="s">
        <v>1271</v>
      </c>
      <c r="M127" s="5" t="s">
        <v>2815</v>
      </c>
    </row>
    <row r="128" spans="7:13">
      <c r="G128" t="s">
        <v>2816</v>
      </c>
      <c r="M128" s="5" t="s">
        <v>2817</v>
      </c>
    </row>
    <row r="129" spans="7:13">
      <c r="G129" t="s">
        <v>2818</v>
      </c>
      <c r="M129" s="5" t="s">
        <v>2819</v>
      </c>
    </row>
    <row r="130" spans="7:13">
      <c r="G130" t="s">
        <v>2820</v>
      </c>
      <c r="M130" s="5" t="s">
        <v>2821</v>
      </c>
    </row>
    <row r="131" spans="7:13">
      <c r="G131" t="s">
        <v>2822</v>
      </c>
      <c r="M131" s="5" t="s">
        <v>2823</v>
      </c>
    </row>
    <row r="132" spans="7:13">
      <c r="G132" t="s">
        <v>2824</v>
      </c>
      <c r="M132" s="5" t="s">
        <v>2825</v>
      </c>
    </row>
    <row r="133" spans="7:13">
      <c r="G133" t="s">
        <v>1517</v>
      </c>
      <c r="M133" s="5" t="s">
        <v>2826</v>
      </c>
    </row>
    <row r="134" spans="7:13">
      <c r="G134" t="s">
        <v>2827</v>
      </c>
      <c r="M134" s="5" t="s">
        <v>2828</v>
      </c>
    </row>
    <row r="135" spans="7:13">
      <c r="G135" t="s">
        <v>2829</v>
      </c>
      <c r="M135" s="5" t="s">
        <v>2830</v>
      </c>
    </row>
    <row r="136" spans="7:13">
      <c r="G136" t="s">
        <v>2831</v>
      </c>
      <c r="M136" s="5" t="s">
        <v>2832</v>
      </c>
    </row>
    <row r="137" spans="7:13">
      <c r="G137" t="s">
        <v>2833</v>
      </c>
      <c r="M137" s="5" t="s">
        <v>2834</v>
      </c>
    </row>
    <row r="138" spans="7:13">
      <c r="G138" t="s">
        <v>2835</v>
      </c>
      <c r="M138" s="5" t="s">
        <v>2836</v>
      </c>
    </row>
    <row r="139" spans="7:13">
      <c r="G139" t="s">
        <v>2837</v>
      </c>
      <c r="M139" s="5" t="s">
        <v>2838</v>
      </c>
    </row>
    <row r="140" spans="7:13">
      <c r="G140" t="s">
        <v>2839</v>
      </c>
      <c r="M140" s="5" t="s">
        <v>2840</v>
      </c>
    </row>
    <row r="141" spans="7:13">
      <c r="G141" t="s">
        <v>2841</v>
      </c>
      <c r="M141" s="5" t="s">
        <v>2842</v>
      </c>
    </row>
    <row r="142" spans="7:13">
      <c r="G142" t="s">
        <v>2843</v>
      </c>
      <c r="M142" s="5" t="s">
        <v>2844</v>
      </c>
    </row>
    <row r="143" spans="7:13">
      <c r="G143" t="s">
        <v>2845</v>
      </c>
      <c r="M143" s="5" t="s">
        <v>2846</v>
      </c>
    </row>
    <row r="144" spans="7:13">
      <c r="G144" t="s">
        <v>2847</v>
      </c>
      <c r="M144" s="5" t="s">
        <v>2848</v>
      </c>
    </row>
    <row r="145" spans="7:13">
      <c r="G145" t="s">
        <v>2849</v>
      </c>
      <c r="M145" s="5" t="s">
        <v>2850</v>
      </c>
    </row>
    <row r="146" spans="7:13">
      <c r="G146" t="s">
        <v>2851</v>
      </c>
      <c r="M146" s="5" t="s">
        <v>2852</v>
      </c>
    </row>
    <row r="147" spans="7:13">
      <c r="G147" t="s">
        <v>2853</v>
      </c>
      <c r="M147" s="5" t="s">
        <v>2854</v>
      </c>
    </row>
    <row r="148" spans="7:13">
      <c r="G148" t="s">
        <v>2855</v>
      </c>
      <c r="M148" s="5" t="s">
        <v>2856</v>
      </c>
    </row>
    <row r="149" spans="7:13">
      <c r="G149" t="s">
        <v>2857</v>
      </c>
      <c r="M149" s="5" t="s">
        <v>1252</v>
      </c>
    </row>
    <row r="150" spans="7:13">
      <c r="G150" t="s">
        <v>2858</v>
      </c>
      <c r="M150" s="5" t="s">
        <v>2859</v>
      </c>
    </row>
    <row r="151" spans="7:13">
      <c r="G151" t="s">
        <v>2860</v>
      </c>
      <c r="M151" s="5" t="s">
        <v>2861</v>
      </c>
    </row>
    <row r="152" spans="7:13">
      <c r="G152" t="s">
        <v>2862</v>
      </c>
      <c r="M152" s="5" t="s">
        <v>2863</v>
      </c>
    </row>
    <row r="153" spans="7:13">
      <c r="G153" t="s">
        <v>2864</v>
      </c>
      <c r="M153" s="5" t="s">
        <v>2865</v>
      </c>
    </row>
    <row r="154" spans="7:13">
      <c r="G154" t="s">
        <v>2866</v>
      </c>
      <c r="M154" s="5" t="s">
        <v>2867</v>
      </c>
    </row>
    <row r="155" spans="7:13">
      <c r="G155" t="s">
        <v>2868</v>
      </c>
      <c r="M155" s="5" t="s">
        <v>2869</v>
      </c>
    </row>
    <row r="156" spans="7:13">
      <c r="G156" t="s">
        <v>1614</v>
      </c>
      <c r="M156" s="5" t="s">
        <v>2870</v>
      </c>
    </row>
    <row r="157" spans="7:13">
      <c r="G157" t="s">
        <v>2871</v>
      </c>
      <c r="M157" s="5" t="s">
        <v>1216</v>
      </c>
    </row>
    <row r="158" spans="7:13">
      <c r="G158" t="s">
        <v>1611</v>
      </c>
      <c r="M158" s="5" t="s">
        <v>2872</v>
      </c>
    </row>
    <row r="159" spans="7:13">
      <c r="G159" t="s">
        <v>2873</v>
      </c>
      <c r="M159" s="5" t="s">
        <v>2874</v>
      </c>
    </row>
    <row r="160" spans="7:13">
      <c r="G160" t="s">
        <v>2875</v>
      </c>
      <c r="M160" s="5" t="s">
        <v>2876</v>
      </c>
    </row>
    <row r="161" spans="7:13">
      <c r="G161" t="s">
        <v>2877</v>
      </c>
      <c r="M161" s="5" t="s">
        <v>2878</v>
      </c>
    </row>
    <row r="162" spans="7:13">
      <c r="G162" t="s">
        <v>2879</v>
      </c>
      <c r="M162" s="5" t="s">
        <v>2880</v>
      </c>
    </row>
    <row r="163" spans="7:13">
      <c r="G163" t="s">
        <v>2881</v>
      </c>
      <c r="M163" s="5" t="s">
        <v>2882</v>
      </c>
    </row>
    <row r="164" spans="7:13">
      <c r="G164" t="s">
        <v>2883</v>
      </c>
      <c r="M164" s="5" t="s">
        <v>2884</v>
      </c>
    </row>
    <row r="165" spans="7:13">
      <c r="G165" t="s">
        <v>2885</v>
      </c>
      <c r="M165" s="5" t="s">
        <v>2886</v>
      </c>
    </row>
    <row r="166" spans="7:13">
      <c r="G166" t="s">
        <v>2887</v>
      </c>
      <c r="M166" s="5" t="s">
        <v>2888</v>
      </c>
    </row>
    <row r="167" spans="7:13">
      <c r="G167" t="s">
        <v>2889</v>
      </c>
      <c r="M167" s="5" t="s">
        <v>2890</v>
      </c>
    </row>
    <row r="168" spans="7:13">
      <c r="G168" t="s">
        <v>2891</v>
      </c>
      <c r="M168" s="5" t="s">
        <v>2892</v>
      </c>
    </row>
    <row r="169" spans="7:13">
      <c r="G169" t="s">
        <v>2893</v>
      </c>
      <c r="M169" s="5" t="s">
        <v>2894</v>
      </c>
    </row>
    <row r="170" spans="7:13">
      <c r="G170" t="s">
        <v>1652</v>
      </c>
      <c r="M170" s="5" t="s">
        <v>2895</v>
      </c>
    </row>
    <row r="171" spans="7:13">
      <c r="G171" t="s">
        <v>2896</v>
      </c>
      <c r="M171" s="5" t="s">
        <v>2897</v>
      </c>
    </row>
    <row r="172" spans="7:13">
      <c r="G172" t="s">
        <v>2898</v>
      </c>
      <c r="M172" s="5" t="s">
        <v>2899</v>
      </c>
    </row>
    <row r="173" spans="7:13">
      <c r="G173" t="s">
        <v>2900</v>
      </c>
      <c r="M173" s="5" t="s">
        <v>2901</v>
      </c>
    </row>
    <row r="174" spans="7:13">
      <c r="G174" t="s">
        <v>2902</v>
      </c>
      <c r="M174" s="5" t="s">
        <v>2903</v>
      </c>
    </row>
    <row r="175" spans="7:13">
      <c r="G175" t="s">
        <v>2904</v>
      </c>
      <c r="M175" s="5" t="s">
        <v>2905</v>
      </c>
    </row>
    <row r="176" spans="7:13">
      <c r="G176" t="s">
        <v>2906</v>
      </c>
      <c r="M176" s="5" t="s">
        <v>2907</v>
      </c>
    </row>
    <row r="177" spans="7:13">
      <c r="G177" t="s">
        <v>2908</v>
      </c>
      <c r="M177" s="5" t="s">
        <v>2909</v>
      </c>
    </row>
    <row r="178" spans="7:13">
      <c r="G178" t="s">
        <v>1542</v>
      </c>
      <c r="M178" s="5" t="s">
        <v>2910</v>
      </c>
    </row>
    <row r="179" spans="7:13">
      <c r="G179" t="s">
        <v>2911</v>
      </c>
      <c r="M179" s="5" t="s">
        <v>2912</v>
      </c>
    </row>
    <row r="180" spans="7:13">
      <c r="G180" t="s">
        <v>2913</v>
      </c>
      <c r="M180" s="5" t="s">
        <v>2914</v>
      </c>
    </row>
    <row r="181" spans="7:13">
      <c r="G181" t="s">
        <v>1573</v>
      </c>
      <c r="M181" s="5" t="s">
        <v>2915</v>
      </c>
    </row>
    <row r="182" spans="7:13">
      <c r="G182" t="s">
        <v>2916</v>
      </c>
      <c r="M182" s="5" t="s">
        <v>2917</v>
      </c>
    </row>
    <row r="183" spans="7:13">
      <c r="G183" t="s">
        <v>1556</v>
      </c>
      <c r="M183" s="5" t="s">
        <v>2918</v>
      </c>
    </row>
    <row r="184" spans="7:13">
      <c r="G184" t="s">
        <v>1949</v>
      </c>
      <c r="M184" s="5" t="s">
        <v>2919</v>
      </c>
    </row>
    <row r="185" spans="7:13">
      <c r="G185" t="s">
        <v>1532</v>
      </c>
      <c r="M185" s="5" t="s">
        <v>2920</v>
      </c>
    </row>
    <row r="186" spans="7:13">
      <c r="G186" t="s">
        <v>2921</v>
      </c>
      <c r="M186" s="5" t="s">
        <v>2922</v>
      </c>
    </row>
    <row r="187" spans="7:13">
      <c r="G187" t="s">
        <v>1957</v>
      </c>
      <c r="M187" s="5" t="s">
        <v>2923</v>
      </c>
    </row>
    <row r="188" spans="7:13">
      <c r="G188" t="s">
        <v>1561</v>
      </c>
      <c r="M188" s="5" t="s">
        <v>2924</v>
      </c>
    </row>
    <row r="189" spans="7:13">
      <c r="G189" t="s">
        <v>1579</v>
      </c>
      <c r="M189" s="5" t="s">
        <v>2925</v>
      </c>
    </row>
    <row r="190" spans="7:13">
      <c r="G190" t="s">
        <v>2926</v>
      </c>
      <c r="M190" s="5" t="s">
        <v>2927</v>
      </c>
    </row>
    <row r="191" spans="7:13">
      <c r="G191" t="s">
        <v>2928</v>
      </c>
      <c r="M191" s="5" t="s">
        <v>2929</v>
      </c>
    </row>
    <row r="192" spans="7:13">
      <c r="G192" t="s">
        <v>2930</v>
      </c>
      <c r="M192" s="5" t="s">
        <v>2931</v>
      </c>
    </row>
    <row r="193" spans="7:13">
      <c r="G193" t="s">
        <v>1656</v>
      </c>
      <c r="M193" s="5" t="s">
        <v>2932</v>
      </c>
    </row>
    <row r="194" spans="7:13">
      <c r="G194" t="s">
        <v>2933</v>
      </c>
      <c r="M194" s="5" t="s">
        <v>2934</v>
      </c>
    </row>
    <row r="195" spans="7:13">
      <c r="G195" t="s">
        <v>2935</v>
      </c>
      <c r="M195" s="5" t="s">
        <v>2936</v>
      </c>
    </row>
    <row r="196" spans="7:13">
      <c r="G196" t="s">
        <v>2937</v>
      </c>
      <c r="M196" s="5" t="s">
        <v>2938</v>
      </c>
    </row>
    <row r="197" spans="7:13">
      <c r="G197" t="s">
        <v>2939</v>
      </c>
      <c r="M197" s="5" t="s">
        <v>2940</v>
      </c>
    </row>
    <row r="198" spans="7:13">
      <c r="G198" t="s">
        <v>2941</v>
      </c>
      <c r="M198" s="5" t="s">
        <v>2942</v>
      </c>
    </row>
    <row r="199" spans="7:13">
      <c r="G199" t="s">
        <v>2943</v>
      </c>
      <c r="M199" s="5" t="s">
        <v>2944</v>
      </c>
    </row>
    <row r="200" spans="7:13">
      <c r="G200" t="s">
        <v>2945</v>
      </c>
      <c r="M200" s="5" t="s">
        <v>1256</v>
      </c>
    </row>
    <row r="201" spans="7:13">
      <c r="G201" t="s">
        <v>1683</v>
      </c>
      <c r="M201" s="5" t="s">
        <v>2946</v>
      </c>
    </row>
    <row r="202" spans="7:13">
      <c r="G202" t="s">
        <v>2947</v>
      </c>
      <c r="M202" s="5" t="s">
        <v>2948</v>
      </c>
    </row>
    <row r="203" spans="7:13">
      <c r="G203" t="s">
        <v>2949</v>
      </c>
      <c r="M203" s="5" t="s">
        <v>2950</v>
      </c>
    </row>
    <row r="204" spans="7:13">
      <c r="G204" t="s">
        <v>2951</v>
      </c>
      <c r="M204" s="5" t="s">
        <v>2952</v>
      </c>
    </row>
    <row r="205" spans="7:13">
      <c r="G205" t="s">
        <v>2953</v>
      </c>
      <c r="M205" s="5" t="s">
        <v>2954</v>
      </c>
    </row>
    <row r="206" spans="7:13">
      <c r="G206" t="s">
        <v>2955</v>
      </c>
      <c r="M206" s="5" t="s">
        <v>2956</v>
      </c>
    </row>
    <row r="207" spans="7:13">
      <c r="G207" t="s">
        <v>2957</v>
      </c>
      <c r="M207" s="5" t="s">
        <v>2958</v>
      </c>
    </row>
    <row r="208" spans="7:13">
      <c r="G208" t="s">
        <v>2959</v>
      </c>
      <c r="M208" s="5" t="s">
        <v>2960</v>
      </c>
    </row>
    <row r="209" spans="7:13">
      <c r="G209" t="s">
        <v>2961</v>
      </c>
      <c r="M209" s="5" t="s">
        <v>2962</v>
      </c>
    </row>
    <row r="210" spans="7:13">
      <c r="G210" t="s">
        <v>1345</v>
      </c>
      <c r="M210" s="5" t="s">
        <v>2963</v>
      </c>
    </row>
    <row r="211" spans="7:13">
      <c r="G211" t="s">
        <v>2964</v>
      </c>
      <c r="M211" s="5" t="s">
        <v>2965</v>
      </c>
    </row>
    <row r="212" spans="7:13">
      <c r="G212" t="s">
        <v>2966</v>
      </c>
      <c r="M212" s="5" t="s">
        <v>2967</v>
      </c>
    </row>
    <row r="213" spans="7:13">
      <c r="G213" t="s">
        <v>2968</v>
      </c>
      <c r="M213" s="5" t="s">
        <v>2969</v>
      </c>
    </row>
    <row r="214" spans="7:13">
      <c r="G214" t="s">
        <v>2970</v>
      </c>
      <c r="M214" s="5" t="s">
        <v>2971</v>
      </c>
    </row>
    <row r="215" spans="7:13">
      <c r="G215" t="s">
        <v>2972</v>
      </c>
      <c r="M215" s="5" t="s">
        <v>2973</v>
      </c>
    </row>
    <row r="216" spans="7:13">
      <c r="G216" t="s">
        <v>2974</v>
      </c>
      <c r="M216" s="5" t="s">
        <v>2975</v>
      </c>
    </row>
    <row r="217" spans="7:13">
      <c r="G217" t="s">
        <v>2976</v>
      </c>
      <c r="M217" s="5" t="s">
        <v>2977</v>
      </c>
    </row>
    <row r="218" spans="7:13">
      <c r="G218" t="s">
        <v>2978</v>
      </c>
      <c r="M218" s="5" t="s">
        <v>2979</v>
      </c>
    </row>
    <row r="219" spans="7:13">
      <c r="G219" t="s">
        <v>2980</v>
      </c>
      <c r="M219" s="5" t="s">
        <v>2981</v>
      </c>
    </row>
    <row r="220" spans="7:13">
      <c r="G220" t="s">
        <v>2982</v>
      </c>
      <c r="M220" s="5" t="s">
        <v>2983</v>
      </c>
    </row>
    <row r="221" spans="7:13">
      <c r="G221" t="s">
        <v>2984</v>
      </c>
      <c r="M221" s="5" t="s">
        <v>2985</v>
      </c>
    </row>
    <row r="222" spans="7:13">
      <c r="G222" t="s">
        <v>2986</v>
      </c>
      <c r="M222" s="5" t="s">
        <v>2987</v>
      </c>
    </row>
    <row r="223" spans="7:13">
      <c r="G223" t="s">
        <v>1279</v>
      </c>
      <c r="M223" s="5" t="s">
        <v>2988</v>
      </c>
    </row>
    <row r="224" spans="7:13">
      <c r="G224" t="s">
        <v>1289</v>
      </c>
      <c r="M224" s="5" t="s">
        <v>2989</v>
      </c>
    </row>
    <row r="225" spans="7:13">
      <c r="G225" t="s">
        <v>2990</v>
      </c>
      <c r="M225" s="5" t="s">
        <v>2991</v>
      </c>
    </row>
    <row r="226" spans="7:13">
      <c r="G226" t="s">
        <v>2992</v>
      </c>
      <c r="M226" s="5" t="s">
        <v>2993</v>
      </c>
    </row>
    <row r="227" spans="7:13">
      <c r="G227" t="s">
        <v>2994</v>
      </c>
      <c r="M227" s="5" t="s">
        <v>2995</v>
      </c>
    </row>
    <row r="228" spans="7:13">
      <c r="G228" t="s">
        <v>2996</v>
      </c>
      <c r="M228" s="5" t="s">
        <v>2997</v>
      </c>
    </row>
    <row r="229" spans="7:13">
      <c r="G229" t="s">
        <v>2998</v>
      </c>
      <c r="M229" s="5" t="s">
        <v>2999</v>
      </c>
    </row>
    <row r="230" spans="7:13">
      <c r="G230" t="s">
        <v>3000</v>
      </c>
      <c r="M230" s="5" t="s">
        <v>3001</v>
      </c>
    </row>
    <row r="231" spans="7:13">
      <c r="G231" t="s">
        <v>1315</v>
      </c>
      <c r="M231" s="5" t="s">
        <v>3002</v>
      </c>
    </row>
    <row r="232" spans="7:13">
      <c r="G232" t="s">
        <v>3003</v>
      </c>
      <c r="M232" s="5" t="s">
        <v>3004</v>
      </c>
    </row>
    <row r="233" spans="7:13">
      <c r="G233" t="s">
        <v>3005</v>
      </c>
      <c r="M233" s="5" t="s">
        <v>3006</v>
      </c>
    </row>
    <row r="234" spans="7:13">
      <c r="G234" t="s">
        <v>3007</v>
      </c>
      <c r="M234" s="5" t="s">
        <v>3008</v>
      </c>
    </row>
    <row r="235" spans="7:13">
      <c r="G235" t="s">
        <v>3009</v>
      </c>
      <c r="M235" s="5" t="s">
        <v>3010</v>
      </c>
    </row>
    <row r="236" spans="7:13">
      <c r="G236" t="s">
        <v>3011</v>
      </c>
      <c r="M236" s="5" t="s">
        <v>3012</v>
      </c>
    </row>
    <row r="237" spans="7:13">
      <c r="G237" t="s">
        <v>3013</v>
      </c>
      <c r="M237" s="5" t="s">
        <v>3014</v>
      </c>
    </row>
    <row r="238" spans="7:13">
      <c r="G238" t="s">
        <v>3015</v>
      </c>
      <c r="M238" s="5" t="s">
        <v>3016</v>
      </c>
    </row>
    <row r="239" spans="7:13">
      <c r="G239" t="s">
        <v>3017</v>
      </c>
      <c r="M239" s="5" t="s">
        <v>3018</v>
      </c>
    </row>
    <row r="240" spans="7:13">
      <c r="G240" t="s">
        <v>3019</v>
      </c>
      <c r="M240" s="5" t="s">
        <v>3020</v>
      </c>
    </row>
    <row r="241" spans="7:13">
      <c r="G241" t="s">
        <v>3021</v>
      </c>
      <c r="M241" s="5" t="s">
        <v>3022</v>
      </c>
    </row>
    <row r="242" spans="7:13">
      <c r="G242" t="s">
        <v>3023</v>
      </c>
      <c r="M242" s="5" t="s">
        <v>3024</v>
      </c>
    </row>
    <row r="243" spans="7:13">
      <c r="G243" t="s">
        <v>3025</v>
      </c>
      <c r="M243" s="5" t="s">
        <v>3026</v>
      </c>
    </row>
    <row r="244" spans="7:13">
      <c r="G244" t="s">
        <v>3027</v>
      </c>
      <c r="M244" s="5" t="s">
        <v>3028</v>
      </c>
    </row>
    <row r="245" spans="7:13">
      <c r="G245" t="s">
        <v>3029</v>
      </c>
      <c r="M245" s="5" t="s">
        <v>3030</v>
      </c>
    </row>
    <row r="246" spans="7:13">
      <c r="G246" t="s">
        <v>3031</v>
      </c>
      <c r="M246" s="5" t="s">
        <v>3032</v>
      </c>
    </row>
    <row r="247" spans="7:13">
      <c r="G247" t="s">
        <v>3033</v>
      </c>
      <c r="M247" s="5" t="s">
        <v>3034</v>
      </c>
    </row>
    <row r="248" spans="7:13">
      <c r="G248" t="s">
        <v>3035</v>
      </c>
      <c r="M248" s="5" t="s">
        <v>3036</v>
      </c>
    </row>
    <row r="249" spans="7:13">
      <c r="G249" t="s">
        <v>3037</v>
      </c>
      <c r="M249" s="5" t="s">
        <v>3038</v>
      </c>
    </row>
    <row r="250" spans="7:13">
      <c r="G250" t="s">
        <v>3039</v>
      </c>
      <c r="M250" s="5" t="s">
        <v>3040</v>
      </c>
    </row>
    <row r="251" spans="7:13">
      <c r="G251" t="s">
        <v>3041</v>
      </c>
      <c r="M251" s="5" t="s">
        <v>3042</v>
      </c>
    </row>
    <row r="252" spans="7:13">
      <c r="G252" t="s">
        <v>3043</v>
      </c>
      <c r="M252" s="5" t="s">
        <v>3044</v>
      </c>
    </row>
    <row r="253" spans="7:13">
      <c r="G253" t="s">
        <v>3045</v>
      </c>
      <c r="M253" s="5" t="s">
        <v>3046</v>
      </c>
    </row>
    <row r="254" spans="7:13">
      <c r="G254" t="s">
        <v>3047</v>
      </c>
      <c r="M254" s="5" t="s">
        <v>3048</v>
      </c>
    </row>
    <row r="255" spans="7:13">
      <c r="G255" t="s">
        <v>3049</v>
      </c>
      <c r="M255" s="5" t="s">
        <v>3050</v>
      </c>
    </row>
    <row r="256" spans="7:13">
      <c r="G256" t="s">
        <v>3051</v>
      </c>
      <c r="M256" s="5" t="s">
        <v>3052</v>
      </c>
    </row>
    <row r="257" spans="7:13">
      <c r="G257" t="s">
        <v>3053</v>
      </c>
      <c r="M257" s="5" t="s">
        <v>3054</v>
      </c>
    </row>
    <row r="258" spans="7:13">
      <c r="G258" t="s">
        <v>3055</v>
      </c>
      <c r="M258" s="5" t="s">
        <v>3056</v>
      </c>
    </row>
    <row r="259" spans="7:13">
      <c r="G259" t="s">
        <v>3057</v>
      </c>
      <c r="M259" s="5" t="s">
        <v>3058</v>
      </c>
    </row>
    <row r="260" spans="7:13">
      <c r="G260" t="s">
        <v>3059</v>
      </c>
      <c r="M260" s="5" t="s">
        <v>3060</v>
      </c>
    </row>
    <row r="261" spans="7:13">
      <c r="G261" t="s">
        <v>3061</v>
      </c>
      <c r="M261" s="5" t="s">
        <v>3062</v>
      </c>
    </row>
    <row r="262" spans="7:13">
      <c r="G262" t="s">
        <v>3063</v>
      </c>
      <c r="M262" s="5" t="s">
        <v>3064</v>
      </c>
    </row>
    <row r="263" spans="7:13">
      <c r="G263" t="s">
        <v>3065</v>
      </c>
      <c r="M263" s="5" t="s">
        <v>3066</v>
      </c>
    </row>
    <row r="264" spans="7:13">
      <c r="G264" t="s">
        <v>3067</v>
      </c>
      <c r="M264" s="5" t="s">
        <v>3068</v>
      </c>
    </row>
    <row r="265" spans="7:13">
      <c r="G265" t="s">
        <v>3069</v>
      </c>
      <c r="M265" s="5" t="s">
        <v>3070</v>
      </c>
    </row>
    <row r="266" spans="7:13">
      <c r="G266" t="s">
        <v>3071</v>
      </c>
      <c r="M266" s="5" t="s">
        <v>3072</v>
      </c>
    </row>
    <row r="267" spans="7:13">
      <c r="G267" t="s">
        <v>3073</v>
      </c>
      <c r="M267" s="5" t="s">
        <v>3074</v>
      </c>
    </row>
    <row r="268" spans="7:13">
      <c r="G268" t="s">
        <v>3075</v>
      </c>
      <c r="M268" s="5" t="s">
        <v>3076</v>
      </c>
    </row>
    <row r="269" spans="7:13">
      <c r="G269" t="s">
        <v>3077</v>
      </c>
      <c r="M269" s="5" t="s">
        <v>3078</v>
      </c>
    </row>
    <row r="270" spans="7:13">
      <c r="G270" t="s">
        <v>3079</v>
      </c>
      <c r="M270" s="5" t="s">
        <v>3080</v>
      </c>
    </row>
    <row r="271" spans="7:13">
      <c r="G271" t="s">
        <v>3081</v>
      </c>
      <c r="M271" s="5" t="s">
        <v>3082</v>
      </c>
    </row>
    <row r="272" spans="7:13">
      <c r="G272" t="s">
        <v>3083</v>
      </c>
      <c r="M272" s="5" t="s">
        <v>3084</v>
      </c>
    </row>
    <row r="273" spans="7:13">
      <c r="G273" t="s">
        <v>3085</v>
      </c>
      <c r="M273" s="5" t="s">
        <v>3086</v>
      </c>
    </row>
    <row r="274" spans="7:13">
      <c r="G274" t="s">
        <v>3087</v>
      </c>
      <c r="M274" s="5" t="s">
        <v>3088</v>
      </c>
    </row>
    <row r="275" spans="7:13">
      <c r="G275" t="s">
        <v>3089</v>
      </c>
      <c r="M275" s="5" t="s">
        <v>3090</v>
      </c>
    </row>
    <row r="276" spans="7:13">
      <c r="G276" t="s">
        <v>3091</v>
      </c>
      <c r="M276" s="5" t="s">
        <v>3092</v>
      </c>
    </row>
    <row r="277" spans="7:13">
      <c r="G277" t="s">
        <v>3093</v>
      </c>
      <c r="M277" s="5" t="s">
        <v>3094</v>
      </c>
    </row>
    <row r="278" spans="7:13">
      <c r="G278" t="s">
        <v>3095</v>
      </c>
      <c r="M278" s="5" t="s">
        <v>3096</v>
      </c>
    </row>
    <row r="279" spans="7:13">
      <c r="G279" t="s">
        <v>3097</v>
      </c>
      <c r="M279" s="5" t="s">
        <v>3098</v>
      </c>
    </row>
    <row r="280" spans="7:13">
      <c r="G280" t="s">
        <v>3099</v>
      </c>
      <c r="M280" s="5" t="s">
        <v>3100</v>
      </c>
    </row>
    <row r="281" spans="7:13">
      <c r="G281" t="s">
        <v>3101</v>
      </c>
      <c r="M281" s="5" t="s">
        <v>3102</v>
      </c>
    </row>
    <row r="282" spans="7:13">
      <c r="G282" t="s">
        <v>3103</v>
      </c>
      <c r="M282" s="5" t="s">
        <v>3104</v>
      </c>
    </row>
    <row r="283" spans="7:13">
      <c r="G283" t="s">
        <v>1428</v>
      </c>
      <c r="M283" s="5" t="s">
        <v>3105</v>
      </c>
    </row>
    <row r="284" spans="7:13">
      <c r="G284" t="s">
        <v>3106</v>
      </c>
      <c r="M284" s="5" t="s">
        <v>3107</v>
      </c>
    </row>
    <row r="285" spans="7:13">
      <c r="G285" t="s">
        <v>1455</v>
      </c>
      <c r="M285" s="5" t="s">
        <v>3108</v>
      </c>
    </row>
    <row r="286" spans="7:13">
      <c r="G286" t="s">
        <v>3109</v>
      </c>
      <c r="M286" s="5" t="s">
        <v>3110</v>
      </c>
    </row>
    <row r="287" spans="7:13">
      <c r="G287" t="s">
        <v>3111</v>
      </c>
      <c r="M287" s="5" t="s">
        <v>3112</v>
      </c>
    </row>
    <row r="288" spans="7:13">
      <c r="G288" t="s">
        <v>3113</v>
      </c>
      <c r="M288" s="5" t="s">
        <v>3114</v>
      </c>
    </row>
    <row r="289" spans="7:13">
      <c r="G289" t="s">
        <v>3115</v>
      </c>
      <c r="M289" s="5" t="s">
        <v>3116</v>
      </c>
    </row>
    <row r="290" spans="7:13">
      <c r="G290" t="s">
        <v>3117</v>
      </c>
      <c r="M290" s="5" t="s">
        <v>3118</v>
      </c>
    </row>
    <row r="291" spans="7:13">
      <c r="G291" t="s">
        <v>1405</v>
      </c>
      <c r="M291" s="5" t="s">
        <v>3119</v>
      </c>
    </row>
    <row r="292" spans="7:13">
      <c r="G292" t="s">
        <v>1433</v>
      </c>
      <c r="M292" s="5" t="s">
        <v>3120</v>
      </c>
    </row>
    <row r="293" spans="7:13">
      <c r="G293" t="s">
        <v>1436</v>
      </c>
      <c r="M293" s="5" t="s">
        <v>3121</v>
      </c>
    </row>
    <row r="294" spans="7:13">
      <c r="G294" t="s">
        <v>1439</v>
      </c>
      <c r="M294" s="5" t="s">
        <v>3122</v>
      </c>
    </row>
    <row r="295" spans="7:13">
      <c r="G295" t="s">
        <v>539</v>
      </c>
      <c r="M295" s="5" t="s">
        <v>3123</v>
      </c>
    </row>
    <row r="296" spans="7:13">
      <c r="G296" t="s">
        <v>541</v>
      </c>
      <c r="M296" s="5" t="s">
        <v>3124</v>
      </c>
    </row>
    <row r="297" spans="7:13">
      <c r="G297" t="s">
        <v>542</v>
      </c>
      <c r="M297" s="5" t="s">
        <v>3125</v>
      </c>
    </row>
    <row r="298" spans="7:13">
      <c r="G298" t="s">
        <v>543</v>
      </c>
      <c r="M298" s="5" t="s">
        <v>3126</v>
      </c>
    </row>
    <row r="299" spans="7:13">
      <c r="G299" t="s">
        <v>544</v>
      </c>
      <c r="M299" s="5" t="s">
        <v>3127</v>
      </c>
    </row>
    <row r="300" spans="7:13">
      <c r="G300" t="s">
        <v>545</v>
      </c>
      <c r="M300" s="5" t="s">
        <v>3128</v>
      </c>
    </row>
    <row r="301" spans="7:13">
      <c r="G301" t="s">
        <v>547</v>
      </c>
      <c r="M301" s="5" t="s">
        <v>3129</v>
      </c>
    </row>
    <row r="302" spans="7:13">
      <c r="G302" t="s">
        <v>548</v>
      </c>
      <c r="M302" s="5" t="s">
        <v>3130</v>
      </c>
    </row>
    <row r="303" spans="7:13">
      <c r="G303" t="s">
        <v>549</v>
      </c>
      <c r="M303" s="5" t="s">
        <v>3131</v>
      </c>
    </row>
    <row r="304" spans="7:13">
      <c r="G304" t="s">
        <v>550</v>
      </c>
      <c r="M304" s="5" t="s">
        <v>3132</v>
      </c>
    </row>
    <row r="305" spans="7:13">
      <c r="G305" t="s">
        <v>551</v>
      </c>
      <c r="M305" s="5" t="s">
        <v>3133</v>
      </c>
    </row>
    <row r="306" spans="7:13">
      <c r="G306" t="s">
        <v>552</v>
      </c>
      <c r="M306" s="5" t="s">
        <v>3134</v>
      </c>
    </row>
    <row r="307" spans="7:13">
      <c r="G307" t="s">
        <v>553</v>
      </c>
      <c r="M307" s="5" t="s">
        <v>3135</v>
      </c>
    </row>
    <row r="308" spans="7:13">
      <c r="G308" t="s">
        <v>554</v>
      </c>
      <c r="M308" s="5" t="s">
        <v>3136</v>
      </c>
    </row>
    <row r="309" spans="7:13">
      <c r="G309" t="s">
        <v>555</v>
      </c>
      <c r="M309" s="5" t="s">
        <v>3137</v>
      </c>
    </row>
    <row r="310" spans="7:13">
      <c r="G310" t="s">
        <v>556</v>
      </c>
      <c r="M310" s="5" t="s">
        <v>3138</v>
      </c>
    </row>
    <row r="311" spans="7:13">
      <c r="G311" t="s">
        <v>1445</v>
      </c>
      <c r="M311" s="5" t="s">
        <v>3139</v>
      </c>
    </row>
    <row r="312" spans="7:13">
      <c r="G312" t="s">
        <v>3140</v>
      </c>
      <c r="M312" s="5" t="s">
        <v>3141</v>
      </c>
    </row>
    <row r="313" spans="7:13">
      <c r="G313" t="s">
        <v>2358</v>
      </c>
      <c r="M313" s="5" t="s">
        <v>3142</v>
      </c>
    </row>
    <row r="314" spans="7:13">
      <c r="G314" t="s">
        <v>3143</v>
      </c>
      <c r="M314" s="5" t="s">
        <v>3144</v>
      </c>
    </row>
    <row r="315" spans="7:13">
      <c r="G315" t="s">
        <v>3145</v>
      </c>
      <c r="M315" s="5" t="s">
        <v>3146</v>
      </c>
    </row>
    <row r="316" spans="7:13">
      <c r="G316" t="s">
        <v>3147</v>
      </c>
      <c r="M316" s="5" t="s">
        <v>3148</v>
      </c>
    </row>
    <row r="317" spans="7:13">
      <c r="G317" t="s">
        <v>3149</v>
      </c>
      <c r="M317" s="5" t="s">
        <v>3150</v>
      </c>
    </row>
    <row r="318" spans="7:13">
      <c r="G318" t="s">
        <v>3151</v>
      </c>
      <c r="M318" s="5" t="s">
        <v>3152</v>
      </c>
    </row>
    <row r="319" spans="7:13">
      <c r="G319" t="s">
        <v>3153</v>
      </c>
      <c r="M319" s="5" t="s">
        <v>3154</v>
      </c>
    </row>
    <row r="320" spans="7:13">
      <c r="G320" t="s">
        <v>1255</v>
      </c>
      <c r="M320" s="5" t="s">
        <v>3155</v>
      </c>
    </row>
    <row r="321" spans="7:13">
      <c r="G321" t="s">
        <v>3156</v>
      </c>
      <c r="M321" s="5" t="s">
        <v>3157</v>
      </c>
    </row>
    <row r="322" spans="7:13">
      <c r="G322" t="s">
        <v>3158</v>
      </c>
      <c r="M322" s="5" t="s">
        <v>1261</v>
      </c>
    </row>
    <row r="323" spans="7:13">
      <c r="G323" t="s">
        <v>3159</v>
      </c>
      <c r="M323" s="5" t="s">
        <v>1263</v>
      </c>
    </row>
    <row r="324" spans="7:13">
      <c r="G324" t="s">
        <v>3160</v>
      </c>
      <c r="M324" s="5" t="s">
        <v>3161</v>
      </c>
    </row>
    <row r="325" spans="7:13">
      <c r="G325" t="s">
        <v>2501</v>
      </c>
      <c r="M325" s="5" t="s">
        <v>3162</v>
      </c>
    </row>
    <row r="326" spans="7:13">
      <c r="G326" t="s">
        <v>3163</v>
      </c>
      <c r="M326" s="5" t="s">
        <v>3164</v>
      </c>
    </row>
    <row r="327" spans="7:13">
      <c r="G327" t="s">
        <v>3165</v>
      </c>
      <c r="M327" s="5" t="s">
        <v>1280</v>
      </c>
    </row>
    <row r="328" spans="7:13">
      <c r="G328" t="s">
        <v>3166</v>
      </c>
      <c r="M328" s="5" t="s">
        <v>3167</v>
      </c>
    </row>
    <row r="329" spans="7:13">
      <c r="G329" t="s">
        <v>3168</v>
      </c>
      <c r="M329" s="5" t="s">
        <v>3169</v>
      </c>
    </row>
    <row r="330" spans="7:13">
      <c r="G330" t="s">
        <v>3170</v>
      </c>
      <c r="M330" s="5" t="s">
        <v>3171</v>
      </c>
    </row>
    <row r="331" spans="7:13">
      <c r="G331" t="s">
        <v>3172</v>
      </c>
      <c r="M331" s="5" t="s">
        <v>1290</v>
      </c>
    </row>
    <row r="332" spans="7:13">
      <c r="G332" t="s">
        <v>3173</v>
      </c>
      <c r="M332" s="5" t="s">
        <v>3174</v>
      </c>
    </row>
    <row r="333" spans="7:13">
      <c r="G333" t="s">
        <v>3175</v>
      </c>
      <c r="M333" s="5" t="s">
        <v>1293</v>
      </c>
    </row>
    <row r="334" spans="7:13">
      <c r="G334" t="s">
        <v>1246</v>
      </c>
      <c r="M334" s="5" t="s">
        <v>3176</v>
      </c>
    </row>
    <row r="335" spans="7:13">
      <c r="G335" t="s">
        <v>3177</v>
      </c>
      <c r="M335" s="5" t="s">
        <v>3178</v>
      </c>
    </row>
    <row r="336" spans="7:13">
      <c r="G336" t="s">
        <v>3179</v>
      </c>
      <c r="M336" s="5" t="s">
        <v>3180</v>
      </c>
    </row>
    <row r="337" spans="7:13">
      <c r="G337" t="s">
        <v>1240</v>
      </c>
      <c r="M337" s="5" t="s">
        <v>3181</v>
      </c>
    </row>
    <row r="338" spans="7:13">
      <c r="G338" t="s">
        <v>3182</v>
      </c>
      <c r="M338" s="5" t="s">
        <v>3183</v>
      </c>
    </row>
    <row r="339" spans="7:13">
      <c r="G339" t="s">
        <v>3184</v>
      </c>
      <c r="M339" s="5" t="s">
        <v>3185</v>
      </c>
    </row>
    <row r="340" spans="7:13">
      <c r="G340" t="s">
        <v>1330</v>
      </c>
      <c r="M340" s="5" t="s">
        <v>3186</v>
      </c>
    </row>
    <row r="341" spans="7:13">
      <c r="G341" t="s">
        <v>3187</v>
      </c>
      <c r="M341" s="5" t="s">
        <v>3188</v>
      </c>
    </row>
    <row r="342" spans="7:13">
      <c r="G342" t="s">
        <v>3189</v>
      </c>
      <c r="M342" s="5" t="s">
        <v>3190</v>
      </c>
    </row>
    <row r="343" spans="7:13">
      <c r="G343" t="s">
        <v>3191</v>
      </c>
      <c r="M343" s="5" t="s">
        <v>3192</v>
      </c>
    </row>
    <row r="344" spans="7:13">
      <c r="G344" t="s">
        <v>3193</v>
      </c>
      <c r="M344" s="5" t="s">
        <v>3194</v>
      </c>
    </row>
    <row r="345" spans="7:13">
      <c r="G345" t="s">
        <v>3195</v>
      </c>
      <c r="M345" s="5" t="s">
        <v>3196</v>
      </c>
    </row>
    <row r="346" spans="7:13">
      <c r="G346" t="s">
        <v>3197</v>
      </c>
      <c r="M346" s="5" t="s">
        <v>3198</v>
      </c>
    </row>
    <row r="347" spans="7:13">
      <c r="G347" t="s">
        <v>3199</v>
      </c>
      <c r="M347" s="5" t="s">
        <v>3200</v>
      </c>
    </row>
    <row r="348" spans="7:13">
      <c r="G348" t="s">
        <v>3201</v>
      </c>
      <c r="M348" s="5" t="s">
        <v>3202</v>
      </c>
    </row>
    <row r="349" spans="7:13">
      <c r="G349" t="s">
        <v>3203</v>
      </c>
      <c r="M349" s="5" t="s">
        <v>3204</v>
      </c>
    </row>
    <row r="350" spans="7:13">
      <c r="G350" t="s">
        <v>3205</v>
      </c>
      <c r="M350" s="5" t="s">
        <v>3206</v>
      </c>
    </row>
    <row r="351" spans="7:13">
      <c r="G351" t="s">
        <v>3207</v>
      </c>
      <c r="M351" s="5" t="s">
        <v>3208</v>
      </c>
    </row>
    <row r="352" spans="7:13">
      <c r="G352" t="s">
        <v>3209</v>
      </c>
      <c r="M352" s="5" t="s">
        <v>3210</v>
      </c>
    </row>
    <row r="353" spans="7:13">
      <c r="G353" t="s">
        <v>3211</v>
      </c>
      <c r="M353" s="5" t="s">
        <v>3212</v>
      </c>
    </row>
    <row r="354" spans="7:13">
      <c r="G354" t="s">
        <v>3213</v>
      </c>
      <c r="M354" s="5" t="s">
        <v>3214</v>
      </c>
    </row>
    <row r="355" spans="7:13">
      <c r="G355" t="s">
        <v>3215</v>
      </c>
      <c r="M355" s="5" t="s">
        <v>3216</v>
      </c>
    </row>
    <row r="356" spans="7:13">
      <c r="G356" t="s">
        <v>3217</v>
      </c>
      <c r="M356" s="5" t="s">
        <v>3218</v>
      </c>
    </row>
    <row r="357" spans="7:13">
      <c r="G357" t="s">
        <v>2004</v>
      </c>
      <c r="M357" s="5" t="s">
        <v>3219</v>
      </c>
    </row>
    <row r="358" spans="7:13">
      <c r="G358" t="s">
        <v>3220</v>
      </c>
      <c r="M358" s="5" t="s">
        <v>3221</v>
      </c>
    </row>
    <row r="359" spans="7:13">
      <c r="G359" t="s">
        <v>3222</v>
      </c>
      <c r="M359" s="5" t="s">
        <v>3223</v>
      </c>
    </row>
    <row r="360" spans="7:13">
      <c r="G360" t="s">
        <v>3224</v>
      </c>
      <c r="M360" s="5" t="s">
        <v>3225</v>
      </c>
    </row>
    <row r="361" spans="7:13">
      <c r="G361" t="s">
        <v>3226</v>
      </c>
      <c r="M361" s="5" t="s">
        <v>3227</v>
      </c>
    </row>
    <row r="362" spans="7:13">
      <c r="G362" t="s">
        <v>3228</v>
      </c>
      <c r="M362" s="5" t="s">
        <v>3229</v>
      </c>
    </row>
    <row r="363" spans="7:13">
      <c r="G363" t="s">
        <v>3230</v>
      </c>
      <c r="M363" s="5" t="s">
        <v>1308</v>
      </c>
    </row>
    <row r="364" spans="7:13">
      <c r="G364" t="s">
        <v>3231</v>
      </c>
      <c r="M364" s="5" t="s">
        <v>1319</v>
      </c>
    </row>
    <row r="365" spans="7:13">
      <c r="G365" t="s">
        <v>1849</v>
      </c>
      <c r="M365" s="5" t="s">
        <v>3232</v>
      </c>
    </row>
    <row r="366" spans="7:13">
      <c r="G366" t="s">
        <v>3233</v>
      </c>
      <c r="M366" s="5" t="s">
        <v>3234</v>
      </c>
    </row>
    <row r="367" spans="7:13">
      <c r="G367" t="s">
        <v>3235</v>
      </c>
      <c r="M367" s="5" t="s">
        <v>3236</v>
      </c>
    </row>
    <row r="368" spans="7:13">
      <c r="G368" t="s">
        <v>3237</v>
      </c>
      <c r="M368" s="5" t="s">
        <v>3238</v>
      </c>
    </row>
    <row r="369" spans="7:13">
      <c r="G369" t="s">
        <v>3239</v>
      </c>
      <c r="M369" s="5" t="s">
        <v>3240</v>
      </c>
    </row>
    <row r="370" spans="7:13">
      <c r="G370" t="s">
        <v>3241</v>
      </c>
      <c r="M370" s="5" t="s">
        <v>3242</v>
      </c>
    </row>
    <row r="371" spans="7:13">
      <c r="G371" t="s">
        <v>3243</v>
      </c>
      <c r="M371" s="5" t="s">
        <v>3244</v>
      </c>
    </row>
    <row r="372" spans="7:13">
      <c r="G372" t="s">
        <v>3245</v>
      </c>
      <c r="M372" s="5" t="s">
        <v>3246</v>
      </c>
    </row>
    <row r="373" spans="7:13">
      <c r="G373" t="s">
        <v>3247</v>
      </c>
      <c r="M373" s="5" t="s">
        <v>3248</v>
      </c>
    </row>
    <row r="374" spans="7:13">
      <c r="G374" t="s">
        <v>3249</v>
      </c>
      <c r="M374" s="5" t="s">
        <v>3250</v>
      </c>
    </row>
    <row r="375" spans="7:13">
      <c r="G375" t="s">
        <v>1782</v>
      </c>
      <c r="M375" s="5" t="s">
        <v>3251</v>
      </c>
    </row>
    <row r="376" spans="7:13">
      <c r="G376" t="s">
        <v>1395</v>
      </c>
      <c r="M376" s="5" t="s">
        <v>3252</v>
      </c>
    </row>
    <row r="377" spans="7:13">
      <c r="G377" t="s">
        <v>3253</v>
      </c>
      <c r="M377" s="5" t="s">
        <v>3254</v>
      </c>
    </row>
    <row r="378" spans="7:13">
      <c r="G378" t="s">
        <v>3255</v>
      </c>
      <c r="M378" s="5" t="s">
        <v>3256</v>
      </c>
    </row>
    <row r="379" spans="7:13">
      <c r="G379" t="s">
        <v>3257</v>
      </c>
      <c r="M379" s="5" t="s">
        <v>3258</v>
      </c>
    </row>
    <row r="380" spans="7:13">
      <c r="G380" t="s">
        <v>3259</v>
      </c>
      <c r="M380" s="5" t="s">
        <v>3260</v>
      </c>
    </row>
    <row r="381" spans="7:13">
      <c r="G381" t="s">
        <v>3261</v>
      </c>
      <c r="M381" s="5" t="s">
        <v>3262</v>
      </c>
    </row>
    <row r="382" spans="7:13">
      <c r="G382" t="s">
        <v>1349</v>
      </c>
      <c r="M382" s="5" t="s">
        <v>3263</v>
      </c>
    </row>
    <row r="383" spans="7:13">
      <c r="G383" t="s">
        <v>3264</v>
      </c>
      <c r="M383" s="5" t="s">
        <v>3265</v>
      </c>
    </row>
    <row r="384" spans="7:13">
      <c r="G384" t="s">
        <v>1585</v>
      </c>
      <c r="M384" s="5" t="s">
        <v>3266</v>
      </c>
    </row>
    <row r="385" spans="7:13">
      <c r="G385" t="s">
        <v>2204</v>
      </c>
      <c r="M385" s="5" t="s">
        <v>3267</v>
      </c>
    </row>
    <row r="386" spans="7:13">
      <c r="G386" t="s">
        <v>3268</v>
      </c>
      <c r="M386" s="5" t="s">
        <v>3269</v>
      </c>
    </row>
    <row r="387" spans="7:13">
      <c r="G387" t="s">
        <v>2034</v>
      </c>
      <c r="M387" s="5" t="s">
        <v>3270</v>
      </c>
    </row>
    <row r="388" spans="7:13">
      <c r="G388" t="s">
        <v>3271</v>
      </c>
      <c r="M388" s="5" t="s">
        <v>3272</v>
      </c>
    </row>
    <row r="389" spans="7:13">
      <c r="G389" t="s">
        <v>1274</v>
      </c>
      <c r="M389" s="5" t="s">
        <v>3273</v>
      </c>
    </row>
    <row r="390" spans="7:13">
      <c r="G390" t="s">
        <v>2036</v>
      </c>
      <c r="M390" s="5" t="s">
        <v>3274</v>
      </c>
    </row>
    <row r="391" spans="7:13">
      <c r="G391" t="s">
        <v>1492</v>
      </c>
      <c r="M391" s="5" t="s">
        <v>3275</v>
      </c>
    </row>
    <row r="392" spans="7:13">
      <c r="G392" t="s">
        <v>3276</v>
      </c>
      <c r="M392" s="5" t="s">
        <v>3277</v>
      </c>
    </row>
    <row r="393" spans="7:13">
      <c r="G393" t="s">
        <v>3278</v>
      </c>
      <c r="M393" s="5" t="s">
        <v>3279</v>
      </c>
    </row>
    <row r="394" spans="7:13">
      <c r="G394" t="s">
        <v>1757</v>
      </c>
      <c r="M394" s="5" t="s">
        <v>3280</v>
      </c>
    </row>
    <row r="395" spans="7:13">
      <c r="G395" t="s">
        <v>3281</v>
      </c>
      <c r="M395" s="5" t="s">
        <v>3282</v>
      </c>
    </row>
    <row r="396" spans="7:13">
      <c r="G396" t="s">
        <v>2469</v>
      </c>
      <c r="M396" s="5" t="s">
        <v>3283</v>
      </c>
    </row>
    <row r="397" spans="7:13">
      <c r="G397" t="s">
        <v>1522</v>
      </c>
      <c r="M397" s="5" t="s">
        <v>3284</v>
      </c>
    </row>
    <row r="398" spans="7:13">
      <c r="G398" t="s">
        <v>3285</v>
      </c>
      <c r="M398" s="5" t="s">
        <v>3286</v>
      </c>
    </row>
    <row r="399" spans="7:13">
      <c r="G399" t="s">
        <v>3287</v>
      </c>
      <c r="M399" s="5" t="s">
        <v>3288</v>
      </c>
    </row>
    <row r="400" spans="7:13">
      <c r="G400" t="s">
        <v>3289</v>
      </c>
      <c r="M400" s="5" t="s">
        <v>3290</v>
      </c>
    </row>
    <row r="401" spans="7:13">
      <c r="G401" t="s">
        <v>3291</v>
      </c>
      <c r="M401" s="5" t="s">
        <v>3292</v>
      </c>
    </row>
    <row r="402" spans="7:13">
      <c r="G402" t="s">
        <v>3293</v>
      </c>
      <c r="M402" s="5" t="s">
        <v>3294</v>
      </c>
    </row>
    <row r="403" spans="7:13">
      <c r="G403" t="s">
        <v>3295</v>
      </c>
      <c r="M403" s="5" t="s">
        <v>3296</v>
      </c>
    </row>
    <row r="404" spans="7:13">
      <c r="G404" t="s">
        <v>3297</v>
      </c>
      <c r="M404" s="5" t="s">
        <v>3298</v>
      </c>
    </row>
    <row r="405" spans="7:13">
      <c r="G405" t="s">
        <v>1485</v>
      </c>
      <c r="M405" s="5" t="s">
        <v>3299</v>
      </c>
    </row>
    <row r="406" spans="7:13">
      <c r="G406" t="s">
        <v>3300</v>
      </c>
      <c r="M406" s="5" t="s">
        <v>3301</v>
      </c>
    </row>
    <row r="407" spans="7:13">
      <c r="G407" t="s">
        <v>3302</v>
      </c>
      <c r="M407" s="5" t="s">
        <v>3303</v>
      </c>
    </row>
    <row r="408" spans="7:13">
      <c r="G408" t="s">
        <v>1566</v>
      </c>
      <c r="M408" s="5" t="s">
        <v>3304</v>
      </c>
    </row>
    <row r="409" spans="7:13">
      <c r="G409" t="s">
        <v>3305</v>
      </c>
      <c r="M409" s="5" t="s">
        <v>3306</v>
      </c>
    </row>
    <row r="410" spans="7:13">
      <c r="G410" t="s">
        <v>3307</v>
      </c>
      <c r="M410" s="5" t="s">
        <v>3308</v>
      </c>
    </row>
    <row r="411" spans="7:13">
      <c r="G411" t="s">
        <v>3309</v>
      </c>
      <c r="M411" s="5" t="s">
        <v>3310</v>
      </c>
    </row>
    <row r="412" spans="7:13">
      <c r="G412" t="s">
        <v>3311</v>
      </c>
      <c r="M412" s="5" t="s">
        <v>3312</v>
      </c>
    </row>
    <row r="413" spans="7:13">
      <c r="G413" t="s">
        <v>1583</v>
      </c>
      <c r="M413" s="5" t="s">
        <v>3313</v>
      </c>
    </row>
    <row r="414" spans="7:13">
      <c r="G414" t="s">
        <v>3314</v>
      </c>
      <c r="M414" s="5" t="s">
        <v>3315</v>
      </c>
    </row>
    <row r="415" spans="7:13">
      <c r="G415" t="s">
        <v>3316</v>
      </c>
      <c r="M415" s="5" t="s">
        <v>1324</v>
      </c>
    </row>
    <row r="416" spans="7:13">
      <c r="G416" t="s">
        <v>3317</v>
      </c>
      <c r="M416" s="5" t="s">
        <v>3318</v>
      </c>
    </row>
    <row r="417" spans="7:13">
      <c r="G417" t="s">
        <v>3319</v>
      </c>
      <c r="M417" s="5" t="s">
        <v>3320</v>
      </c>
    </row>
    <row r="418" spans="7:13">
      <c r="G418" t="s">
        <v>1496</v>
      </c>
      <c r="M418" s="5" t="s">
        <v>3321</v>
      </c>
    </row>
    <row r="419" spans="7:13">
      <c r="G419" t="s">
        <v>3322</v>
      </c>
      <c r="M419" s="5" t="s">
        <v>3323</v>
      </c>
    </row>
    <row r="420" spans="7:13">
      <c r="G420" t="s">
        <v>3324</v>
      </c>
      <c r="M420" s="5" t="s">
        <v>3325</v>
      </c>
    </row>
    <row r="421" spans="7:13">
      <c r="G421" t="s">
        <v>3326</v>
      </c>
      <c r="M421" s="5" t="s">
        <v>3327</v>
      </c>
    </row>
    <row r="422" spans="7:13">
      <c r="G422" t="s">
        <v>3328</v>
      </c>
      <c r="M422" s="5" t="s">
        <v>3329</v>
      </c>
    </row>
    <row r="423" spans="7:13">
      <c r="G423" t="s">
        <v>2392</v>
      </c>
      <c r="M423" s="5" t="s">
        <v>3330</v>
      </c>
    </row>
    <row r="424" spans="7:13">
      <c r="G424" t="s">
        <v>3331</v>
      </c>
      <c r="M424" s="5" t="s">
        <v>3332</v>
      </c>
    </row>
    <row r="425" spans="7:13">
      <c r="G425" t="s">
        <v>3333</v>
      </c>
      <c r="M425" s="5" t="s">
        <v>3334</v>
      </c>
    </row>
    <row r="426" spans="7:13">
      <c r="G426" t="s">
        <v>3335</v>
      </c>
      <c r="M426" s="5" t="s">
        <v>3336</v>
      </c>
    </row>
    <row r="427" spans="7:13">
      <c r="G427" t="s">
        <v>3337</v>
      </c>
      <c r="M427" s="5" t="s">
        <v>3338</v>
      </c>
    </row>
    <row r="428" spans="7:13">
      <c r="G428" t="s">
        <v>1726</v>
      </c>
      <c r="M428" s="5" t="s">
        <v>3339</v>
      </c>
    </row>
    <row r="429" spans="7:13">
      <c r="G429" t="s">
        <v>3340</v>
      </c>
      <c r="M429" s="5" t="s">
        <v>3341</v>
      </c>
    </row>
    <row r="430" spans="7:13">
      <c r="G430" t="s">
        <v>3342</v>
      </c>
      <c r="M430" s="5" t="s">
        <v>1336</v>
      </c>
    </row>
    <row r="431" spans="7:13">
      <c r="G431" t="s">
        <v>3343</v>
      </c>
      <c r="M431" s="5" t="s">
        <v>3344</v>
      </c>
    </row>
    <row r="432" spans="7:13">
      <c r="G432" t="s">
        <v>3345</v>
      </c>
      <c r="M432" s="5" t="s">
        <v>3346</v>
      </c>
    </row>
    <row r="433" spans="7:13">
      <c r="G433" t="s">
        <v>1500</v>
      </c>
      <c r="M433" s="5" t="s">
        <v>3347</v>
      </c>
    </row>
    <row r="434" spans="7:13">
      <c r="G434" t="s">
        <v>3348</v>
      </c>
      <c r="M434" s="5" t="s">
        <v>3349</v>
      </c>
    </row>
    <row r="435" spans="7:13">
      <c r="G435" t="s">
        <v>3350</v>
      </c>
      <c r="M435" s="5" t="s">
        <v>3351</v>
      </c>
    </row>
    <row r="436" spans="7:13">
      <c r="G436" t="s">
        <v>3352</v>
      </c>
      <c r="M436" s="5" t="s">
        <v>3353</v>
      </c>
    </row>
    <row r="437" spans="7:13">
      <c r="G437" t="s">
        <v>3354</v>
      </c>
      <c r="M437" s="5" t="s">
        <v>3355</v>
      </c>
    </row>
    <row r="438" spans="7:13">
      <c r="G438" t="s">
        <v>1942</v>
      </c>
      <c r="M438" s="5" t="s">
        <v>3356</v>
      </c>
    </row>
    <row r="439" spans="7:13">
      <c r="G439" t="s">
        <v>3357</v>
      </c>
      <c r="M439" s="5" t="s">
        <v>3358</v>
      </c>
    </row>
    <row r="440" spans="7:13">
      <c r="G440" t="s">
        <v>3359</v>
      </c>
      <c r="M440" s="5" t="s">
        <v>3360</v>
      </c>
    </row>
    <row r="441" spans="7:13">
      <c r="G441" t="s">
        <v>3361</v>
      </c>
      <c r="M441" s="5" t="s">
        <v>3362</v>
      </c>
    </row>
    <row r="442" spans="7:13">
      <c r="G442" t="s">
        <v>3363</v>
      </c>
      <c r="M442" s="5" t="s">
        <v>3364</v>
      </c>
    </row>
    <row r="443" spans="7:13">
      <c r="G443" t="s">
        <v>1682</v>
      </c>
      <c r="M443" s="5" t="s">
        <v>3365</v>
      </c>
    </row>
    <row r="444" spans="7:13">
      <c r="G444" t="s">
        <v>3366</v>
      </c>
      <c r="M444" s="5" t="s">
        <v>3367</v>
      </c>
    </row>
    <row r="445" spans="7:13">
      <c r="G445" t="s">
        <v>3368</v>
      </c>
      <c r="M445" s="5" t="s">
        <v>3369</v>
      </c>
    </row>
    <row r="446" spans="7:13">
      <c r="G446" t="s">
        <v>3370</v>
      </c>
      <c r="M446" s="5" t="s">
        <v>3371</v>
      </c>
    </row>
    <row r="447" spans="7:13">
      <c r="G447" t="s">
        <v>3372</v>
      </c>
      <c r="M447" s="5" t="s">
        <v>1364</v>
      </c>
    </row>
    <row r="448" spans="7:13">
      <c r="G448" t="s">
        <v>1502</v>
      </c>
      <c r="M448" s="5" t="s">
        <v>3373</v>
      </c>
    </row>
    <row r="449" spans="7:13">
      <c r="G449" t="s">
        <v>3374</v>
      </c>
      <c r="M449" s="5" t="s">
        <v>3375</v>
      </c>
    </row>
    <row r="450" spans="7:13">
      <c r="G450" t="s">
        <v>3376</v>
      </c>
      <c r="M450" s="5" t="s">
        <v>3377</v>
      </c>
    </row>
    <row r="451" spans="7:13">
      <c r="G451" t="s">
        <v>3378</v>
      </c>
      <c r="M451" s="5" t="s">
        <v>3379</v>
      </c>
    </row>
    <row r="452" spans="7:13">
      <c r="G452" t="s">
        <v>3380</v>
      </c>
      <c r="M452" s="5" t="s">
        <v>3381</v>
      </c>
    </row>
    <row r="453" spans="7:13">
      <c r="G453" t="s">
        <v>1729</v>
      </c>
      <c r="M453" s="5" t="s">
        <v>3382</v>
      </c>
    </row>
    <row r="454" spans="7:13">
      <c r="G454" t="s">
        <v>3383</v>
      </c>
      <c r="M454" s="5" t="s">
        <v>3384</v>
      </c>
    </row>
    <row r="455" spans="7:13">
      <c r="G455" t="s">
        <v>3385</v>
      </c>
      <c r="M455" s="5" t="s">
        <v>3386</v>
      </c>
    </row>
    <row r="456" spans="7:13">
      <c r="G456" t="s">
        <v>3387</v>
      </c>
      <c r="M456" s="5" t="s">
        <v>3388</v>
      </c>
    </row>
    <row r="457" spans="7:13">
      <c r="G457" t="s">
        <v>3389</v>
      </c>
      <c r="M457" s="5" t="s">
        <v>3390</v>
      </c>
    </row>
    <row r="458" spans="7:13">
      <c r="G458" t="s">
        <v>1506</v>
      </c>
      <c r="M458" s="5" t="s">
        <v>3391</v>
      </c>
    </row>
    <row r="459" spans="7:13">
      <c r="G459" t="s">
        <v>3392</v>
      </c>
      <c r="M459" s="5" t="s">
        <v>3393</v>
      </c>
    </row>
    <row r="460" spans="7:13">
      <c r="G460" t="s">
        <v>3394</v>
      </c>
      <c r="M460" s="5" t="s">
        <v>3395</v>
      </c>
    </row>
    <row r="461" spans="7:13">
      <c r="G461" t="s">
        <v>3396</v>
      </c>
      <c r="M461" s="5" t="s">
        <v>3397</v>
      </c>
    </row>
    <row r="462" spans="7:13">
      <c r="G462" t="s">
        <v>3398</v>
      </c>
      <c r="M462" s="5" t="s">
        <v>3399</v>
      </c>
    </row>
    <row r="463" spans="7:13">
      <c r="G463" t="s">
        <v>1718</v>
      </c>
      <c r="M463" s="5" t="s">
        <v>3400</v>
      </c>
    </row>
    <row r="464" spans="7:13">
      <c r="G464" t="s">
        <v>3401</v>
      </c>
      <c r="M464" s="5" t="s">
        <v>3402</v>
      </c>
    </row>
    <row r="465" spans="7:13">
      <c r="G465" t="s">
        <v>3403</v>
      </c>
      <c r="M465" s="5" t="s">
        <v>3404</v>
      </c>
    </row>
    <row r="466" spans="7:13">
      <c r="G466" t="s">
        <v>3405</v>
      </c>
      <c r="M466" s="5" t="s">
        <v>3406</v>
      </c>
    </row>
    <row r="467" spans="7:13">
      <c r="G467" t="s">
        <v>3407</v>
      </c>
      <c r="M467" s="5" t="s">
        <v>3408</v>
      </c>
    </row>
    <row r="468" spans="7:13">
      <c r="G468" t="s">
        <v>2472</v>
      </c>
      <c r="M468" s="5" t="s">
        <v>3409</v>
      </c>
    </row>
    <row r="469" spans="7:13">
      <c r="G469" t="s">
        <v>3410</v>
      </c>
      <c r="M469" s="5" t="s">
        <v>3411</v>
      </c>
    </row>
    <row r="470" spans="7:13">
      <c r="G470" t="s">
        <v>3412</v>
      </c>
      <c r="M470" s="5" t="s">
        <v>3413</v>
      </c>
    </row>
    <row r="471" spans="7:13">
      <c r="G471" t="s">
        <v>3414</v>
      </c>
      <c r="M471" s="5" t="s">
        <v>3415</v>
      </c>
    </row>
    <row r="472" spans="7:13">
      <c r="G472" t="s">
        <v>3416</v>
      </c>
      <c r="M472" s="5" t="s">
        <v>3417</v>
      </c>
    </row>
    <row r="473" spans="7:13">
      <c r="G473" t="s">
        <v>1716</v>
      </c>
      <c r="M473" s="5" t="s">
        <v>3418</v>
      </c>
    </row>
    <row r="474" spans="7:13">
      <c r="G474" t="s">
        <v>3419</v>
      </c>
      <c r="M474" s="5" t="s">
        <v>3420</v>
      </c>
    </row>
    <row r="475" spans="7:13">
      <c r="G475" t="s">
        <v>3421</v>
      </c>
      <c r="M475" s="5" t="s">
        <v>3422</v>
      </c>
    </row>
    <row r="476" spans="7:13">
      <c r="G476" t="s">
        <v>3423</v>
      </c>
      <c r="M476" s="5" t="s">
        <v>3424</v>
      </c>
    </row>
    <row r="477" spans="7:13">
      <c r="G477" t="s">
        <v>3425</v>
      </c>
      <c r="M477" s="5" t="s">
        <v>3426</v>
      </c>
    </row>
    <row r="478" spans="7:13">
      <c r="G478" t="s">
        <v>1504</v>
      </c>
      <c r="M478" s="5" t="s">
        <v>3427</v>
      </c>
    </row>
    <row r="479" spans="7:13">
      <c r="G479" t="s">
        <v>3428</v>
      </c>
      <c r="M479" s="5" t="s">
        <v>3429</v>
      </c>
    </row>
    <row r="480" spans="7:13">
      <c r="G480" t="s">
        <v>3430</v>
      </c>
      <c r="M480" s="5" t="s">
        <v>3431</v>
      </c>
    </row>
    <row r="481" spans="7:13">
      <c r="G481" t="s">
        <v>3432</v>
      </c>
      <c r="M481" s="5" t="s">
        <v>3433</v>
      </c>
    </row>
    <row r="482" spans="7:13">
      <c r="G482" t="s">
        <v>3434</v>
      </c>
      <c r="M482" s="5" t="s">
        <v>3435</v>
      </c>
    </row>
    <row r="483" spans="7:13">
      <c r="G483" t="s">
        <v>2244</v>
      </c>
      <c r="M483" s="5" t="s">
        <v>3436</v>
      </c>
    </row>
    <row r="484" spans="7:13">
      <c r="G484" t="s">
        <v>3437</v>
      </c>
      <c r="M484" s="5" t="s">
        <v>3438</v>
      </c>
    </row>
    <row r="485" spans="7:13">
      <c r="G485" t="s">
        <v>3439</v>
      </c>
      <c r="M485" s="5" t="s">
        <v>3440</v>
      </c>
    </row>
    <row r="486" spans="7:13">
      <c r="G486" t="s">
        <v>3441</v>
      </c>
      <c r="M486" s="5" t="s">
        <v>3442</v>
      </c>
    </row>
    <row r="487" spans="7:13">
      <c r="G487" t="s">
        <v>3443</v>
      </c>
      <c r="M487" s="5" t="s">
        <v>3444</v>
      </c>
    </row>
    <row r="488" spans="7:13">
      <c r="G488" t="s">
        <v>1361</v>
      </c>
      <c r="M488" s="5" t="s">
        <v>3445</v>
      </c>
    </row>
    <row r="489" spans="7:13">
      <c r="G489" t="s">
        <v>3446</v>
      </c>
      <c r="M489" s="5" t="s">
        <v>3447</v>
      </c>
    </row>
    <row r="490" spans="7:13">
      <c r="G490" t="s">
        <v>3448</v>
      </c>
      <c r="M490" s="5" t="s">
        <v>3449</v>
      </c>
    </row>
    <row r="491" spans="7:13">
      <c r="G491" t="s">
        <v>3450</v>
      </c>
      <c r="M491" s="5" t="s">
        <v>3451</v>
      </c>
    </row>
    <row r="492" spans="7:13">
      <c r="G492" t="s">
        <v>3452</v>
      </c>
      <c r="M492" s="5" t="s">
        <v>3453</v>
      </c>
    </row>
    <row r="493" spans="7:13">
      <c r="G493" t="s">
        <v>1748</v>
      </c>
      <c r="M493" s="5" t="s">
        <v>3454</v>
      </c>
    </row>
    <row r="494" spans="7:13">
      <c r="G494" t="s">
        <v>3455</v>
      </c>
      <c r="M494" s="5" t="s">
        <v>3456</v>
      </c>
    </row>
    <row r="495" spans="7:13">
      <c r="G495" t="s">
        <v>3457</v>
      </c>
      <c r="M495" s="5" t="s">
        <v>3458</v>
      </c>
    </row>
    <row r="496" spans="7:13">
      <c r="G496" t="s">
        <v>3459</v>
      </c>
      <c r="M496" s="5" t="s">
        <v>3460</v>
      </c>
    </row>
    <row r="497" spans="7:13">
      <c r="G497" t="s">
        <v>3461</v>
      </c>
      <c r="M497" s="5" t="s">
        <v>3462</v>
      </c>
    </row>
    <row r="498" spans="7:13">
      <c r="G498" t="s">
        <v>3463</v>
      </c>
      <c r="M498" s="5" t="s">
        <v>3464</v>
      </c>
    </row>
    <row r="499" spans="7:13">
      <c r="G499" t="s">
        <v>3465</v>
      </c>
      <c r="M499" s="5" t="s">
        <v>1378</v>
      </c>
    </row>
    <row r="500" spans="7:13">
      <c r="G500" t="s">
        <v>3466</v>
      </c>
      <c r="M500" s="5" t="s">
        <v>3467</v>
      </c>
    </row>
    <row r="501" spans="7:13">
      <c r="G501" t="s">
        <v>3468</v>
      </c>
      <c r="M501" s="5" t="s">
        <v>3469</v>
      </c>
    </row>
    <row r="502" spans="7:13">
      <c r="G502" t="s">
        <v>3470</v>
      </c>
      <c r="M502" s="5" t="s">
        <v>3471</v>
      </c>
    </row>
    <row r="503" spans="7:13">
      <c r="G503" t="s">
        <v>3472</v>
      </c>
      <c r="M503" s="5" t="s">
        <v>3473</v>
      </c>
    </row>
    <row r="504" spans="7:13">
      <c r="G504" t="s">
        <v>3474</v>
      </c>
      <c r="M504" s="5" t="s">
        <v>3475</v>
      </c>
    </row>
    <row r="505" spans="7:13">
      <c r="G505" t="s">
        <v>3476</v>
      </c>
      <c r="M505" s="5" t="s">
        <v>3477</v>
      </c>
    </row>
    <row r="506" spans="7:13">
      <c r="G506" t="s">
        <v>3478</v>
      </c>
      <c r="M506" s="5" t="s">
        <v>3479</v>
      </c>
    </row>
    <row r="507" spans="7:13">
      <c r="G507" t="s">
        <v>3480</v>
      </c>
      <c r="M507" s="5" t="s">
        <v>3481</v>
      </c>
    </row>
    <row r="508" spans="7:13">
      <c r="G508" t="s">
        <v>3482</v>
      </c>
      <c r="M508" s="5" t="s">
        <v>3483</v>
      </c>
    </row>
    <row r="509" spans="7:13">
      <c r="G509" t="s">
        <v>3484</v>
      </c>
      <c r="M509" s="5" t="s">
        <v>3485</v>
      </c>
    </row>
    <row r="510" spans="7:13">
      <c r="G510" t="s">
        <v>3486</v>
      </c>
      <c r="M510" s="5" t="s">
        <v>3487</v>
      </c>
    </row>
    <row r="511" spans="7:13">
      <c r="G511" t="s">
        <v>3488</v>
      </c>
      <c r="M511" s="5" t="s">
        <v>3489</v>
      </c>
    </row>
    <row r="512" spans="7:13">
      <c r="G512" t="s">
        <v>3490</v>
      </c>
      <c r="M512" s="5" t="s">
        <v>3491</v>
      </c>
    </row>
    <row r="513" spans="7:13">
      <c r="G513" t="s">
        <v>3492</v>
      </c>
      <c r="M513" s="5" t="s">
        <v>3493</v>
      </c>
    </row>
    <row r="514" spans="7:13">
      <c r="G514" t="s">
        <v>3494</v>
      </c>
      <c r="M514" s="5" t="s">
        <v>3495</v>
      </c>
    </row>
    <row r="515" spans="7:13">
      <c r="G515" t="s">
        <v>3496</v>
      </c>
      <c r="M515" s="5" t="s">
        <v>3497</v>
      </c>
    </row>
    <row r="516" spans="7:13">
      <c r="G516" t="s">
        <v>3498</v>
      </c>
      <c r="M516" s="5" t="s">
        <v>3499</v>
      </c>
    </row>
    <row r="517" spans="7:13">
      <c r="G517" t="s">
        <v>3500</v>
      </c>
      <c r="M517" s="5" t="s">
        <v>3501</v>
      </c>
    </row>
    <row r="518" spans="7:13">
      <c r="G518" t="s">
        <v>3502</v>
      </c>
      <c r="M518" s="5" t="s">
        <v>3503</v>
      </c>
    </row>
    <row r="519" spans="7:13">
      <c r="G519" t="s">
        <v>3504</v>
      </c>
      <c r="M519" s="5" t="s">
        <v>3505</v>
      </c>
    </row>
    <row r="520" spans="7:13">
      <c r="G520" t="s">
        <v>3506</v>
      </c>
      <c r="M520" s="5" t="s">
        <v>3507</v>
      </c>
    </row>
    <row r="521" spans="7:13">
      <c r="G521" t="s">
        <v>3508</v>
      </c>
      <c r="M521" s="5" t="s">
        <v>3509</v>
      </c>
    </row>
    <row r="522" spans="7:13">
      <c r="G522" t="s">
        <v>3510</v>
      </c>
      <c r="M522" s="5" t="s">
        <v>3511</v>
      </c>
    </row>
    <row r="523" spans="13:13">
      <c r="M523" s="5" t="s">
        <v>3512</v>
      </c>
    </row>
    <row r="524" spans="13:13">
      <c r="M524" s="5" t="s">
        <v>1382</v>
      </c>
    </row>
    <row r="525" spans="13:13">
      <c r="M525" s="5" t="s">
        <v>3513</v>
      </c>
    </row>
    <row r="526" spans="13:13">
      <c r="M526" s="5" t="s">
        <v>3514</v>
      </c>
    </row>
    <row r="527" spans="13:13">
      <c r="M527" s="5" t="s">
        <v>3515</v>
      </c>
    </row>
    <row r="528" spans="13:13">
      <c r="M528" s="5" t="s">
        <v>3516</v>
      </c>
    </row>
    <row r="529" spans="13:13">
      <c r="M529" s="5" t="s">
        <v>3517</v>
      </c>
    </row>
    <row r="530" spans="13:13">
      <c r="M530" s="5" t="s">
        <v>3518</v>
      </c>
    </row>
    <row r="531" spans="13:13">
      <c r="M531" s="5" t="s">
        <v>3519</v>
      </c>
    </row>
    <row r="532" spans="13:13">
      <c r="M532" s="5" t="s">
        <v>1369</v>
      </c>
    </row>
    <row r="533" spans="13:13">
      <c r="M533" s="5" t="s">
        <v>3520</v>
      </c>
    </row>
    <row r="534" spans="13:13">
      <c r="M534" s="5" t="s">
        <v>3521</v>
      </c>
    </row>
    <row r="535" spans="13:13">
      <c r="M535" s="5" t="s">
        <v>3522</v>
      </c>
    </row>
    <row r="536" spans="13:13">
      <c r="M536" s="5" t="s">
        <v>3523</v>
      </c>
    </row>
    <row r="537" spans="13:13">
      <c r="M537" s="5" t="s">
        <v>3524</v>
      </c>
    </row>
    <row r="538" spans="13:13">
      <c r="M538" s="5" t="s">
        <v>3525</v>
      </c>
    </row>
    <row r="539" spans="13:13">
      <c r="M539" s="5" t="s">
        <v>3526</v>
      </c>
    </row>
    <row r="540" spans="13:13">
      <c r="M540" s="5" t="s">
        <v>3527</v>
      </c>
    </row>
    <row r="541" spans="13:13">
      <c r="M541" s="5" t="s">
        <v>3528</v>
      </c>
    </row>
    <row r="542" spans="13:13">
      <c r="M542" s="5" t="s">
        <v>1385</v>
      </c>
    </row>
    <row r="543" spans="13:13">
      <c r="M543" s="5" t="s">
        <v>3529</v>
      </c>
    </row>
    <row r="544" spans="13:13">
      <c r="M544" s="5" t="s">
        <v>1389</v>
      </c>
    </row>
    <row r="545" spans="13:13">
      <c r="M545" s="5" t="s">
        <v>1396</v>
      </c>
    </row>
    <row r="546" spans="13:13">
      <c r="M546" s="5" t="s">
        <v>3530</v>
      </c>
    </row>
    <row r="547" spans="13:13">
      <c r="M547" s="5" t="s">
        <v>3531</v>
      </c>
    </row>
    <row r="548" spans="13:13">
      <c r="M548" s="5" t="s">
        <v>3532</v>
      </c>
    </row>
    <row r="549" spans="13:13">
      <c r="M549" s="5" t="s">
        <v>3533</v>
      </c>
    </row>
    <row r="550" spans="13:13">
      <c r="M550" s="5" t="s">
        <v>3534</v>
      </c>
    </row>
    <row r="551" spans="13:13">
      <c r="M551" s="5" t="s">
        <v>3535</v>
      </c>
    </row>
    <row r="552" spans="13:13">
      <c r="M552" s="5" t="s">
        <v>1401</v>
      </c>
    </row>
    <row r="553" spans="13:13">
      <c r="M553" s="5" t="s">
        <v>776</v>
      </c>
    </row>
    <row r="554" spans="13:13">
      <c r="M554" s="5" t="s">
        <v>3536</v>
      </c>
    </row>
    <row r="555" spans="13:13">
      <c r="M555" s="5" t="s">
        <v>3537</v>
      </c>
    </row>
    <row r="556" spans="13:13">
      <c r="M556" s="5" t="s">
        <v>3538</v>
      </c>
    </row>
    <row r="557" spans="13:13">
      <c r="M557" s="5" t="s">
        <v>1406</v>
      </c>
    </row>
    <row r="558" spans="13:13">
      <c r="M558" s="5" t="s">
        <v>3539</v>
      </c>
    </row>
    <row r="559" spans="13:13">
      <c r="M559" s="5" t="s">
        <v>3540</v>
      </c>
    </row>
    <row r="560" spans="13:13">
      <c r="M560" s="5" t="s">
        <v>3541</v>
      </c>
    </row>
    <row r="561" spans="13:13">
      <c r="M561" s="5" t="s">
        <v>3542</v>
      </c>
    </row>
    <row r="562" spans="13:13">
      <c r="M562" s="5" t="s">
        <v>3543</v>
      </c>
    </row>
    <row r="563" spans="13:13">
      <c r="M563" s="5" t="s">
        <v>3544</v>
      </c>
    </row>
    <row r="564" spans="13:13">
      <c r="M564" s="5" t="s">
        <v>3545</v>
      </c>
    </row>
    <row r="565" spans="13:13">
      <c r="M565" s="5" t="s">
        <v>3546</v>
      </c>
    </row>
    <row r="566" spans="13:13">
      <c r="M566" s="5" t="s">
        <v>3547</v>
      </c>
    </row>
    <row r="567" spans="13:13">
      <c r="M567" s="5" t="s">
        <v>3548</v>
      </c>
    </row>
    <row r="568" spans="13:13">
      <c r="M568" s="5" t="s">
        <v>3549</v>
      </c>
    </row>
    <row r="569" spans="13:13">
      <c r="M569" s="5" t="s">
        <v>3550</v>
      </c>
    </row>
    <row r="570" spans="13:13">
      <c r="M570" s="5" t="s">
        <v>3551</v>
      </c>
    </row>
    <row r="571" spans="13:13">
      <c r="M571" s="5" t="s">
        <v>3552</v>
      </c>
    </row>
    <row r="572" spans="13:13">
      <c r="M572" s="5" t="s">
        <v>3553</v>
      </c>
    </row>
    <row r="573" spans="13:13">
      <c r="M573" s="5" t="s">
        <v>3554</v>
      </c>
    </row>
    <row r="574" spans="13:13">
      <c r="M574" s="5" t="s">
        <v>3555</v>
      </c>
    </row>
    <row r="575" spans="13:13">
      <c r="M575" s="5" t="s">
        <v>1411</v>
      </c>
    </row>
    <row r="576" spans="13:13">
      <c r="M576" s="5" t="s">
        <v>3556</v>
      </c>
    </row>
    <row r="577" spans="13:13">
      <c r="M577" s="5" t="s">
        <v>3557</v>
      </c>
    </row>
    <row r="578" spans="13:13">
      <c r="M578" s="5" t="s">
        <v>3558</v>
      </c>
    </row>
    <row r="579" spans="13:13">
      <c r="M579" s="5" t="s">
        <v>3559</v>
      </c>
    </row>
    <row r="580" spans="13:13">
      <c r="M580" s="5" t="s">
        <v>3560</v>
      </c>
    </row>
    <row r="581" spans="13:13">
      <c r="M581" s="5" t="s">
        <v>3561</v>
      </c>
    </row>
    <row r="582" spans="13:13">
      <c r="M582" s="5" t="s">
        <v>3562</v>
      </c>
    </row>
    <row r="583" spans="13:13">
      <c r="M583" s="5" t="s">
        <v>3563</v>
      </c>
    </row>
    <row r="584" spans="13:13">
      <c r="M584" s="5" t="s">
        <v>3564</v>
      </c>
    </row>
    <row r="585" spans="13:13">
      <c r="M585" s="5" t="s">
        <v>3565</v>
      </c>
    </row>
    <row r="586" spans="13:13">
      <c r="M586" s="5" t="s">
        <v>1416</v>
      </c>
    </row>
    <row r="587" spans="13:13">
      <c r="M587" s="5" t="s">
        <v>3566</v>
      </c>
    </row>
    <row r="588" spans="13:13">
      <c r="M588" s="5" t="s">
        <v>3567</v>
      </c>
    </row>
    <row r="589" spans="13:13">
      <c r="M589" s="5" t="s">
        <v>1414</v>
      </c>
    </row>
    <row r="590" spans="13:13">
      <c r="M590" s="5" t="s">
        <v>3568</v>
      </c>
    </row>
    <row r="591" spans="13:13">
      <c r="M591" s="5" t="s">
        <v>1421</v>
      </c>
    </row>
    <row r="592" spans="13:13">
      <c r="M592" s="5" t="s">
        <v>3569</v>
      </c>
    </row>
    <row r="593" spans="13:13">
      <c r="M593" s="5" t="s">
        <v>3570</v>
      </c>
    </row>
    <row r="594" spans="13:13">
      <c r="M594" s="5" t="s">
        <v>3571</v>
      </c>
    </row>
    <row r="595" spans="13:13">
      <c r="M595" s="5" t="s">
        <v>3572</v>
      </c>
    </row>
    <row r="596" spans="13:13">
      <c r="M596" s="5" t="s">
        <v>3573</v>
      </c>
    </row>
    <row r="597" spans="13:13">
      <c r="M597" s="5" t="s">
        <v>3574</v>
      </c>
    </row>
    <row r="598" spans="13:13">
      <c r="M598" s="5" t="s">
        <v>3575</v>
      </c>
    </row>
    <row r="599" spans="13:13">
      <c r="M599" s="5" t="s">
        <v>3576</v>
      </c>
    </row>
    <row r="600" spans="13:13">
      <c r="M600" s="5" t="s">
        <v>3577</v>
      </c>
    </row>
    <row r="601" spans="13:13">
      <c r="M601" s="5" t="s">
        <v>3578</v>
      </c>
    </row>
    <row r="602" spans="13:13">
      <c r="M602" s="5" t="s">
        <v>3579</v>
      </c>
    </row>
    <row r="603" spans="13:13">
      <c r="M603" s="5" t="s">
        <v>3580</v>
      </c>
    </row>
    <row r="604" spans="13:13">
      <c r="M604" s="5" t="s">
        <v>3581</v>
      </c>
    </row>
    <row r="605" spans="13:13">
      <c r="M605" s="5" t="s">
        <v>3582</v>
      </c>
    </row>
    <row r="606" spans="13:13">
      <c r="M606" s="5" t="s">
        <v>3583</v>
      </c>
    </row>
    <row r="607" spans="13:13">
      <c r="M607" s="5" t="s">
        <v>3584</v>
      </c>
    </row>
    <row r="608" spans="13:13">
      <c r="M608" s="5" t="s">
        <v>3585</v>
      </c>
    </row>
    <row r="609" spans="13:13">
      <c r="M609" s="5" t="s">
        <v>3586</v>
      </c>
    </row>
    <row r="610" spans="13:13">
      <c r="M610" s="5" t="s">
        <v>3587</v>
      </c>
    </row>
    <row r="611" spans="13:13">
      <c r="M611" s="5" t="s">
        <v>3588</v>
      </c>
    </row>
    <row r="612" spans="13:13">
      <c r="M612" s="5" t="s">
        <v>3589</v>
      </c>
    </row>
    <row r="613" spans="13:13">
      <c r="M613" s="5" t="s">
        <v>3590</v>
      </c>
    </row>
    <row r="614" spans="13:13">
      <c r="M614" s="5" t="s">
        <v>3591</v>
      </c>
    </row>
    <row r="615" spans="13:13">
      <c r="M615" s="5" t="s">
        <v>3592</v>
      </c>
    </row>
    <row r="616" spans="13:13">
      <c r="M616" s="5" t="s">
        <v>3593</v>
      </c>
    </row>
    <row r="617" spans="13:13">
      <c r="M617" s="5" t="s">
        <v>3594</v>
      </c>
    </row>
    <row r="618" spans="13:13">
      <c r="M618" s="5" t="s">
        <v>3595</v>
      </c>
    </row>
    <row r="619" spans="13:13">
      <c r="M619" s="5" t="s">
        <v>3596</v>
      </c>
    </row>
    <row r="620" spans="13:13">
      <c r="M620" s="5" t="s">
        <v>3597</v>
      </c>
    </row>
    <row r="621" spans="13:13">
      <c r="M621" s="5" t="s">
        <v>3598</v>
      </c>
    </row>
    <row r="622" spans="13:13">
      <c r="M622" s="5" t="s">
        <v>3599</v>
      </c>
    </row>
    <row r="623" spans="13:13">
      <c r="M623" s="5" t="s">
        <v>3600</v>
      </c>
    </row>
    <row r="624" spans="13:13">
      <c r="M624" s="5" t="s">
        <v>3601</v>
      </c>
    </row>
    <row r="625" spans="13:13">
      <c r="M625" s="5" t="s">
        <v>3602</v>
      </c>
    </row>
    <row r="626" spans="13:13">
      <c r="M626" s="5" t="s">
        <v>3603</v>
      </c>
    </row>
    <row r="627" spans="13:13">
      <c r="M627" s="5" t="s">
        <v>3604</v>
      </c>
    </row>
    <row r="628" spans="13:13">
      <c r="M628" s="5" t="s">
        <v>3605</v>
      </c>
    </row>
    <row r="629" spans="13:13">
      <c r="M629" s="5" t="s">
        <v>3606</v>
      </c>
    </row>
    <row r="630" spans="13:13">
      <c r="M630" s="5" t="s">
        <v>3607</v>
      </c>
    </row>
    <row r="631" spans="13:13">
      <c r="M631" s="5" t="s">
        <v>3608</v>
      </c>
    </row>
    <row r="632" spans="13:13">
      <c r="M632" s="5" t="s">
        <v>3609</v>
      </c>
    </row>
    <row r="633" spans="13:13">
      <c r="M633" s="5" t="s">
        <v>3610</v>
      </c>
    </row>
    <row r="634" spans="13:13">
      <c r="M634" s="5" t="s">
        <v>3611</v>
      </c>
    </row>
    <row r="635" spans="13:13">
      <c r="M635" s="5" t="s">
        <v>3612</v>
      </c>
    </row>
    <row r="636" spans="13:13">
      <c r="M636" s="5" t="s">
        <v>1429</v>
      </c>
    </row>
    <row r="637" spans="13:13">
      <c r="M637" s="5" t="s">
        <v>1434</v>
      </c>
    </row>
    <row r="638" spans="13:13">
      <c r="M638" s="5" t="s">
        <v>3613</v>
      </c>
    </row>
    <row r="639" spans="13:13">
      <c r="M639" s="5" t="s">
        <v>3614</v>
      </c>
    </row>
    <row r="640" spans="13:13">
      <c r="M640" s="5" t="s">
        <v>3615</v>
      </c>
    </row>
    <row r="641" spans="13:13">
      <c r="M641" s="5" t="s">
        <v>3616</v>
      </c>
    </row>
    <row r="642" spans="13:13">
      <c r="M642" s="5" t="s">
        <v>3617</v>
      </c>
    </row>
    <row r="643" spans="13:13">
      <c r="M643" s="5" t="s">
        <v>3618</v>
      </c>
    </row>
    <row r="644" spans="13:13">
      <c r="M644" s="5" t="s">
        <v>3619</v>
      </c>
    </row>
    <row r="645" spans="13:13">
      <c r="M645" s="5" t="s">
        <v>3620</v>
      </c>
    </row>
    <row r="646" spans="13:13">
      <c r="M646" s="5" t="s">
        <v>3621</v>
      </c>
    </row>
    <row r="647" spans="13:13">
      <c r="M647" s="5" t="s">
        <v>3622</v>
      </c>
    </row>
    <row r="648" spans="13:13">
      <c r="M648" s="5" t="s">
        <v>3623</v>
      </c>
    </row>
    <row r="649" spans="13:13">
      <c r="M649" s="5" t="s">
        <v>3624</v>
      </c>
    </row>
    <row r="650" spans="13:13">
      <c r="M650" s="5" t="s">
        <v>3625</v>
      </c>
    </row>
    <row r="651" spans="13:13">
      <c r="M651" s="5" t="s">
        <v>546</v>
      </c>
    </row>
    <row r="652" spans="13:13">
      <c r="M652" s="5" t="s">
        <v>540</v>
      </c>
    </row>
    <row r="653" spans="13:13">
      <c r="M653" s="5" t="s">
        <v>1442</v>
      </c>
    </row>
    <row r="654" spans="13:13">
      <c r="M654" s="5" t="s">
        <v>558</v>
      </c>
    </row>
    <row r="655" spans="13:13">
      <c r="M655" s="5" t="s">
        <v>560</v>
      </c>
    </row>
    <row r="656" spans="13:13">
      <c r="M656" s="5" t="s">
        <v>562</v>
      </c>
    </row>
    <row r="657" spans="13:13">
      <c r="M657" s="5" t="s">
        <v>3626</v>
      </c>
    </row>
    <row r="658" spans="13:13">
      <c r="M658" s="5" t="s">
        <v>3627</v>
      </c>
    </row>
    <row r="659" spans="13:13">
      <c r="M659" s="5" t="s">
        <v>3628</v>
      </c>
    </row>
    <row r="660" spans="13:13">
      <c r="M660" s="5" t="s">
        <v>3629</v>
      </c>
    </row>
    <row r="661" spans="13:13">
      <c r="M661" s="5" t="s">
        <v>1448</v>
      </c>
    </row>
    <row r="662" spans="13:13">
      <c r="M662" s="5" t="s">
        <v>1451</v>
      </c>
    </row>
    <row r="663" spans="13:13">
      <c r="M663" s="5" t="s">
        <v>1456</v>
      </c>
    </row>
    <row r="664" spans="13:13">
      <c r="M664" s="5" t="s">
        <v>3630</v>
      </c>
    </row>
    <row r="665" spans="13:13">
      <c r="M665" s="5" t="s">
        <v>3631</v>
      </c>
    </row>
    <row r="666" spans="13:13">
      <c r="M666" s="5" t="s">
        <v>3632</v>
      </c>
    </row>
    <row r="667" spans="13:13">
      <c r="M667" s="5" t="s">
        <v>3633</v>
      </c>
    </row>
    <row r="668" spans="13:13">
      <c r="M668" s="5" t="s">
        <v>3634</v>
      </c>
    </row>
    <row r="669" spans="13:13">
      <c r="M669" s="5" t="s">
        <v>1460</v>
      </c>
    </row>
    <row r="670" spans="13:13">
      <c r="M670" s="5" t="s">
        <v>3635</v>
      </c>
    </row>
    <row r="671" spans="13:13">
      <c r="M671" s="5" t="s">
        <v>3636</v>
      </c>
    </row>
    <row r="672" spans="13:13">
      <c r="M672" s="5" t="s">
        <v>3637</v>
      </c>
    </row>
    <row r="673" spans="13:13">
      <c r="M673" s="5" t="s">
        <v>3638</v>
      </c>
    </row>
    <row r="674" spans="13:13">
      <c r="M674" s="5" t="s">
        <v>3639</v>
      </c>
    </row>
    <row r="675" spans="13:13">
      <c r="M675" s="5" t="s">
        <v>3640</v>
      </c>
    </row>
    <row r="676" spans="13:13">
      <c r="M676" s="5" t="s">
        <v>3641</v>
      </c>
    </row>
    <row r="677" spans="13:13">
      <c r="M677" s="5" t="s">
        <v>3642</v>
      </c>
    </row>
    <row r="678" spans="13:13">
      <c r="M678" s="5" t="s">
        <v>3643</v>
      </c>
    </row>
    <row r="679" spans="13:13">
      <c r="M679" s="5" t="s">
        <v>1488</v>
      </c>
    </row>
    <row r="680" spans="13:13">
      <c r="M680" s="5" t="s">
        <v>3644</v>
      </c>
    </row>
    <row r="681" spans="13:13">
      <c r="M681" s="5" t="s">
        <v>3645</v>
      </c>
    </row>
    <row r="682" spans="13:13">
      <c r="M682" s="5" t="s">
        <v>3646</v>
      </c>
    </row>
    <row r="683" spans="13:13">
      <c r="M683" s="5" t="s">
        <v>3647</v>
      </c>
    </row>
    <row r="684" spans="13:13">
      <c r="M684" s="5" t="s">
        <v>3648</v>
      </c>
    </row>
    <row r="685" spans="13:13">
      <c r="M685" s="5" t="s">
        <v>3649</v>
      </c>
    </row>
    <row r="686" spans="13:13">
      <c r="M686" s="5" t="s">
        <v>3650</v>
      </c>
    </row>
    <row r="687" spans="13:13">
      <c r="M687" s="5" t="s">
        <v>3651</v>
      </c>
    </row>
    <row r="688" spans="13:13">
      <c r="M688" s="5" t="s">
        <v>3652</v>
      </c>
    </row>
    <row r="689" spans="13:13">
      <c r="M689" s="5" t="s">
        <v>3653</v>
      </c>
    </row>
    <row r="690" spans="13:13">
      <c r="M690" s="5" t="s">
        <v>3654</v>
      </c>
    </row>
    <row r="691" spans="13:13">
      <c r="M691" s="5" t="s">
        <v>1471</v>
      </c>
    </row>
    <row r="692" spans="13:13">
      <c r="M692" s="5" t="s">
        <v>3655</v>
      </c>
    </row>
    <row r="693" spans="13:13">
      <c r="M693" s="5" t="s">
        <v>3656</v>
      </c>
    </row>
    <row r="694" spans="13:13">
      <c r="M694" s="5" t="s">
        <v>3657</v>
      </c>
    </row>
    <row r="695" spans="13:13">
      <c r="M695" s="5" t="s">
        <v>3658</v>
      </c>
    </row>
    <row r="696" spans="13:13">
      <c r="M696" s="5" t="s">
        <v>3659</v>
      </c>
    </row>
    <row r="697" spans="13:13">
      <c r="M697" s="5" t="s">
        <v>3660</v>
      </c>
    </row>
    <row r="698" spans="13:13">
      <c r="M698" s="5" t="s">
        <v>3661</v>
      </c>
    </row>
    <row r="699" spans="13:13">
      <c r="M699" s="5" t="s">
        <v>3662</v>
      </c>
    </row>
    <row r="700" spans="13:13">
      <c r="M700" s="5" t="s">
        <v>3663</v>
      </c>
    </row>
    <row r="701" spans="13:13">
      <c r="M701" s="5" t="s">
        <v>3664</v>
      </c>
    </row>
    <row r="702" spans="13:13">
      <c r="M702" s="5" t="s">
        <v>3665</v>
      </c>
    </row>
    <row r="703" spans="13:13">
      <c r="M703" s="5" t="s">
        <v>3666</v>
      </c>
    </row>
    <row r="704" spans="13:13">
      <c r="M704" s="5" t="s">
        <v>3667</v>
      </c>
    </row>
    <row r="705" spans="13:13">
      <c r="M705" s="5" t="s">
        <v>1493</v>
      </c>
    </row>
    <row r="706" spans="13:13">
      <c r="M706" s="5" t="s">
        <v>3668</v>
      </c>
    </row>
    <row r="707" spans="13:13">
      <c r="M707" s="5" t="s">
        <v>3669</v>
      </c>
    </row>
    <row r="708" spans="13:13">
      <c r="M708" s="5" t="s">
        <v>3670</v>
      </c>
    </row>
    <row r="709" spans="13:13">
      <c r="M709" s="5" t="s">
        <v>3671</v>
      </c>
    </row>
    <row r="710" spans="13:13">
      <c r="M710" s="5" t="s">
        <v>3672</v>
      </c>
    </row>
    <row r="711" spans="13:13">
      <c r="M711" s="5" t="s">
        <v>1518</v>
      </c>
    </row>
    <row r="712" spans="13:13">
      <c r="M712" s="5" t="s">
        <v>3673</v>
      </c>
    </row>
    <row r="713" spans="13:13">
      <c r="M713" s="5" t="s">
        <v>3674</v>
      </c>
    </row>
    <row r="714" spans="13:13">
      <c r="M714" s="5" t="s">
        <v>3675</v>
      </c>
    </row>
    <row r="715" spans="13:13">
      <c r="M715" s="5" t="s">
        <v>3676</v>
      </c>
    </row>
    <row r="716" spans="13:13">
      <c r="M716" s="5" t="s">
        <v>3677</v>
      </c>
    </row>
    <row r="717" spans="13:13">
      <c r="M717" s="5" t="s">
        <v>3678</v>
      </c>
    </row>
    <row r="718" spans="13:13">
      <c r="M718" s="5" t="s">
        <v>3679</v>
      </c>
    </row>
    <row r="719" spans="13:13">
      <c r="M719" s="5" t="s">
        <v>3680</v>
      </c>
    </row>
    <row r="720" spans="13:13">
      <c r="M720" s="5" t="s">
        <v>3681</v>
      </c>
    </row>
    <row r="721" spans="13:13">
      <c r="M721" s="5" t="s">
        <v>3682</v>
      </c>
    </row>
    <row r="722" spans="13:13">
      <c r="M722" s="5" t="s">
        <v>3683</v>
      </c>
    </row>
    <row r="723" spans="13:13">
      <c r="M723" s="5" t="s">
        <v>3684</v>
      </c>
    </row>
    <row r="724" spans="13:13">
      <c r="M724" s="5" t="s">
        <v>3685</v>
      </c>
    </row>
    <row r="725" spans="13:13">
      <c r="M725" s="5" t="s">
        <v>3686</v>
      </c>
    </row>
    <row r="726" spans="13:13">
      <c r="M726" s="5" t="s">
        <v>3687</v>
      </c>
    </row>
    <row r="727" spans="13:13">
      <c r="M727" s="5" t="s">
        <v>3688</v>
      </c>
    </row>
    <row r="728" spans="13:13">
      <c r="M728" s="5" t="s">
        <v>3689</v>
      </c>
    </row>
    <row r="729" spans="13:13">
      <c r="M729" s="5" t="s">
        <v>3690</v>
      </c>
    </row>
    <row r="730" spans="13:13">
      <c r="M730" s="5" t="s">
        <v>3691</v>
      </c>
    </row>
    <row r="731" spans="13:13">
      <c r="M731" s="5" t="s">
        <v>3692</v>
      </c>
    </row>
    <row r="732" spans="13:13">
      <c r="M732" s="5" t="s">
        <v>3693</v>
      </c>
    </row>
    <row r="733" spans="13:13">
      <c r="M733" s="5" t="s">
        <v>3694</v>
      </c>
    </row>
    <row r="734" spans="13:13">
      <c r="M734" s="5" t="s">
        <v>3695</v>
      </c>
    </row>
    <row r="735" spans="13:13">
      <c r="M735" s="5" t="s">
        <v>3696</v>
      </c>
    </row>
    <row r="736" spans="13:13">
      <c r="M736" s="5" t="s">
        <v>3697</v>
      </c>
    </row>
    <row r="737" spans="13:13">
      <c r="M737" s="5" t="s">
        <v>3698</v>
      </c>
    </row>
    <row r="738" spans="13:13">
      <c r="M738" s="5" t="s">
        <v>3699</v>
      </c>
    </row>
    <row r="739" spans="13:13">
      <c r="M739" s="5" t="s">
        <v>3700</v>
      </c>
    </row>
    <row r="740" spans="13:13">
      <c r="M740" s="5" t="s">
        <v>3701</v>
      </c>
    </row>
    <row r="741" spans="13:13">
      <c r="M741" s="5" t="s">
        <v>3702</v>
      </c>
    </row>
    <row r="742" spans="13:13">
      <c r="M742" s="5" t="s">
        <v>3703</v>
      </c>
    </row>
    <row r="743" spans="13:13">
      <c r="M743" s="5" t="s">
        <v>3704</v>
      </c>
    </row>
    <row r="744" spans="13:13">
      <c r="M744" s="5" t="s">
        <v>3705</v>
      </c>
    </row>
    <row r="745" spans="13:13">
      <c r="M745" s="5" t="s">
        <v>3706</v>
      </c>
    </row>
    <row r="746" spans="13:13">
      <c r="M746" s="5" t="s">
        <v>3707</v>
      </c>
    </row>
    <row r="747" spans="13:13">
      <c r="M747" s="5" t="s">
        <v>3708</v>
      </c>
    </row>
    <row r="748" spans="13:13">
      <c r="M748" s="5" t="s">
        <v>3709</v>
      </c>
    </row>
    <row r="749" spans="13:13">
      <c r="M749" s="5" t="s">
        <v>3710</v>
      </c>
    </row>
    <row r="750" spans="13:13">
      <c r="M750" s="5" t="s">
        <v>3711</v>
      </c>
    </row>
    <row r="751" spans="13:13">
      <c r="M751" s="5" t="s">
        <v>3712</v>
      </c>
    </row>
    <row r="752" spans="13:13">
      <c r="M752" s="5" t="s">
        <v>3713</v>
      </c>
    </row>
    <row r="753" spans="13:13">
      <c r="M753" s="5" t="s">
        <v>3714</v>
      </c>
    </row>
    <row r="754" spans="13:13">
      <c r="M754" s="5" t="s">
        <v>3715</v>
      </c>
    </row>
    <row r="755" spans="13:13">
      <c r="M755" s="5" t="s">
        <v>3716</v>
      </c>
    </row>
    <row r="756" spans="13:13">
      <c r="M756" s="5" t="s">
        <v>3717</v>
      </c>
    </row>
    <row r="757" spans="13:13">
      <c r="M757" s="5" t="s">
        <v>3718</v>
      </c>
    </row>
    <row r="758" spans="13:13">
      <c r="M758" s="5" t="s">
        <v>3719</v>
      </c>
    </row>
    <row r="759" spans="13:13">
      <c r="M759" s="5" t="s">
        <v>3720</v>
      </c>
    </row>
    <row r="760" spans="13:13">
      <c r="M760" s="5" t="s">
        <v>3721</v>
      </c>
    </row>
    <row r="761" spans="13:13">
      <c r="M761" s="5" t="s">
        <v>3722</v>
      </c>
    </row>
    <row r="762" spans="13:13">
      <c r="M762" s="5" t="s">
        <v>3723</v>
      </c>
    </row>
    <row r="763" spans="13:13">
      <c r="M763" s="5" t="s">
        <v>3724</v>
      </c>
    </row>
    <row r="764" spans="13:13">
      <c r="M764" s="5" t="s">
        <v>1539</v>
      </c>
    </row>
    <row r="765" spans="13:13">
      <c r="M765" s="5" t="s">
        <v>3725</v>
      </c>
    </row>
    <row r="766" spans="13:13">
      <c r="M766" s="5" t="s">
        <v>3726</v>
      </c>
    </row>
    <row r="767" spans="13:13">
      <c r="M767" s="5" t="s">
        <v>3727</v>
      </c>
    </row>
    <row r="768" spans="13:13">
      <c r="M768" s="5" t="s">
        <v>3728</v>
      </c>
    </row>
    <row r="769" spans="13:13">
      <c r="M769" s="5" t="s">
        <v>3729</v>
      </c>
    </row>
    <row r="770" spans="13:13">
      <c r="M770" s="5" t="s">
        <v>1543</v>
      </c>
    </row>
    <row r="771" spans="13:13">
      <c r="M771" s="5" t="s">
        <v>3730</v>
      </c>
    </row>
    <row r="772" spans="13:13">
      <c r="M772" s="5" t="s">
        <v>3731</v>
      </c>
    </row>
    <row r="773" spans="13:13">
      <c r="M773" s="5" t="s">
        <v>1551</v>
      </c>
    </row>
    <row r="774" spans="13:13">
      <c r="M774" s="5" t="s">
        <v>1557</v>
      </c>
    </row>
    <row r="775" spans="13:13">
      <c r="M775" s="5" t="s">
        <v>1570</v>
      </c>
    </row>
    <row r="776" spans="13:13">
      <c r="M776" s="5" t="s">
        <v>1935</v>
      </c>
    </row>
    <row r="777" spans="13:13">
      <c r="M777" s="5" t="s">
        <v>1940</v>
      </c>
    </row>
    <row r="778" spans="13:13">
      <c r="M778" s="5" t="s">
        <v>3732</v>
      </c>
    </row>
    <row r="779" spans="13:13">
      <c r="M779" s="5" t="s">
        <v>2123</v>
      </c>
    </row>
    <row r="780" spans="13:13">
      <c r="M780" s="5" t="s">
        <v>3733</v>
      </c>
    </row>
    <row r="781" spans="13:13">
      <c r="M781" s="5" t="s">
        <v>1947</v>
      </c>
    </row>
    <row r="782" spans="13:13">
      <c r="M782" s="5" t="s">
        <v>2134</v>
      </c>
    </row>
    <row r="783" spans="13:13">
      <c r="M783" s="5" t="s">
        <v>3734</v>
      </c>
    </row>
    <row r="784" spans="13:13">
      <c r="M784" s="5" t="s">
        <v>3735</v>
      </c>
    </row>
    <row r="785" spans="13:13">
      <c r="M785" s="5" t="s">
        <v>3736</v>
      </c>
    </row>
    <row r="786" spans="13:13">
      <c r="M786" s="5" t="s">
        <v>3737</v>
      </c>
    </row>
    <row r="787" spans="13:13">
      <c r="M787" s="5" t="s">
        <v>3738</v>
      </c>
    </row>
    <row r="788" spans="13:13">
      <c r="M788" s="5" t="s">
        <v>3739</v>
      </c>
    </row>
    <row r="789" spans="13:13">
      <c r="M789" s="5" t="s">
        <v>3740</v>
      </c>
    </row>
    <row r="790" spans="13:13">
      <c r="M790" s="5" t="s">
        <v>1951</v>
      </c>
    </row>
    <row r="791" spans="13:13">
      <c r="M791" s="5" t="s">
        <v>3741</v>
      </c>
    </row>
    <row r="792" spans="13:13">
      <c r="M792" s="5" t="s">
        <v>3742</v>
      </c>
    </row>
    <row r="793" spans="13:13">
      <c r="M793" s="5" t="s">
        <v>3743</v>
      </c>
    </row>
    <row r="794" spans="13:13">
      <c r="M794" s="5" t="s">
        <v>2175</v>
      </c>
    </row>
    <row r="795" spans="13:13">
      <c r="M795" s="5" t="s">
        <v>1958</v>
      </c>
    </row>
    <row r="796" spans="13:13">
      <c r="M796" s="5" t="s">
        <v>3744</v>
      </c>
    </row>
    <row r="797" spans="13:13">
      <c r="M797" s="5" t="s">
        <v>3745</v>
      </c>
    </row>
    <row r="798" spans="13:13">
      <c r="M798" s="5" t="s">
        <v>3746</v>
      </c>
    </row>
    <row r="799" spans="13:13">
      <c r="M799" s="5" t="s">
        <v>2186</v>
      </c>
    </row>
    <row r="800" spans="13:13">
      <c r="M800" s="5" t="s">
        <v>2190</v>
      </c>
    </row>
    <row r="801" spans="13:13">
      <c r="M801" s="5" t="s">
        <v>3747</v>
      </c>
    </row>
    <row r="802" spans="13:13">
      <c r="M802" s="5" t="s">
        <v>3748</v>
      </c>
    </row>
    <row r="803" spans="13:13">
      <c r="M803" s="5" t="s">
        <v>3749</v>
      </c>
    </row>
    <row r="804" spans="13:13">
      <c r="M804" s="5" t="s">
        <v>3750</v>
      </c>
    </row>
    <row r="805" spans="13:13">
      <c r="M805" s="5" t="s">
        <v>3751</v>
      </c>
    </row>
    <row r="806" spans="13:13">
      <c r="M806" s="5" t="s">
        <v>3752</v>
      </c>
    </row>
    <row r="807" spans="13:13">
      <c r="M807" s="5" t="s">
        <v>3753</v>
      </c>
    </row>
    <row r="808" spans="13:13">
      <c r="M808" s="5" t="s">
        <v>3754</v>
      </c>
    </row>
    <row r="809" spans="13:13">
      <c r="M809" s="5" t="s">
        <v>3755</v>
      </c>
    </row>
    <row r="810" spans="13:13">
      <c r="M810" s="5" t="s">
        <v>3756</v>
      </c>
    </row>
    <row r="811" spans="13:13">
      <c r="M811" s="5" t="s">
        <v>3757</v>
      </c>
    </row>
    <row r="812" spans="13:13">
      <c r="M812" s="5" t="s">
        <v>3758</v>
      </c>
    </row>
    <row r="813" spans="13:13">
      <c r="M813" s="5" t="s">
        <v>3759</v>
      </c>
    </row>
    <row r="814" spans="13:13">
      <c r="M814" s="5" t="s">
        <v>3760</v>
      </c>
    </row>
    <row r="815" spans="13:13">
      <c r="M815" s="5" t="s">
        <v>3761</v>
      </c>
    </row>
    <row r="816" spans="13:13">
      <c r="M816" s="5" t="s">
        <v>3762</v>
      </c>
    </row>
    <row r="817" spans="13:13">
      <c r="M817" s="5" t="s">
        <v>3763</v>
      </c>
    </row>
    <row r="818" spans="13:13">
      <c r="M818" s="5" t="s">
        <v>3764</v>
      </c>
    </row>
    <row r="819" spans="13:13">
      <c r="M819" s="5" t="s">
        <v>3765</v>
      </c>
    </row>
    <row r="820" spans="13:13">
      <c r="M820" s="5" t="s">
        <v>3766</v>
      </c>
    </row>
    <row r="821" spans="13:13">
      <c r="M821" s="5" t="s">
        <v>3767</v>
      </c>
    </row>
    <row r="822" spans="13:13">
      <c r="M822" s="5" t="s">
        <v>3768</v>
      </c>
    </row>
    <row r="823" spans="13:13">
      <c r="M823" s="5" t="s">
        <v>3769</v>
      </c>
    </row>
    <row r="824" spans="13:13">
      <c r="M824" s="5" t="s">
        <v>1574</v>
      </c>
    </row>
    <row r="825" spans="13:13">
      <c r="M825" s="5" t="s">
        <v>3770</v>
      </c>
    </row>
    <row r="826" spans="13:13">
      <c r="M826" s="5" t="s">
        <v>3771</v>
      </c>
    </row>
    <row r="827" spans="13:13">
      <c r="M827" s="5" t="s">
        <v>3772</v>
      </c>
    </row>
    <row r="828" spans="13:13">
      <c r="M828" s="5" t="s">
        <v>3773</v>
      </c>
    </row>
    <row r="829" spans="13:13">
      <c r="M829" s="5" t="s">
        <v>3774</v>
      </c>
    </row>
    <row r="830" spans="13:13">
      <c r="M830" s="5" t="s">
        <v>3775</v>
      </c>
    </row>
    <row r="831" spans="13:13">
      <c r="M831" s="5" t="s">
        <v>3776</v>
      </c>
    </row>
    <row r="832" spans="13:13">
      <c r="M832" s="5" t="s">
        <v>3777</v>
      </c>
    </row>
    <row r="833" spans="13:13">
      <c r="M833" s="5" t="s">
        <v>3778</v>
      </c>
    </row>
    <row r="834" spans="13:13">
      <c r="M834" s="5" t="s">
        <v>3779</v>
      </c>
    </row>
    <row r="835" spans="13:13">
      <c r="M835" s="5" t="s">
        <v>3780</v>
      </c>
    </row>
    <row r="836" spans="13:13">
      <c r="M836" s="5" t="s">
        <v>3781</v>
      </c>
    </row>
    <row r="837" spans="13:13">
      <c r="M837" s="5" t="s">
        <v>3782</v>
      </c>
    </row>
    <row r="838" spans="13:13">
      <c r="M838" s="5" t="s">
        <v>3783</v>
      </c>
    </row>
    <row r="839" spans="13:13">
      <c r="M839" s="5" t="s">
        <v>3784</v>
      </c>
    </row>
    <row r="840" spans="13:13">
      <c r="M840" s="5" t="s">
        <v>3785</v>
      </c>
    </row>
    <row r="841" spans="13:13">
      <c r="M841" s="5" t="s">
        <v>3786</v>
      </c>
    </row>
    <row r="842" spans="13:13">
      <c r="M842" s="5" t="s">
        <v>3787</v>
      </c>
    </row>
    <row r="843" spans="13:13">
      <c r="M843" s="5" t="s">
        <v>3788</v>
      </c>
    </row>
    <row r="844" spans="13:13">
      <c r="M844" s="5" t="s">
        <v>3789</v>
      </c>
    </row>
    <row r="845" spans="13:13">
      <c r="M845" s="5" t="s">
        <v>3790</v>
      </c>
    </row>
    <row r="846" spans="13:13">
      <c r="M846" s="5" t="s">
        <v>3791</v>
      </c>
    </row>
    <row r="847" spans="13:13">
      <c r="M847" s="5" t="s">
        <v>3792</v>
      </c>
    </row>
    <row r="848" spans="13:13">
      <c r="M848" s="5" t="s">
        <v>3793</v>
      </c>
    </row>
    <row r="849" spans="13:13">
      <c r="M849" s="5" t="s">
        <v>1600</v>
      </c>
    </row>
    <row r="850" spans="13:13">
      <c r="M850" s="5" t="s">
        <v>3794</v>
      </c>
    </row>
    <row r="851" spans="13:13">
      <c r="M851" s="5" t="s">
        <v>3795</v>
      </c>
    </row>
    <row r="852" spans="13:13">
      <c r="M852" s="5" t="s">
        <v>3796</v>
      </c>
    </row>
    <row r="853" spans="13:13">
      <c r="M853" s="5" t="s">
        <v>3797</v>
      </c>
    </row>
    <row r="854" spans="13:13">
      <c r="M854" s="5" t="s">
        <v>3798</v>
      </c>
    </row>
    <row r="855" spans="13:13">
      <c r="M855" s="5" t="s">
        <v>3799</v>
      </c>
    </row>
    <row r="856" spans="13:13">
      <c r="M856" s="5" t="s">
        <v>3800</v>
      </c>
    </row>
    <row r="857" spans="13:13">
      <c r="M857" s="5" t="s">
        <v>1612</v>
      </c>
    </row>
    <row r="858" spans="13:13">
      <c r="M858" s="5" t="s">
        <v>3801</v>
      </c>
    </row>
    <row r="859" spans="13:13">
      <c r="M859" s="5" t="s">
        <v>3802</v>
      </c>
    </row>
    <row r="860" spans="13:13">
      <c r="M860" s="5" t="s">
        <v>3803</v>
      </c>
    </row>
    <row r="861" spans="13:13">
      <c r="M861" s="5" t="s">
        <v>3804</v>
      </c>
    </row>
    <row r="862" spans="13:13">
      <c r="M862" s="5" t="s">
        <v>3805</v>
      </c>
    </row>
    <row r="863" spans="13:13">
      <c r="M863" s="5" t="s">
        <v>3806</v>
      </c>
    </row>
    <row r="864" spans="13:13">
      <c r="M864" s="5" t="s">
        <v>3807</v>
      </c>
    </row>
    <row r="865" spans="13:13">
      <c r="M865" s="5" t="s">
        <v>3808</v>
      </c>
    </row>
    <row r="866" spans="13:13">
      <c r="M866" s="5" t="s">
        <v>3809</v>
      </c>
    </row>
    <row r="867" spans="13:13">
      <c r="M867" s="5" t="s">
        <v>3810</v>
      </c>
    </row>
    <row r="868" spans="13:13">
      <c r="M868" s="5" t="s">
        <v>3811</v>
      </c>
    </row>
    <row r="869" spans="13:13">
      <c r="M869" s="5" t="s">
        <v>3812</v>
      </c>
    </row>
    <row r="870" spans="13:13">
      <c r="M870" s="5" t="s">
        <v>3813</v>
      </c>
    </row>
    <row r="871" spans="13:13">
      <c r="M871" s="5" t="s">
        <v>1615</v>
      </c>
    </row>
    <row r="872" spans="13:13">
      <c r="M872" s="5" t="s">
        <v>3814</v>
      </c>
    </row>
    <row r="873" spans="13:13">
      <c r="M873" s="5" t="s">
        <v>3815</v>
      </c>
    </row>
    <row r="874" spans="13:13">
      <c r="M874" s="5" t="s">
        <v>3816</v>
      </c>
    </row>
    <row r="875" spans="13:13">
      <c r="M875" s="5" t="s">
        <v>3817</v>
      </c>
    </row>
    <row r="876" spans="13:13">
      <c r="M876" s="5" t="s">
        <v>1653</v>
      </c>
    </row>
    <row r="877" spans="13:13">
      <c r="M877" s="5" t="s">
        <v>3818</v>
      </c>
    </row>
    <row r="878" spans="13:13">
      <c r="M878" s="5" t="s">
        <v>3819</v>
      </c>
    </row>
    <row r="879" spans="13:13">
      <c r="M879" s="5" t="s">
        <v>3820</v>
      </c>
    </row>
    <row r="880" spans="13:13">
      <c r="M880" s="5" t="s">
        <v>3821</v>
      </c>
    </row>
    <row r="881" spans="13:13">
      <c r="M881" s="5" t="s">
        <v>3822</v>
      </c>
    </row>
    <row r="882" spans="13:13">
      <c r="M882" s="5" t="s">
        <v>3823</v>
      </c>
    </row>
    <row r="883" spans="13:13">
      <c r="M883" s="5" t="s">
        <v>3824</v>
      </c>
    </row>
    <row r="884" spans="13:13">
      <c r="M884" s="5" t="s">
        <v>3825</v>
      </c>
    </row>
    <row r="885" spans="13:13">
      <c r="M885" s="5" t="s">
        <v>1657</v>
      </c>
    </row>
    <row r="886" spans="13:13">
      <c r="M886" s="5" t="s">
        <v>3826</v>
      </c>
    </row>
    <row r="887" spans="13:13">
      <c r="M887" s="5" t="s">
        <v>3827</v>
      </c>
    </row>
    <row r="888" spans="13:13">
      <c r="M888" s="5" t="s">
        <v>3828</v>
      </c>
    </row>
    <row r="889" spans="13:13">
      <c r="M889" s="5" t="s">
        <v>3829</v>
      </c>
    </row>
    <row r="890" spans="13:13">
      <c r="M890" s="5" t="s">
        <v>3830</v>
      </c>
    </row>
    <row r="891" spans="13:13">
      <c r="M891" s="5" t="s">
        <v>3831</v>
      </c>
    </row>
    <row r="892" spans="13:13">
      <c r="M892" s="5" t="s">
        <v>3832</v>
      </c>
    </row>
    <row r="893" spans="13:13">
      <c r="M893" s="5" t="s">
        <v>3833</v>
      </c>
    </row>
    <row r="894" spans="13:13">
      <c r="M894" s="5" t="s">
        <v>3834</v>
      </c>
    </row>
    <row r="895" spans="13:13">
      <c r="M895" s="5" t="s">
        <v>3835</v>
      </c>
    </row>
    <row r="896" spans="13:13">
      <c r="M896" s="5" t="s">
        <v>3836</v>
      </c>
    </row>
    <row r="897" spans="13:13">
      <c r="M897" s="5" t="s">
        <v>3837</v>
      </c>
    </row>
    <row r="898" spans="13:13">
      <c r="M898" s="5" t="s">
        <v>1525</v>
      </c>
    </row>
    <row r="899" spans="13:13">
      <c r="M899" s="5" t="s">
        <v>3838</v>
      </c>
    </row>
    <row r="900" spans="13:13">
      <c r="M900" s="5" t="s">
        <v>3839</v>
      </c>
    </row>
    <row r="901" spans="13:13">
      <c r="M901" s="5" t="s">
        <v>3840</v>
      </c>
    </row>
    <row r="902" spans="13:13">
      <c r="M902" s="5" t="s">
        <v>1679</v>
      </c>
    </row>
    <row r="903" spans="13:13">
      <c r="M903" s="5" t="s">
        <v>3841</v>
      </c>
    </row>
    <row r="904" spans="13:13">
      <c r="M904" s="5" t="s">
        <v>3842</v>
      </c>
    </row>
    <row r="905" spans="13:13">
      <c r="M905" s="5" t="s">
        <v>3843</v>
      </c>
    </row>
    <row r="906" spans="13:13">
      <c r="M906" s="5" t="s">
        <v>3844</v>
      </c>
    </row>
    <row r="907" spans="13:13">
      <c r="M907" s="5" t="s">
        <v>3845</v>
      </c>
    </row>
    <row r="908" spans="13:13">
      <c r="M908" s="5" t="s">
        <v>1687</v>
      </c>
    </row>
    <row r="909" spans="13:13">
      <c r="M909" s="5" t="s">
        <v>1732</v>
      </c>
    </row>
    <row r="910" spans="13:13">
      <c r="M910" s="5" t="s">
        <v>3846</v>
      </c>
    </row>
    <row r="911" spans="13:13">
      <c r="M911" s="5" t="s">
        <v>3847</v>
      </c>
    </row>
    <row r="912" spans="13:13">
      <c r="M912" s="5" t="s">
        <v>3848</v>
      </c>
    </row>
    <row r="913" spans="13:13">
      <c r="M913" s="5" t="s">
        <v>3849</v>
      </c>
    </row>
    <row r="914" spans="13:13">
      <c r="M914" s="5" t="s">
        <v>3850</v>
      </c>
    </row>
    <row r="915" spans="13:13">
      <c r="M915" s="5" t="s">
        <v>3851</v>
      </c>
    </row>
    <row r="916" spans="13:13">
      <c r="M916" s="5" t="s">
        <v>3852</v>
      </c>
    </row>
    <row r="917" spans="13:13">
      <c r="M917" s="5" t="s">
        <v>1745</v>
      </c>
    </row>
    <row r="918" spans="13:13">
      <c r="M918" s="5" t="s">
        <v>3853</v>
      </c>
    </row>
    <row r="919" spans="13:13">
      <c r="M919" s="5" t="s">
        <v>3854</v>
      </c>
    </row>
    <row r="920" spans="13:13">
      <c r="M920" s="5" t="s">
        <v>3855</v>
      </c>
    </row>
    <row r="921" spans="13:13">
      <c r="M921" s="5" t="s">
        <v>3856</v>
      </c>
    </row>
    <row r="922" spans="13:13">
      <c r="M922" s="5" t="s">
        <v>3857</v>
      </c>
    </row>
    <row r="923" spans="13:13">
      <c r="M923" s="5" t="s">
        <v>3858</v>
      </c>
    </row>
    <row r="924" spans="13:13">
      <c r="M924" s="5" t="s">
        <v>3859</v>
      </c>
    </row>
    <row r="925" spans="13:13">
      <c r="M925" s="5" t="s">
        <v>3860</v>
      </c>
    </row>
    <row r="926" spans="13:13">
      <c r="M926" s="5" t="s">
        <v>3861</v>
      </c>
    </row>
    <row r="927" spans="13:13">
      <c r="M927" s="5" t="s">
        <v>3862</v>
      </c>
    </row>
    <row r="928" spans="13:13">
      <c r="M928" s="5" t="s">
        <v>3863</v>
      </c>
    </row>
    <row r="929" spans="13:13">
      <c r="M929" s="5" t="s">
        <v>3864</v>
      </c>
    </row>
    <row r="930" spans="13:13">
      <c r="M930" s="5" t="s">
        <v>3865</v>
      </c>
    </row>
    <row r="931" spans="13:13">
      <c r="M931" s="5" t="s">
        <v>3866</v>
      </c>
    </row>
    <row r="932" spans="13:13">
      <c r="M932" s="5" t="s">
        <v>3867</v>
      </c>
    </row>
    <row r="933" spans="13:13">
      <c r="M933" s="5" t="s">
        <v>3868</v>
      </c>
    </row>
    <row r="934" spans="13:13">
      <c r="M934" s="5" t="s">
        <v>3869</v>
      </c>
    </row>
    <row r="935" spans="13:13">
      <c r="M935" s="5" t="s">
        <v>3870</v>
      </c>
    </row>
    <row r="936" spans="13:13">
      <c r="M936" s="5" t="s">
        <v>3871</v>
      </c>
    </row>
    <row r="937" spans="13:13">
      <c r="M937" s="5" t="s">
        <v>3872</v>
      </c>
    </row>
    <row r="938" spans="13:13">
      <c r="M938" s="5" t="s">
        <v>3873</v>
      </c>
    </row>
    <row r="939" spans="13:13">
      <c r="M939" s="5" t="s">
        <v>3874</v>
      </c>
    </row>
    <row r="940" spans="13:13">
      <c r="M940" s="5" t="s">
        <v>3875</v>
      </c>
    </row>
    <row r="941" spans="13:13">
      <c r="M941" s="5" t="s">
        <v>1749</v>
      </c>
    </row>
    <row r="942" spans="13:13">
      <c r="M942" s="5" t="s">
        <v>3876</v>
      </c>
    </row>
    <row r="943" spans="13:13">
      <c r="M943" s="5" t="s">
        <v>3877</v>
      </c>
    </row>
    <row r="944" spans="13:13">
      <c r="M944" s="5" t="s">
        <v>3878</v>
      </c>
    </row>
    <row r="945" spans="13:13">
      <c r="M945" s="5" t="s">
        <v>1753</v>
      </c>
    </row>
    <row r="946" spans="13:13">
      <c r="M946" s="5" t="s">
        <v>1760</v>
      </c>
    </row>
    <row r="947" spans="13:13">
      <c r="M947" s="5" t="s">
        <v>3879</v>
      </c>
    </row>
    <row r="948" spans="13:13">
      <c r="M948" s="5" t="s">
        <v>3880</v>
      </c>
    </row>
    <row r="949" spans="13:13">
      <c r="M949" s="5" t="s">
        <v>3881</v>
      </c>
    </row>
    <row r="950" spans="13:13">
      <c r="M950" s="5" t="s">
        <v>3882</v>
      </c>
    </row>
    <row r="951" spans="13:13">
      <c r="M951" s="5" t="s">
        <v>3883</v>
      </c>
    </row>
    <row r="952" spans="13:13">
      <c r="M952" s="5" t="s">
        <v>3884</v>
      </c>
    </row>
    <row r="953" spans="13:13">
      <c r="M953" s="5" t="s">
        <v>3885</v>
      </c>
    </row>
    <row r="954" spans="13:13">
      <c r="M954" s="5" t="s">
        <v>3886</v>
      </c>
    </row>
    <row r="955" spans="13:13">
      <c r="M955" s="5" t="s">
        <v>3887</v>
      </c>
    </row>
    <row r="956" spans="13:13">
      <c r="M956" s="5" t="s">
        <v>3888</v>
      </c>
    </row>
    <row r="957" spans="13:13">
      <c r="M957" s="5" t="s">
        <v>3889</v>
      </c>
    </row>
    <row r="958" spans="13:13">
      <c r="M958" s="5" t="s">
        <v>3890</v>
      </c>
    </row>
    <row r="959" spans="13:13">
      <c r="M959" s="5" t="s">
        <v>3891</v>
      </c>
    </row>
    <row r="960" spans="13:13">
      <c r="M960" s="5" t="s">
        <v>3892</v>
      </c>
    </row>
    <row r="961" spans="13:13">
      <c r="M961" s="5" t="s">
        <v>3893</v>
      </c>
    </row>
    <row r="962" spans="13:13">
      <c r="M962" s="5" t="s">
        <v>1766</v>
      </c>
    </row>
    <row r="963" spans="13:13">
      <c r="M963" s="5" t="s">
        <v>3894</v>
      </c>
    </row>
    <row r="964" spans="13:13">
      <c r="M964" s="5" t="s">
        <v>3895</v>
      </c>
    </row>
    <row r="965" spans="13:13">
      <c r="M965" s="5" t="s">
        <v>3896</v>
      </c>
    </row>
    <row r="966" spans="13:13">
      <c r="M966" s="5" t="s">
        <v>3897</v>
      </c>
    </row>
    <row r="967" spans="13:13">
      <c r="M967" s="5" t="s">
        <v>3898</v>
      </c>
    </row>
    <row r="968" spans="13:13">
      <c r="M968" s="5" t="s">
        <v>3899</v>
      </c>
    </row>
    <row r="969" spans="13:13">
      <c r="M969" s="5" t="s">
        <v>3900</v>
      </c>
    </row>
    <row r="970" spans="13:13">
      <c r="M970" s="5" t="s">
        <v>3901</v>
      </c>
    </row>
    <row r="971" spans="13:13">
      <c r="M971" s="5" t="s">
        <v>3902</v>
      </c>
    </row>
    <row r="972" spans="13:13">
      <c r="M972" s="5" t="s">
        <v>3903</v>
      </c>
    </row>
    <row r="973" spans="13:13">
      <c r="M973" s="5" t="s">
        <v>3904</v>
      </c>
    </row>
    <row r="974" spans="13:13">
      <c r="M974" s="5" t="s">
        <v>3905</v>
      </c>
    </row>
    <row r="975" spans="13:13">
      <c r="M975" s="5" t="s">
        <v>3906</v>
      </c>
    </row>
    <row r="976" spans="13:13">
      <c r="M976" s="5" t="s">
        <v>3907</v>
      </c>
    </row>
    <row r="977" spans="13:13">
      <c r="M977" s="5" t="s">
        <v>3908</v>
      </c>
    </row>
    <row r="978" spans="13:13">
      <c r="M978" s="5" t="s">
        <v>3909</v>
      </c>
    </row>
    <row r="979" spans="13:13">
      <c r="M979" s="5" t="s">
        <v>3910</v>
      </c>
    </row>
    <row r="980" spans="13:13">
      <c r="M980" s="5" t="s">
        <v>1769</v>
      </c>
    </row>
    <row r="981" spans="13:13">
      <c r="M981" s="5" t="s">
        <v>3911</v>
      </c>
    </row>
    <row r="982" spans="13:13">
      <c r="M982" s="5" t="s">
        <v>3912</v>
      </c>
    </row>
    <row r="983" spans="13:13">
      <c r="M983" s="5" t="s">
        <v>3913</v>
      </c>
    </row>
    <row r="984" spans="13:13">
      <c r="M984" s="5" t="s">
        <v>3914</v>
      </c>
    </row>
    <row r="985" spans="13:13">
      <c r="M985" s="5" t="s">
        <v>3915</v>
      </c>
    </row>
    <row r="986" spans="13:13">
      <c r="M986" s="5" t="s">
        <v>3916</v>
      </c>
    </row>
    <row r="987" spans="13:13">
      <c r="M987" s="5" t="s">
        <v>1772</v>
      </c>
    </row>
    <row r="988" spans="13:13">
      <c r="M988" s="5" t="s">
        <v>3917</v>
      </c>
    </row>
    <row r="989" spans="13:13">
      <c r="M989" s="5" t="s">
        <v>3918</v>
      </c>
    </row>
    <row r="990" spans="13:13">
      <c r="M990" s="5" t="s">
        <v>3919</v>
      </c>
    </row>
    <row r="991" spans="13:13">
      <c r="M991" s="5" t="s">
        <v>3920</v>
      </c>
    </row>
    <row r="992" spans="13:13">
      <c r="M992" s="5" t="s">
        <v>3921</v>
      </c>
    </row>
    <row r="993" spans="13:13">
      <c r="M993" s="5" t="s">
        <v>3922</v>
      </c>
    </row>
    <row r="994" spans="13:13">
      <c r="M994" s="5" t="s">
        <v>3923</v>
      </c>
    </row>
    <row r="995" spans="13:13">
      <c r="M995" s="5" t="s">
        <v>3924</v>
      </c>
    </row>
    <row r="996" spans="13:13">
      <c r="M996" s="5" t="s">
        <v>3925</v>
      </c>
    </row>
    <row r="997" spans="13:13">
      <c r="M997" s="5" t="s">
        <v>3926</v>
      </c>
    </row>
    <row r="998" spans="13:13">
      <c r="M998" s="5" t="s">
        <v>3927</v>
      </c>
    </row>
    <row r="999" spans="13:13">
      <c r="M999" s="5" t="s">
        <v>3928</v>
      </c>
    </row>
    <row r="1000" spans="13:13">
      <c r="M1000" s="5" t="s">
        <v>3929</v>
      </c>
    </row>
    <row r="1001" spans="13:13">
      <c r="M1001" s="5" t="s">
        <v>3930</v>
      </c>
    </row>
    <row r="1002" spans="13:13">
      <c r="M1002" s="5" t="s">
        <v>3931</v>
      </c>
    </row>
    <row r="1003" spans="13:13">
      <c r="M1003" s="5" t="s">
        <v>3932</v>
      </c>
    </row>
    <row r="1004" spans="13:13">
      <c r="M1004" s="5" t="s">
        <v>3933</v>
      </c>
    </row>
    <row r="1005" spans="13:13">
      <c r="M1005" s="5" t="s">
        <v>3934</v>
      </c>
    </row>
    <row r="1006" spans="13:13">
      <c r="M1006" s="5" t="s">
        <v>3935</v>
      </c>
    </row>
    <row r="1007" spans="13:13">
      <c r="M1007" s="5" t="s">
        <v>3936</v>
      </c>
    </row>
    <row r="1008" spans="13:13">
      <c r="M1008" s="5" t="s">
        <v>3937</v>
      </c>
    </row>
    <row r="1009" spans="13:13">
      <c r="M1009" s="5" t="s">
        <v>3938</v>
      </c>
    </row>
    <row r="1010" spans="13:13">
      <c r="M1010" s="5" t="s">
        <v>3939</v>
      </c>
    </row>
    <row r="1011" spans="13:13">
      <c r="M1011" s="5" t="s">
        <v>3940</v>
      </c>
    </row>
    <row r="1012" spans="13:13">
      <c r="M1012" s="5" t="s">
        <v>3941</v>
      </c>
    </row>
    <row r="1013" spans="13:13">
      <c r="M1013" s="5" t="s">
        <v>3942</v>
      </c>
    </row>
    <row r="1014" spans="13:13">
      <c r="M1014" s="5" t="s">
        <v>3943</v>
      </c>
    </row>
    <row r="1015" spans="13:13">
      <c r="M1015" s="5" t="s">
        <v>3944</v>
      </c>
    </row>
    <row r="1016" spans="13:13">
      <c r="M1016" s="5" t="s">
        <v>3945</v>
      </c>
    </row>
    <row r="1017" spans="13:13">
      <c r="M1017" s="5" t="s">
        <v>3946</v>
      </c>
    </row>
    <row r="1018" spans="13:13">
      <c r="M1018" s="5" t="s">
        <v>3947</v>
      </c>
    </row>
    <row r="1019" spans="13:13">
      <c r="M1019" s="5" t="s">
        <v>3948</v>
      </c>
    </row>
    <row r="1020" spans="13:13">
      <c r="M1020" s="5" t="s">
        <v>3949</v>
      </c>
    </row>
    <row r="1021" spans="13:13">
      <c r="M1021" s="5" t="s">
        <v>3950</v>
      </c>
    </row>
    <row r="1022" spans="13:13">
      <c r="M1022" s="5" t="s">
        <v>3951</v>
      </c>
    </row>
    <row r="1023" spans="13:13">
      <c r="M1023" s="5" t="s">
        <v>3952</v>
      </c>
    </row>
    <row r="1024" spans="13:13">
      <c r="M1024" s="5" t="s">
        <v>3953</v>
      </c>
    </row>
    <row r="1025" spans="13:13">
      <c r="M1025" s="5" t="s">
        <v>3954</v>
      </c>
    </row>
    <row r="1026" spans="13:13">
      <c r="M1026" s="5" t="s">
        <v>3955</v>
      </c>
    </row>
    <row r="1027" spans="13:13">
      <c r="M1027" s="5" t="s">
        <v>1775</v>
      </c>
    </row>
    <row r="1028" spans="13:13">
      <c r="M1028" s="5" t="s">
        <v>3956</v>
      </c>
    </row>
    <row r="1029" spans="13:13">
      <c r="M1029" s="5" t="s">
        <v>3957</v>
      </c>
    </row>
    <row r="1030" spans="13:13">
      <c r="M1030" s="5" t="s">
        <v>3958</v>
      </c>
    </row>
    <row r="1031" spans="13:13">
      <c r="M1031" s="5" t="s">
        <v>3959</v>
      </c>
    </row>
    <row r="1032" spans="13:13">
      <c r="M1032" s="5" t="s">
        <v>3960</v>
      </c>
    </row>
    <row r="1033" spans="13:13">
      <c r="M1033" s="5" t="s">
        <v>3961</v>
      </c>
    </row>
    <row r="1034" spans="13:13">
      <c r="M1034" s="5" t="s">
        <v>3962</v>
      </c>
    </row>
    <row r="1035" spans="13:13">
      <c r="M1035" s="5" t="s">
        <v>3963</v>
      </c>
    </row>
    <row r="1036" spans="13:13">
      <c r="M1036" s="5" t="s">
        <v>3964</v>
      </c>
    </row>
    <row r="1037" spans="13:13">
      <c r="M1037" s="5" t="s">
        <v>3965</v>
      </c>
    </row>
    <row r="1038" spans="13:13">
      <c r="M1038" s="5" t="s">
        <v>3966</v>
      </c>
    </row>
    <row r="1039" spans="13:13">
      <c r="M1039" s="5" t="s">
        <v>3967</v>
      </c>
    </row>
    <row r="1040" spans="13:13">
      <c r="M1040" s="5" t="s">
        <v>3968</v>
      </c>
    </row>
    <row r="1041" spans="13:13">
      <c r="M1041" s="5" t="s">
        <v>3969</v>
      </c>
    </row>
    <row r="1042" spans="13:13">
      <c r="M1042" s="5" t="s">
        <v>3970</v>
      </c>
    </row>
    <row r="1043" spans="13:13">
      <c r="M1043" s="5" t="s">
        <v>3971</v>
      </c>
    </row>
    <row r="1044" spans="13:13">
      <c r="M1044" s="5" t="s">
        <v>3972</v>
      </c>
    </row>
    <row r="1045" spans="13:13">
      <c r="M1045" s="5" t="s">
        <v>3973</v>
      </c>
    </row>
    <row r="1046" spans="13:13">
      <c r="M1046" s="5" t="s">
        <v>3974</v>
      </c>
    </row>
    <row r="1047" spans="13:13">
      <c r="M1047" s="5" t="s">
        <v>3975</v>
      </c>
    </row>
    <row r="1048" spans="13:13">
      <c r="M1048" s="5" t="s">
        <v>3976</v>
      </c>
    </row>
    <row r="1049" spans="13:13">
      <c r="M1049" s="5" t="s">
        <v>3977</v>
      </c>
    </row>
    <row r="1050" spans="13:13">
      <c r="M1050" s="5" t="s">
        <v>3978</v>
      </c>
    </row>
    <row r="1051" spans="13:13">
      <c r="M1051" s="5" t="s">
        <v>3979</v>
      </c>
    </row>
    <row r="1052" spans="13:13">
      <c r="M1052" s="5" t="s">
        <v>3980</v>
      </c>
    </row>
    <row r="1053" spans="13:13">
      <c r="M1053" s="5" t="s">
        <v>3981</v>
      </c>
    </row>
    <row r="1054" spans="13:13">
      <c r="M1054" s="5" t="s">
        <v>3982</v>
      </c>
    </row>
    <row r="1055" spans="13:13">
      <c r="M1055" s="5" t="s">
        <v>3983</v>
      </c>
    </row>
    <row r="1056" spans="13:13">
      <c r="M1056" s="5" t="s">
        <v>3984</v>
      </c>
    </row>
    <row r="1057" spans="13:13">
      <c r="M1057" s="5" t="s">
        <v>3985</v>
      </c>
    </row>
    <row r="1058" spans="13:13">
      <c r="M1058" s="5" t="s">
        <v>3986</v>
      </c>
    </row>
    <row r="1059" spans="13:13">
      <c r="M1059" s="5" t="s">
        <v>3987</v>
      </c>
    </row>
    <row r="1060" spans="13:13">
      <c r="M1060" s="5" t="s">
        <v>3988</v>
      </c>
    </row>
    <row r="1061" spans="13:13">
      <c r="M1061" s="5" t="s">
        <v>3989</v>
      </c>
    </row>
    <row r="1062" spans="13:13">
      <c r="M1062" s="5" t="s">
        <v>3990</v>
      </c>
    </row>
    <row r="1063" spans="13:13">
      <c r="M1063" s="5" t="s">
        <v>3991</v>
      </c>
    </row>
    <row r="1064" spans="13:13">
      <c r="M1064" s="5" t="s">
        <v>3992</v>
      </c>
    </row>
    <row r="1065" spans="13:13">
      <c r="M1065" s="5" t="s">
        <v>3993</v>
      </c>
    </row>
    <row r="1066" spans="13:13">
      <c r="M1066" s="5" t="s">
        <v>3994</v>
      </c>
    </row>
    <row r="1067" spans="13:13">
      <c r="M1067" s="5" t="s">
        <v>3995</v>
      </c>
    </row>
    <row r="1068" spans="13:13">
      <c r="M1068" s="5" t="s">
        <v>3996</v>
      </c>
    </row>
    <row r="1069" spans="13:13">
      <c r="M1069" s="5" t="s">
        <v>3997</v>
      </c>
    </row>
    <row r="1070" spans="13:13">
      <c r="M1070" s="5" t="s">
        <v>3998</v>
      </c>
    </row>
    <row r="1071" spans="13:13">
      <c r="M1071" s="5" t="s">
        <v>3999</v>
      </c>
    </row>
    <row r="1072" spans="13:13">
      <c r="M1072" s="5" t="s">
        <v>4000</v>
      </c>
    </row>
    <row r="1073" spans="13:13">
      <c r="M1073" s="5" t="s">
        <v>4001</v>
      </c>
    </row>
    <row r="1074" spans="13:13">
      <c r="M1074" s="5" t="s">
        <v>4002</v>
      </c>
    </row>
    <row r="1075" spans="13:13">
      <c r="M1075" s="5" t="s">
        <v>4003</v>
      </c>
    </row>
    <row r="1076" spans="13:13">
      <c r="M1076" s="5" t="s">
        <v>4004</v>
      </c>
    </row>
    <row r="1077" spans="13:13">
      <c r="M1077" s="5" t="s">
        <v>4005</v>
      </c>
    </row>
    <row r="1078" spans="13:13">
      <c r="M1078" s="5" t="s">
        <v>1783</v>
      </c>
    </row>
    <row r="1079" spans="13:13">
      <c r="M1079" s="5" t="s">
        <v>4006</v>
      </c>
    </row>
    <row r="1080" spans="13:13">
      <c r="M1080" s="5" t="s">
        <v>4007</v>
      </c>
    </row>
    <row r="1081" spans="13:13">
      <c r="M1081" s="5" t="s">
        <v>4008</v>
      </c>
    </row>
    <row r="1082" spans="13:13">
      <c r="M1082" s="5" t="s">
        <v>4009</v>
      </c>
    </row>
    <row r="1083" spans="13:13">
      <c r="M1083" s="5" t="s">
        <v>4010</v>
      </c>
    </row>
    <row r="1084" spans="13:13">
      <c r="M1084" s="5" t="s">
        <v>4011</v>
      </c>
    </row>
    <row r="1085" spans="13:13">
      <c r="M1085" s="5" t="s">
        <v>4012</v>
      </c>
    </row>
    <row r="1086" spans="13:13">
      <c r="M1086" s="5" t="s">
        <v>4013</v>
      </c>
    </row>
    <row r="1087" spans="13:13">
      <c r="M1087" s="5" t="s">
        <v>1817</v>
      </c>
    </row>
    <row r="1088" spans="13:13">
      <c r="M1088" s="5" t="s">
        <v>4014</v>
      </c>
    </row>
    <row r="1089" spans="13:13">
      <c r="M1089" s="5" t="s">
        <v>4015</v>
      </c>
    </row>
    <row r="1090" spans="13:13">
      <c r="M1090" s="5" t="s">
        <v>4016</v>
      </c>
    </row>
    <row r="1091" spans="13:13">
      <c r="M1091" s="5" t="s">
        <v>4017</v>
      </c>
    </row>
    <row r="1092" spans="13:13">
      <c r="M1092" s="5" t="s">
        <v>4018</v>
      </c>
    </row>
    <row r="1093" spans="13:13">
      <c r="M1093" s="5" t="s">
        <v>4019</v>
      </c>
    </row>
    <row r="1094" spans="13:13">
      <c r="M1094" s="5" t="s">
        <v>4020</v>
      </c>
    </row>
    <row r="1095" spans="13:13">
      <c r="M1095" s="5" t="s">
        <v>4021</v>
      </c>
    </row>
    <row r="1096" spans="13:13">
      <c r="M1096" s="5" t="s">
        <v>4022</v>
      </c>
    </row>
    <row r="1097" spans="13:13">
      <c r="M1097" s="5" t="s">
        <v>4023</v>
      </c>
    </row>
    <row r="1098" spans="13:13">
      <c r="M1098" s="5" t="s">
        <v>4024</v>
      </c>
    </row>
    <row r="1099" spans="13:13">
      <c r="M1099" s="5" t="s">
        <v>4025</v>
      </c>
    </row>
    <row r="1100" spans="13:13">
      <c r="M1100" s="5" t="s">
        <v>4026</v>
      </c>
    </row>
    <row r="1101" spans="13:13">
      <c r="M1101" s="5" t="s">
        <v>4027</v>
      </c>
    </row>
    <row r="1102" spans="13:13">
      <c r="M1102" s="5" t="s">
        <v>4028</v>
      </c>
    </row>
    <row r="1103" spans="13:13">
      <c r="M1103" s="5" t="s">
        <v>4029</v>
      </c>
    </row>
    <row r="1104" spans="13:13">
      <c r="M1104" s="5" t="s">
        <v>4030</v>
      </c>
    </row>
    <row r="1105" spans="13:13">
      <c r="M1105" s="5" t="s">
        <v>4031</v>
      </c>
    </row>
    <row r="1106" spans="13:13">
      <c r="M1106" s="5" t="s">
        <v>4032</v>
      </c>
    </row>
    <row r="1107" spans="13:13">
      <c r="M1107" s="5" t="s">
        <v>4033</v>
      </c>
    </row>
    <row r="1108" spans="13:13">
      <c r="M1108" s="5" t="s">
        <v>4034</v>
      </c>
    </row>
    <row r="1109" spans="13:13">
      <c r="M1109" s="5" t="s">
        <v>4035</v>
      </c>
    </row>
    <row r="1110" spans="13:13">
      <c r="M1110" s="5" t="s">
        <v>4036</v>
      </c>
    </row>
    <row r="1111" spans="13:13">
      <c r="M1111" s="5" t="s">
        <v>4037</v>
      </c>
    </row>
    <row r="1112" spans="13:13">
      <c r="M1112" s="5" t="s">
        <v>4038</v>
      </c>
    </row>
    <row r="1113" spans="13:13">
      <c r="M1113" s="5" t="s">
        <v>4039</v>
      </c>
    </row>
    <row r="1114" spans="13:13">
      <c r="M1114" s="5" t="s">
        <v>4040</v>
      </c>
    </row>
    <row r="1115" spans="13:13">
      <c r="M1115" s="5" t="s">
        <v>4041</v>
      </c>
    </row>
    <row r="1116" spans="13:13">
      <c r="M1116" s="5" t="s">
        <v>4042</v>
      </c>
    </row>
    <row r="1117" spans="13:13">
      <c r="M1117" s="5" t="s">
        <v>4043</v>
      </c>
    </row>
    <row r="1118" spans="13:13">
      <c r="M1118" s="5" t="s">
        <v>4044</v>
      </c>
    </row>
    <row r="1119" spans="13:13">
      <c r="M1119" s="5" t="s">
        <v>4045</v>
      </c>
    </row>
    <row r="1120" spans="13:13">
      <c r="M1120" s="5" t="s">
        <v>4046</v>
      </c>
    </row>
    <row r="1121" spans="13:13">
      <c r="M1121" s="5" t="s">
        <v>4047</v>
      </c>
    </row>
    <row r="1122" spans="13:13">
      <c r="M1122" s="5" t="s">
        <v>4048</v>
      </c>
    </row>
    <row r="1123" spans="13:13">
      <c r="M1123" s="5" t="s">
        <v>4049</v>
      </c>
    </row>
    <row r="1124" spans="13:13">
      <c r="M1124" s="5" t="s">
        <v>4050</v>
      </c>
    </row>
    <row r="1125" spans="13:13">
      <c r="M1125" s="5" t="s">
        <v>4051</v>
      </c>
    </row>
    <row r="1126" spans="13:13">
      <c r="M1126" s="5" t="s">
        <v>4052</v>
      </c>
    </row>
    <row r="1127" spans="13:13">
      <c r="M1127" s="5" t="s">
        <v>4053</v>
      </c>
    </row>
    <row r="1128" spans="13:13">
      <c r="M1128" s="5" t="s">
        <v>4054</v>
      </c>
    </row>
    <row r="1129" spans="13:13">
      <c r="M1129" s="5" t="s">
        <v>4055</v>
      </c>
    </row>
    <row r="1130" spans="13:13">
      <c r="M1130" s="5" t="s">
        <v>4056</v>
      </c>
    </row>
    <row r="1131" spans="13:13">
      <c r="M1131" s="5" t="s">
        <v>4057</v>
      </c>
    </row>
    <row r="1132" spans="13:13">
      <c r="M1132" s="5" t="s">
        <v>4058</v>
      </c>
    </row>
    <row r="1133" spans="13:13">
      <c r="M1133" s="5" t="s">
        <v>4059</v>
      </c>
    </row>
    <row r="1134" spans="13:13">
      <c r="M1134" s="5" t="s">
        <v>4060</v>
      </c>
    </row>
    <row r="1135" spans="13:13">
      <c r="M1135" s="5" t="s">
        <v>4061</v>
      </c>
    </row>
    <row r="1136" spans="13:13">
      <c r="M1136" s="5" t="s">
        <v>4062</v>
      </c>
    </row>
    <row r="1137" spans="13:13">
      <c r="M1137" s="5" t="s">
        <v>4063</v>
      </c>
    </row>
    <row r="1138" spans="13:13">
      <c r="M1138" s="5" t="s">
        <v>4064</v>
      </c>
    </row>
    <row r="1139" spans="13:13">
      <c r="M1139" s="5" t="s">
        <v>4065</v>
      </c>
    </row>
    <row r="1140" spans="13:13">
      <c r="M1140" s="5" t="s">
        <v>4066</v>
      </c>
    </row>
    <row r="1141" spans="13:13">
      <c r="M1141" s="5" t="s">
        <v>1833</v>
      </c>
    </row>
    <row r="1142" spans="13:13">
      <c r="M1142" s="5" t="s">
        <v>1837</v>
      </c>
    </row>
    <row r="1143" spans="13:13">
      <c r="M1143" s="5" t="s">
        <v>1840</v>
      </c>
    </row>
    <row r="1144" spans="13:13">
      <c r="M1144" s="5" t="s">
        <v>4067</v>
      </c>
    </row>
    <row r="1145" spans="13:13">
      <c r="M1145" s="5" t="s">
        <v>4068</v>
      </c>
    </row>
    <row r="1146" spans="13:13">
      <c r="M1146" s="5" t="s">
        <v>4069</v>
      </c>
    </row>
    <row r="1147" spans="13:13">
      <c r="M1147" s="5" t="s">
        <v>4070</v>
      </c>
    </row>
    <row r="1148" spans="13:13">
      <c r="M1148" s="5" t="s">
        <v>4071</v>
      </c>
    </row>
    <row r="1149" spans="13:13">
      <c r="M1149" s="5" t="s">
        <v>4072</v>
      </c>
    </row>
    <row r="1150" spans="13:13">
      <c r="M1150" s="5" t="s">
        <v>4073</v>
      </c>
    </row>
    <row r="1151" spans="13:13">
      <c r="M1151" s="5" t="s">
        <v>4074</v>
      </c>
    </row>
    <row r="1152" spans="13:13">
      <c r="M1152" s="5" t="s">
        <v>4075</v>
      </c>
    </row>
    <row r="1153" spans="13:13">
      <c r="M1153" s="5" t="s">
        <v>4076</v>
      </c>
    </row>
    <row r="1154" spans="13:13">
      <c r="M1154" s="5" t="s">
        <v>4077</v>
      </c>
    </row>
    <row r="1155" spans="13:13">
      <c r="M1155" s="5" t="s">
        <v>4078</v>
      </c>
    </row>
    <row r="1156" spans="13:13">
      <c r="M1156" s="5" t="s">
        <v>4079</v>
      </c>
    </row>
    <row r="1157" spans="13:13">
      <c r="M1157" s="5" t="s">
        <v>4080</v>
      </c>
    </row>
    <row r="1158" spans="13:13">
      <c r="M1158" s="5" t="s">
        <v>4081</v>
      </c>
    </row>
    <row r="1159" spans="13:13">
      <c r="M1159" s="5" t="s">
        <v>4082</v>
      </c>
    </row>
    <row r="1160" spans="13:13">
      <c r="M1160" s="5" t="s">
        <v>4083</v>
      </c>
    </row>
    <row r="1161" spans="13:13">
      <c r="M1161" s="5" t="s">
        <v>4084</v>
      </c>
    </row>
    <row r="1162" spans="13:13">
      <c r="M1162" s="5" t="s">
        <v>4085</v>
      </c>
    </row>
    <row r="1163" spans="13:13">
      <c r="M1163" s="5" t="s">
        <v>1823</v>
      </c>
    </row>
    <row r="1164" spans="13:13">
      <c r="M1164" s="5" t="s">
        <v>4086</v>
      </c>
    </row>
    <row r="1165" spans="13:13">
      <c r="M1165" s="5" t="s">
        <v>4087</v>
      </c>
    </row>
    <row r="1166" spans="13:13">
      <c r="M1166" s="5" t="s">
        <v>4088</v>
      </c>
    </row>
    <row r="1167" spans="13:13">
      <c r="M1167" s="5" t="s">
        <v>4089</v>
      </c>
    </row>
    <row r="1168" spans="13:13">
      <c r="M1168" s="5" t="s">
        <v>4090</v>
      </c>
    </row>
    <row r="1169" spans="13:13">
      <c r="M1169" s="5" t="s">
        <v>4091</v>
      </c>
    </row>
    <row r="1170" spans="13:13">
      <c r="M1170" s="5" t="s">
        <v>4092</v>
      </c>
    </row>
    <row r="1171" spans="13:13">
      <c r="M1171" s="5" t="s">
        <v>4093</v>
      </c>
    </row>
    <row r="1172" spans="13:13">
      <c r="M1172" s="5" t="s">
        <v>4094</v>
      </c>
    </row>
    <row r="1173" spans="13:13">
      <c r="M1173" s="5" t="s">
        <v>4095</v>
      </c>
    </row>
    <row r="1174" spans="13:13">
      <c r="M1174" s="5" t="s">
        <v>4096</v>
      </c>
    </row>
    <row r="1175" spans="13:13">
      <c r="M1175" s="5" t="s">
        <v>4097</v>
      </c>
    </row>
    <row r="1176" spans="13:13">
      <c r="M1176" s="5" t="s">
        <v>4098</v>
      </c>
    </row>
    <row r="1177" spans="13:13">
      <c r="M1177" s="5" t="s">
        <v>4099</v>
      </c>
    </row>
    <row r="1178" spans="13:13">
      <c r="M1178" s="5" t="s">
        <v>4100</v>
      </c>
    </row>
    <row r="1179" spans="13:13">
      <c r="M1179" s="5" t="s">
        <v>4101</v>
      </c>
    </row>
    <row r="1180" spans="13:13">
      <c r="M1180" s="5" t="s">
        <v>4102</v>
      </c>
    </row>
    <row r="1181" spans="13:13">
      <c r="M1181" s="5" t="s">
        <v>4103</v>
      </c>
    </row>
    <row r="1182" spans="13:13">
      <c r="M1182" s="5" t="s">
        <v>4104</v>
      </c>
    </row>
    <row r="1183" spans="13:13">
      <c r="M1183" s="5" t="s">
        <v>4105</v>
      </c>
    </row>
    <row r="1184" spans="13:13">
      <c r="M1184" s="5" t="s">
        <v>4106</v>
      </c>
    </row>
    <row r="1185" spans="13:13">
      <c r="M1185" s="5" t="s">
        <v>4107</v>
      </c>
    </row>
    <row r="1186" spans="13:13">
      <c r="M1186" s="5" t="s">
        <v>4108</v>
      </c>
    </row>
    <row r="1187" spans="13:13">
      <c r="M1187" s="5" t="s">
        <v>4109</v>
      </c>
    </row>
    <row r="1188" spans="13:13">
      <c r="M1188" s="5" t="s">
        <v>4110</v>
      </c>
    </row>
    <row r="1189" spans="13:13">
      <c r="M1189" s="5" t="s">
        <v>4111</v>
      </c>
    </row>
    <row r="1190" spans="13:13">
      <c r="M1190" s="5" t="s">
        <v>4112</v>
      </c>
    </row>
    <row r="1191" spans="13:13">
      <c r="M1191" s="5" t="s">
        <v>4113</v>
      </c>
    </row>
    <row r="1192" spans="13:13">
      <c r="M1192" s="5" t="s">
        <v>4114</v>
      </c>
    </row>
    <row r="1193" spans="13:13">
      <c r="M1193" s="5" t="s">
        <v>4115</v>
      </c>
    </row>
    <row r="1194" spans="13:13">
      <c r="M1194" s="5" t="s">
        <v>4116</v>
      </c>
    </row>
    <row r="1195" spans="13:13">
      <c r="M1195" s="5" t="s">
        <v>4117</v>
      </c>
    </row>
    <row r="1196" spans="13:13">
      <c r="M1196" s="5" t="s">
        <v>4118</v>
      </c>
    </row>
    <row r="1197" spans="13:13">
      <c r="M1197" s="5" t="s">
        <v>4119</v>
      </c>
    </row>
    <row r="1198" spans="13:13">
      <c r="M1198" s="5" t="s">
        <v>4120</v>
      </c>
    </row>
    <row r="1199" spans="13:13">
      <c r="M1199" s="5" t="s">
        <v>4121</v>
      </c>
    </row>
    <row r="1200" spans="13:13">
      <c r="M1200" s="5" t="s">
        <v>4122</v>
      </c>
    </row>
    <row r="1201" spans="13:13">
      <c r="M1201" s="5" t="s">
        <v>4123</v>
      </c>
    </row>
    <row r="1202" spans="13:13">
      <c r="M1202" s="5" t="s">
        <v>4124</v>
      </c>
    </row>
    <row r="1203" spans="13:13">
      <c r="M1203" s="5" t="s">
        <v>4125</v>
      </c>
    </row>
    <row r="1204" spans="13:13">
      <c r="M1204" s="5" t="s">
        <v>4126</v>
      </c>
    </row>
    <row r="1205" spans="13:13">
      <c r="M1205" s="5" t="s">
        <v>1850</v>
      </c>
    </row>
    <row r="1206" spans="13:13">
      <c r="M1206" s="5" t="s">
        <v>4127</v>
      </c>
    </row>
    <row r="1207" spans="13:13">
      <c r="M1207" s="5" t="s">
        <v>4128</v>
      </c>
    </row>
    <row r="1208" spans="13:13">
      <c r="M1208" s="5" t="s">
        <v>4129</v>
      </c>
    </row>
    <row r="1209" spans="13:13">
      <c r="M1209" s="5" t="s">
        <v>4130</v>
      </c>
    </row>
    <row r="1210" spans="13:13">
      <c r="M1210" s="5" t="s">
        <v>4131</v>
      </c>
    </row>
    <row r="1211" spans="13:13">
      <c r="M1211" s="5" t="s">
        <v>1852</v>
      </c>
    </row>
    <row r="1212" spans="13:13">
      <c r="M1212" s="5" t="s">
        <v>4132</v>
      </c>
    </row>
    <row r="1213" spans="13:13">
      <c r="M1213" s="5" t="s">
        <v>4133</v>
      </c>
    </row>
    <row r="1214" spans="13:13">
      <c r="M1214" s="5" t="s">
        <v>4134</v>
      </c>
    </row>
    <row r="1215" spans="13:13">
      <c r="M1215" s="5" t="s">
        <v>4135</v>
      </c>
    </row>
    <row r="1216" spans="13:13">
      <c r="M1216" s="5" t="s">
        <v>4136</v>
      </c>
    </row>
    <row r="1217" spans="13:13">
      <c r="M1217" s="5" t="s">
        <v>4137</v>
      </c>
    </row>
    <row r="1218" spans="13:13">
      <c r="M1218" s="5" t="s">
        <v>4138</v>
      </c>
    </row>
    <row r="1219" spans="13:13">
      <c r="M1219" s="5" t="s">
        <v>4139</v>
      </c>
    </row>
    <row r="1220" spans="13:13">
      <c r="M1220" s="5" t="s">
        <v>4140</v>
      </c>
    </row>
    <row r="1221" spans="13:13">
      <c r="M1221" s="5" t="s">
        <v>4141</v>
      </c>
    </row>
    <row r="1222" spans="13:13">
      <c r="M1222" s="5" t="s">
        <v>4142</v>
      </c>
    </row>
    <row r="1223" spans="13:13">
      <c r="M1223" s="5" t="s">
        <v>4143</v>
      </c>
    </row>
    <row r="1224" spans="13:13">
      <c r="M1224" s="5" t="s">
        <v>4144</v>
      </c>
    </row>
    <row r="1225" spans="13:13">
      <c r="M1225" s="5" t="s">
        <v>4145</v>
      </c>
    </row>
    <row r="1226" spans="13:13">
      <c r="M1226" s="5" t="s">
        <v>4146</v>
      </c>
    </row>
    <row r="1227" spans="13:13">
      <c r="M1227" s="5" t="s">
        <v>4147</v>
      </c>
    </row>
    <row r="1228" spans="13:13">
      <c r="M1228" s="5" t="s">
        <v>4148</v>
      </c>
    </row>
    <row r="1229" spans="13:13">
      <c r="M1229" s="5" t="s">
        <v>4149</v>
      </c>
    </row>
    <row r="1230" spans="13:13">
      <c r="M1230" s="5" t="s">
        <v>4150</v>
      </c>
    </row>
    <row r="1231" spans="13:13">
      <c r="M1231" s="5" t="s">
        <v>4151</v>
      </c>
    </row>
    <row r="1232" spans="13:13">
      <c r="M1232" s="5" t="s">
        <v>4152</v>
      </c>
    </row>
    <row r="1233" spans="13:13">
      <c r="M1233" s="5" t="s">
        <v>4153</v>
      </c>
    </row>
    <row r="1234" spans="13:13">
      <c r="M1234" s="5" t="s">
        <v>4154</v>
      </c>
    </row>
    <row r="1235" spans="13:13">
      <c r="M1235" s="5" t="s">
        <v>4155</v>
      </c>
    </row>
    <row r="1236" spans="13:13">
      <c r="M1236" s="5" t="s">
        <v>4156</v>
      </c>
    </row>
    <row r="1237" spans="13:13">
      <c r="M1237" s="5" t="s">
        <v>4157</v>
      </c>
    </row>
    <row r="1238" spans="13:13">
      <c r="M1238" s="5" t="s">
        <v>4158</v>
      </c>
    </row>
    <row r="1239" spans="13:13">
      <c r="M1239" s="5" t="s">
        <v>4159</v>
      </c>
    </row>
    <row r="1240" spans="13:13">
      <c r="M1240" s="5" t="s">
        <v>4160</v>
      </c>
    </row>
    <row r="1241" spans="13:13">
      <c r="M1241" s="5" t="s">
        <v>4161</v>
      </c>
    </row>
    <row r="1242" spans="13:13">
      <c r="M1242" s="5" t="s">
        <v>4162</v>
      </c>
    </row>
    <row r="1243" spans="13:13">
      <c r="M1243" s="5" t="s">
        <v>4163</v>
      </c>
    </row>
    <row r="1244" spans="13:13">
      <c r="M1244" s="5" t="s">
        <v>4164</v>
      </c>
    </row>
    <row r="1245" spans="13:13">
      <c r="M1245" s="5" t="s">
        <v>4165</v>
      </c>
    </row>
    <row r="1246" spans="13:13">
      <c r="M1246" s="5" t="s">
        <v>4166</v>
      </c>
    </row>
    <row r="1247" spans="13:13">
      <c r="M1247" s="5" t="s">
        <v>4167</v>
      </c>
    </row>
    <row r="1248" spans="13:13">
      <c r="M1248" s="5" t="s">
        <v>4168</v>
      </c>
    </row>
    <row r="1249" spans="13:13">
      <c r="M1249" s="5" t="s">
        <v>4169</v>
      </c>
    </row>
    <row r="1250" spans="13:13">
      <c r="M1250" s="5" t="s">
        <v>4170</v>
      </c>
    </row>
    <row r="1251" spans="13:13">
      <c r="M1251" s="5" t="s">
        <v>4171</v>
      </c>
    </row>
    <row r="1252" spans="13:13">
      <c r="M1252" s="5" t="s">
        <v>4172</v>
      </c>
    </row>
    <row r="1253" spans="13:13">
      <c r="M1253" s="5" t="s">
        <v>4173</v>
      </c>
    </row>
    <row r="1254" spans="13:13">
      <c r="M1254" s="5" t="s">
        <v>4174</v>
      </c>
    </row>
    <row r="1255" spans="13:13">
      <c r="M1255" s="5" t="s">
        <v>4175</v>
      </c>
    </row>
    <row r="1256" spans="13:13">
      <c r="M1256" s="5" t="s">
        <v>4176</v>
      </c>
    </row>
    <row r="1257" spans="13:13">
      <c r="M1257" s="5" t="s">
        <v>4177</v>
      </c>
    </row>
    <row r="1258" spans="13:13">
      <c r="M1258" s="5" t="s">
        <v>4178</v>
      </c>
    </row>
    <row r="1259" spans="13:13">
      <c r="M1259" s="5" t="s">
        <v>4179</v>
      </c>
    </row>
    <row r="1260" spans="13:13">
      <c r="M1260" s="5" t="s">
        <v>1857</v>
      </c>
    </row>
    <row r="1261" spans="13:13">
      <c r="M1261" s="5" t="s">
        <v>4180</v>
      </c>
    </row>
    <row r="1262" spans="13:13">
      <c r="M1262" s="5" t="s">
        <v>4181</v>
      </c>
    </row>
    <row r="1263" spans="13:13">
      <c r="M1263" s="5" t="s">
        <v>4182</v>
      </c>
    </row>
    <row r="1264" spans="13:13">
      <c r="M1264" s="5" t="s">
        <v>4183</v>
      </c>
    </row>
    <row r="1265" spans="13:13">
      <c r="M1265" s="5" t="s">
        <v>4184</v>
      </c>
    </row>
    <row r="1266" spans="13:13">
      <c r="M1266" s="5" t="s">
        <v>4185</v>
      </c>
    </row>
    <row r="1267" spans="13:13">
      <c r="M1267" s="5" t="s">
        <v>4186</v>
      </c>
    </row>
    <row r="1268" spans="13:13">
      <c r="M1268" s="5" t="s">
        <v>4187</v>
      </c>
    </row>
    <row r="1269" spans="13:13">
      <c r="M1269" s="5" t="s">
        <v>1882</v>
      </c>
    </row>
    <row r="1270" spans="13:13">
      <c r="M1270" s="5" t="s">
        <v>4188</v>
      </c>
    </row>
    <row r="1271" spans="13:13">
      <c r="M1271" s="5" t="s">
        <v>4189</v>
      </c>
    </row>
    <row r="1272" spans="13:13">
      <c r="M1272" s="5" t="s">
        <v>4190</v>
      </c>
    </row>
    <row r="1273" spans="13:13">
      <c r="M1273" s="5" t="s">
        <v>4191</v>
      </c>
    </row>
    <row r="1274" spans="13:13">
      <c r="M1274" s="5" t="s">
        <v>4192</v>
      </c>
    </row>
    <row r="1275" spans="13:13">
      <c r="M1275" s="5" t="s">
        <v>4193</v>
      </c>
    </row>
    <row r="1276" spans="13:13">
      <c r="M1276" s="5" t="s">
        <v>4194</v>
      </c>
    </row>
    <row r="1277" spans="13:13">
      <c r="M1277" s="5" t="s">
        <v>4195</v>
      </c>
    </row>
    <row r="1278" spans="13:13">
      <c r="M1278" s="5" t="s">
        <v>4196</v>
      </c>
    </row>
    <row r="1279" spans="13:13">
      <c r="M1279" s="5" t="s">
        <v>4197</v>
      </c>
    </row>
    <row r="1280" spans="13:13">
      <c r="M1280" s="5" t="s">
        <v>4198</v>
      </c>
    </row>
    <row r="1281" spans="13:13">
      <c r="M1281" s="5" t="s">
        <v>4199</v>
      </c>
    </row>
    <row r="1282" spans="13:13">
      <c r="M1282" s="5" t="s">
        <v>4200</v>
      </c>
    </row>
    <row r="1283" spans="13:13">
      <c r="M1283" s="5" t="s">
        <v>4201</v>
      </c>
    </row>
    <row r="1284" spans="13:13">
      <c r="M1284" s="5" t="s">
        <v>4202</v>
      </c>
    </row>
    <row r="1285" spans="13:13">
      <c r="M1285" s="5" t="s">
        <v>4203</v>
      </c>
    </row>
    <row r="1286" spans="13:13">
      <c r="M1286" s="5" t="s">
        <v>4204</v>
      </c>
    </row>
    <row r="1287" spans="13:13">
      <c r="M1287" s="5" t="s">
        <v>4205</v>
      </c>
    </row>
    <row r="1288" spans="13:13">
      <c r="M1288" s="5" t="s">
        <v>4206</v>
      </c>
    </row>
    <row r="1289" spans="13:13">
      <c r="M1289" s="5" t="s">
        <v>1862</v>
      </c>
    </row>
    <row r="1290" spans="13:13">
      <c r="M1290" s="5" t="s">
        <v>4207</v>
      </c>
    </row>
    <row r="1291" spans="13:13">
      <c r="M1291" s="5" t="s">
        <v>1871</v>
      </c>
    </row>
    <row r="1292" spans="13:13">
      <c r="M1292" s="5" t="s">
        <v>4208</v>
      </c>
    </row>
    <row r="1293" spans="13:13">
      <c r="M1293" s="5" t="s">
        <v>4209</v>
      </c>
    </row>
    <row r="1294" spans="13:13">
      <c r="M1294" s="5" t="s">
        <v>1879</v>
      </c>
    </row>
    <row r="1295" spans="13:13">
      <c r="M1295" s="5" t="s">
        <v>4210</v>
      </c>
    </row>
    <row r="1296" spans="13:13">
      <c r="M1296" s="5" t="s">
        <v>1886</v>
      </c>
    </row>
    <row r="1297" spans="13:13">
      <c r="M1297" s="5" t="s">
        <v>4211</v>
      </c>
    </row>
    <row r="1298" spans="13:13">
      <c r="M1298" s="5" t="s">
        <v>4212</v>
      </c>
    </row>
    <row r="1299" spans="13:13">
      <c r="M1299" s="5" t="s">
        <v>2201</v>
      </c>
    </row>
    <row r="1300" spans="13:13">
      <c r="M1300" s="5" t="s">
        <v>4213</v>
      </c>
    </row>
    <row r="1301" spans="13:13">
      <c r="M1301" s="5" t="s">
        <v>4214</v>
      </c>
    </row>
    <row r="1302" spans="13:13">
      <c r="M1302" s="5" t="s">
        <v>4215</v>
      </c>
    </row>
    <row r="1303" spans="13:13">
      <c r="M1303" s="5" t="s">
        <v>4216</v>
      </c>
    </row>
    <row r="1304" spans="13:13">
      <c r="M1304" s="5" t="s">
        <v>4217</v>
      </c>
    </row>
    <row r="1305" spans="13:13">
      <c r="M1305" s="5" t="s">
        <v>4218</v>
      </c>
    </row>
    <row r="1306" spans="13:13">
      <c r="M1306" s="5" t="s">
        <v>4219</v>
      </c>
    </row>
    <row r="1307" spans="13:13">
      <c r="M1307" s="5" t="s">
        <v>4220</v>
      </c>
    </row>
    <row r="1308" spans="13:13">
      <c r="M1308" s="5" t="s">
        <v>4221</v>
      </c>
    </row>
    <row r="1309" spans="13:13">
      <c r="M1309" s="5" t="s">
        <v>4222</v>
      </c>
    </row>
    <row r="1310" spans="13:13">
      <c r="M1310" s="5" t="s">
        <v>4223</v>
      </c>
    </row>
    <row r="1311" spans="13:13">
      <c r="M1311" s="5" t="s">
        <v>2193</v>
      </c>
    </row>
    <row r="1312" spans="13:13">
      <c r="M1312" s="5" t="s">
        <v>2195</v>
      </c>
    </row>
    <row r="1313" spans="13:13">
      <c r="M1313" s="5" t="s">
        <v>4224</v>
      </c>
    </row>
    <row r="1314" spans="13:13">
      <c r="M1314" s="5" t="s">
        <v>4225</v>
      </c>
    </row>
    <row r="1315" spans="13:13">
      <c r="M1315" s="5" t="s">
        <v>4226</v>
      </c>
    </row>
    <row r="1316" spans="13:13">
      <c r="M1316" s="5" t="s">
        <v>4227</v>
      </c>
    </row>
    <row r="1317" spans="13:13">
      <c r="M1317" s="5" t="s">
        <v>4228</v>
      </c>
    </row>
    <row r="1318" spans="13:13">
      <c r="M1318" s="5" t="s">
        <v>4229</v>
      </c>
    </row>
    <row r="1319" spans="13:13">
      <c r="M1319" s="5" t="s">
        <v>4230</v>
      </c>
    </row>
    <row r="1320" spans="13:13">
      <c r="M1320" s="5" t="s">
        <v>1963</v>
      </c>
    </row>
    <row r="1321" spans="13:13">
      <c r="M1321" s="5" t="s">
        <v>1890</v>
      </c>
    </row>
    <row r="1322" spans="13:13">
      <c r="M1322" s="5" t="s">
        <v>4231</v>
      </c>
    </row>
    <row r="1323" spans="13:13">
      <c r="M1323" s="5" t="s">
        <v>4232</v>
      </c>
    </row>
    <row r="1324" spans="13:13">
      <c r="M1324" s="5" t="s">
        <v>4233</v>
      </c>
    </row>
    <row r="1325" spans="13:13">
      <c r="M1325" s="5" t="s">
        <v>4234</v>
      </c>
    </row>
    <row r="1326" spans="13:13">
      <c r="M1326" s="5" t="s">
        <v>4235</v>
      </c>
    </row>
    <row r="1327" spans="13:13">
      <c r="M1327" s="5" t="s">
        <v>4236</v>
      </c>
    </row>
    <row r="1328" spans="13:13">
      <c r="M1328" s="5" t="s">
        <v>4237</v>
      </c>
    </row>
    <row r="1329" spans="13:13">
      <c r="M1329" s="5" t="s">
        <v>4238</v>
      </c>
    </row>
    <row r="1330" spans="13:13">
      <c r="M1330" s="5" t="s">
        <v>4239</v>
      </c>
    </row>
    <row r="1331" spans="13:13">
      <c r="M1331" s="5" t="s">
        <v>4240</v>
      </c>
    </row>
    <row r="1332" spans="13:13">
      <c r="M1332" s="5" t="s">
        <v>4241</v>
      </c>
    </row>
    <row r="1333" spans="13:13">
      <c r="M1333" s="5" t="s">
        <v>4242</v>
      </c>
    </row>
    <row r="1334" spans="13:13">
      <c r="M1334" s="5" t="s">
        <v>4243</v>
      </c>
    </row>
    <row r="1335" spans="13:13">
      <c r="M1335" s="5" t="s">
        <v>4244</v>
      </c>
    </row>
    <row r="1336" spans="13:13">
      <c r="M1336" s="5" t="s">
        <v>4245</v>
      </c>
    </row>
    <row r="1337" spans="13:13">
      <c r="M1337" s="5" t="s">
        <v>4246</v>
      </c>
    </row>
    <row r="1338" spans="13:13">
      <c r="M1338" s="5" t="s">
        <v>4247</v>
      </c>
    </row>
    <row r="1339" spans="13:13">
      <c r="M1339" s="5" t="s">
        <v>4248</v>
      </c>
    </row>
    <row r="1340" spans="13:13">
      <c r="M1340" s="5" t="s">
        <v>4249</v>
      </c>
    </row>
    <row r="1341" spans="13:13">
      <c r="M1341" s="5" t="s">
        <v>4250</v>
      </c>
    </row>
    <row r="1342" spans="13:13">
      <c r="M1342" s="5" t="s">
        <v>4251</v>
      </c>
    </row>
    <row r="1343" spans="13:13">
      <c r="M1343" s="5" t="s">
        <v>4252</v>
      </c>
    </row>
    <row r="1344" spans="13:13">
      <c r="M1344" s="5" t="s">
        <v>4253</v>
      </c>
    </row>
    <row r="1345" spans="13:13">
      <c r="M1345" s="5" t="s">
        <v>4254</v>
      </c>
    </row>
    <row r="1346" spans="13:13">
      <c r="M1346" s="5" t="s">
        <v>4255</v>
      </c>
    </row>
    <row r="1347" spans="13:13">
      <c r="M1347" s="5" t="s">
        <v>4256</v>
      </c>
    </row>
    <row r="1348" spans="13:13">
      <c r="M1348" s="5" t="s">
        <v>4257</v>
      </c>
    </row>
    <row r="1349" spans="13:13">
      <c r="M1349" s="5" t="s">
        <v>4258</v>
      </c>
    </row>
    <row r="1350" spans="13:13">
      <c r="M1350" s="5" t="s">
        <v>4259</v>
      </c>
    </row>
    <row r="1351" spans="13:13">
      <c r="M1351" s="5" t="s">
        <v>4260</v>
      </c>
    </row>
    <row r="1352" spans="13:13">
      <c r="M1352" s="5" t="s">
        <v>4261</v>
      </c>
    </row>
    <row r="1353" spans="13:13">
      <c r="M1353" s="5" t="s">
        <v>4262</v>
      </c>
    </row>
    <row r="1354" spans="13:13">
      <c r="M1354" s="5" t="s">
        <v>4263</v>
      </c>
    </row>
    <row r="1355" spans="13:13">
      <c r="M1355" s="5" t="s">
        <v>4264</v>
      </c>
    </row>
    <row r="1356" spans="13:13">
      <c r="M1356" s="5" t="s">
        <v>4265</v>
      </c>
    </row>
    <row r="1357" spans="13:13">
      <c r="M1357" s="5" t="s">
        <v>4266</v>
      </c>
    </row>
    <row r="1358" spans="13:13">
      <c r="M1358" s="5" t="s">
        <v>4267</v>
      </c>
    </row>
    <row r="1359" spans="13:13">
      <c r="M1359" s="5" t="s">
        <v>4268</v>
      </c>
    </row>
    <row r="1360" spans="13:13">
      <c r="M1360" s="5" t="s">
        <v>4269</v>
      </c>
    </row>
    <row r="1361" spans="13:13">
      <c r="M1361" s="5" t="s">
        <v>4270</v>
      </c>
    </row>
    <row r="1362" spans="13:13">
      <c r="M1362" s="5" t="s">
        <v>4271</v>
      </c>
    </row>
    <row r="1363" spans="13:13">
      <c r="M1363" s="5" t="s">
        <v>4272</v>
      </c>
    </row>
    <row r="1364" spans="13:13">
      <c r="M1364" s="5" t="s">
        <v>4273</v>
      </c>
    </row>
    <row r="1365" spans="13:13">
      <c r="M1365" s="5" t="s">
        <v>4274</v>
      </c>
    </row>
    <row r="1366" spans="13:13">
      <c r="M1366" s="5" t="s">
        <v>4275</v>
      </c>
    </row>
    <row r="1367" spans="13:13">
      <c r="M1367" s="5" t="s">
        <v>4276</v>
      </c>
    </row>
    <row r="1368" spans="13:13">
      <c r="M1368" s="5" t="s">
        <v>4277</v>
      </c>
    </row>
    <row r="1369" spans="13:13">
      <c r="M1369" s="5" t="s">
        <v>4278</v>
      </c>
    </row>
    <row r="1370" spans="13:13">
      <c r="M1370" s="5" t="s">
        <v>4279</v>
      </c>
    </row>
    <row r="1371" spans="13:13">
      <c r="M1371" s="5" t="s">
        <v>4280</v>
      </c>
    </row>
    <row r="1372" spans="13:13">
      <c r="M1372" s="5" t="s">
        <v>4281</v>
      </c>
    </row>
    <row r="1373" spans="13:13">
      <c r="M1373" s="5" t="s">
        <v>4282</v>
      </c>
    </row>
    <row r="1374" spans="13:13">
      <c r="M1374" s="5" t="s">
        <v>4283</v>
      </c>
    </row>
    <row r="1375" spans="13:13">
      <c r="M1375" s="5" t="s">
        <v>4284</v>
      </c>
    </row>
    <row r="1376" spans="13:13">
      <c r="M1376" s="5" t="s">
        <v>4285</v>
      </c>
    </row>
    <row r="1377" spans="13:13">
      <c r="M1377" s="5" t="s">
        <v>4286</v>
      </c>
    </row>
    <row r="1378" spans="13:13">
      <c r="M1378" s="5" t="s">
        <v>4287</v>
      </c>
    </row>
    <row r="1379" spans="13:13">
      <c r="M1379" s="5" t="s">
        <v>4288</v>
      </c>
    </row>
    <row r="1380" spans="13:13">
      <c r="M1380" s="5" t="s">
        <v>4289</v>
      </c>
    </row>
    <row r="1381" spans="13:13">
      <c r="M1381" s="5" t="s">
        <v>4290</v>
      </c>
    </row>
    <row r="1382" spans="13:13">
      <c r="M1382" s="5" t="s">
        <v>4291</v>
      </c>
    </row>
    <row r="1383" spans="13:13">
      <c r="M1383" s="5" t="s">
        <v>4292</v>
      </c>
    </row>
    <row r="1384" spans="13:13">
      <c r="M1384" s="5" t="s">
        <v>4293</v>
      </c>
    </row>
    <row r="1385" spans="13:13">
      <c r="M1385" s="5" t="s">
        <v>4294</v>
      </c>
    </row>
    <row r="1386" spans="13:13">
      <c r="M1386" s="5" t="s">
        <v>4295</v>
      </c>
    </row>
    <row r="1387" spans="13:13">
      <c r="M1387" s="5" t="s">
        <v>4296</v>
      </c>
    </row>
    <row r="1388" spans="13:13">
      <c r="M1388" s="5" t="s">
        <v>4297</v>
      </c>
    </row>
    <row r="1389" spans="13:13">
      <c r="M1389" s="5" t="s">
        <v>4298</v>
      </c>
    </row>
    <row r="1390" spans="13:13">
      <c r="M1390" s="5" t="s">
        <v>4299</v>
      </c>
    </row>
    <row r="1391" spans="13:13">
      <c r="M1391" s="5" t="s">
        <v>4300</v>
      </c>
    </row>
    <row r="1392" spans="13:13">
      <c r="M1392" s="5" t="s">
        <v>4301</v>
      </c>
    </row>
    <row r="1393" spans="13:13">
      <c r="M1393" s="5" t="s">
        <v>4302</v>
      </c>
    </row>
    <row r="1394" spans="13:13">
      <c r="M1394" s="5" t="s">
        <v>4303</v>
      </c>
    </row>
    <row r="1395" spans="13:13">
      <c r="M1395" s="5" t="s">
        <v>4304</v>
      </c>
    </row>
    <row r="1396" spans="13:13">
      <c r="M1396" s="5" t="s">
        <v>4305</v>
      </c>
    </row>
    <row r="1397" spans="13:13">
      <c r="M1397" s="5" t="s">
        <v>4306</v>
      </c>
    </row>
    <row r="1398" spans="13:13">
      <c r="M1398" s="5" t="s">
        <v>4307</v>
      </c>
    </row>
    <row r="1399" spans="13:13">
      <c r="M1399" s="5" t="s">
        <v>4308</v>
      </c>
    </row>
    <row r="1400" spans="13:13">
      <c r="M1400" s="5" t="s">
        <v>4309</v>
      </c>
    </row>
    <row r="1401" spans="13:13">
      <c r="M1401" s="5" t="s">
        <v>4310</v>
      </c>
    </row>
    <row r="1402" spans="13:13">
      <c r="M1402" s="5" t="s">
        <v>4311</v>
      </c>
    </row>
    <row r="1403" spans="13:13">
      <c r="M1403" s="5" t="s">
        <v>4312</v>
      </c>
    </row>
    <row r="1404" spans="13:13">
      <c r="M1404" s="5" t="s">
        <v>4313</v>
      </c>
    </row>
    <row r="1405" spans="13:13">
      <c r="M1405" s="5" t="s">
        <v>4314</v>
      </c>
    </row>
    <row r="1406" spans="13:13">
      <c r="M1406" s="5" t="s">
        <v>4315</v>
      </c>
    </row>
    <row r="1407" spans="13:13">
      <c r="M1407" s="5" t="s">
        <v>4316</v>
      </c>
    </row>
    <row r="1408" spans="13:13">
      <c r="M1408" s="5" t="s">
        <v>4317</v>
      </c>
    </row>
    <row r="1409" spans="13:13">
      <c r="M1409" s="5" t="s">
        <v>4318</v>
      </c>
    </row>
    <row r="1410" spans="13:13">
      <c r="M1410" s="5" t="s">
        <v>4319</v>
      </c>
    </row>
    <row r="1411" spans="13:13">
      <c r="M1411" s="5" t="s">
        <v>4320</v>
      </c>
    </row>
    <row r="1412" spans="13:13">
      <c r="M1412" s="5" t="s">
        <v>4321</v>
      </c>
    </row>
    <row r="1413" spans="13:13">
      <c r="M1413" s="5" t="s">
        <v>4322</v>
      </c>
    </row>
    <row r="1414" spans="13:13">
      <c r="M1414" s="5" t="s">
        <v>4323</v>
      </c>
    </row>
    <row r="1415" spans="13:13">
      <c r="M1415" s="5" t="s">
        <v>4324</v>
      </c>
    </row>
    <row r="1416" spans="13:13">
      <c r="M1416" s="5" t="s">
        <v>4325</v>
      </c>
    </row>
    <row r="1417" spans="13:13">
      <c r="M1417" s="5" t="s">
        <v>4326</v>
      </c>
    </row>
    <row r="1418" spans="13:13">
      <c r="M1418" s="5" t="s">
        <v>4327</v>
      </c>
    </row>
    <row r="1419" spans="13:13">
      <c r="M1419" s="5" t="s">
        <v>4328</v>
      </c>
    </row>
    <row r="1420" spans="13:13">
      <c r="M1420" s="5" t="s">
        <v>4329</v>
      </c>
    </row>
    <row r="1421" spans="13:13">
      <c r="M1421" s="5" t="s">
        <v>4330</v>
      </c>
    </row>
    <row r="1422" spans="13:13">
      <c r="M1422" s="5" t="s">
        <v>4331</v>
      </c>
    </row>
    <row r="1423" spans="13:13">
      <c r="M1423" s="5" t="s">
        <v>4332</v>
      </c>
    </row>
    <row r="1424" spans="13:13">
      <c r="M1424" s="5" t="s">
        <v>4333</v>
      </c>
    </row>
    <row r="1425" spans="13:13">
      <c r="M1425" s="5" t="s">
        <v>4334</v>
      </c>
    </row>
    <row r="1426" spans="13:13">
      <c r="M1426" s="5" t="s">
        <v>4335</v>
      </c>
    </row>
    <row r="1427" spans="13:13">
      <c r="M1427" s="5" t="s">
        <v>4336</v>
      </c>
    </row>
    <row r="1428" spans="13:13">
      <c r="M1428" s="5" t="s">
        <v>4337</v>
      </c>
    </row>
    <row r="1429" spans="13:13">
      <c r="M1429" s="5" t="s">
        <v>4338</v>
      </c>
    </row>
    <row r="1430" spans="13:13">
      <c r="M1430" s="5" t="s">
        <v>4339</v>
      </c>
    </row>
    <row r="1431" spans="13:13">
      <c r="M1431" s="5" t="s">
        <v>4340</v>
      </c>
    </row>
    <row r="1432" spans="13:13">
      <c r="M1432" s="5" t="s">
        <v>4341</v>
      </c>
    </row>
    <row r="1433" spans="13:13">
      <c r="M1433" s="5" t="s">
        <v>4342</v>
      </c>
    </row>
    <row r="1434" spans="13:13">
      <c r="M1434" s="5" t="s">
        <v>4343</v>
      </c>
    </row>
    <row r="1435" spans="13:13">
      <c r="M1435" s="5" t="s">
        <v>4344</v>
      </c>
    </row>
    <row r="1436" spans="13:13">
      <c r="M1436" s="5" t="s">
        <v>4345</v>
      </c>
    </row>
    <row r="1437" spans="13:13">
      <c r="M1437" s="5" t="s">
        <v>4346</v>
      </c>
    </row>
    <row r="1438" spans="13:13">
      <c r="M1438" s="5" t="s">
        <v>4347</v>
      </c>
    </row>
    <row r="1439" spans="13:13">
      <c r="M1439" s="5" t="s">
        <v>4348</v>
      </c>
    </row>
    <row r="1440" spans="13:13">
      <c r="M1440" s="5" t="s">
        <v>4349</v>
      </c>
    </row>
    <row r="1441" spans="13:13">
      <c r="M1441" s="5" t="s">
        <v>4350</v>
      </c>
    </row>
    <row r="1442" spans="13:13">
      <c r="M1442" s="5" t="s">
        <v>4351</v>
      </c>
    </row>
    <row r="1443" spans="13:13">
      <c r="M1443" s="5" t="s">
        <v>4352</v>
      </c>
    </row>
    <row r="1444" spans="13:13">
      <c r="M1444" s="5" t="s">
        <v>4353</v>
      </c>
    </row>
    <row r="1445" spans="13:13">
      <c r="M1445" s="5" t="s">
        <v>4354</v>
      </c>
    </row>
    <row r="1446" spans="13:13">
      <c r="M1446" s="5" t="s">
        <v>4355</v>
      </c>
    </row>
    <row r="1447" spans="13:13">
      <c r="M1447" s="5" t="s">
        <v>4356</v>
      </c>
    </row>
    <row r="1448" spans="13:13">
      <c r="M1448" s="5" t="s">
        <v>4357</v>
      </c>
    </row>
    <row r="1449" spans="13:13">
      <c r="M1449" s="5" t="s">
        <v>4358</v>
      </c>
    </row>
    <row r="1450" spans="13:13">
      <c r="M1450" s="5" t="s">
        <v>4359</v>
      </c>
    </row>
    <row r="1451" spans="13:13">
      <c r="M1451" s="5" t="s">
        <v>4360</v>
      </c>
    </row>
    <row r="1452" spans="13:13">
      <c r="M1452" s="5" t="s">
        <v>4361</v>
      </c>
    </row>
    <row r="1453" spans="13:13">
      <c r="M1453" s="5" t="s">
        <v>4362</v>
      </c>
    </row>
    <row r="1454" spans="13:13">
      <c r="M1454" s="5" t="s">
        <v>4363</v>
      </c>
    </row>
    <row r="1455" spans="13:13">
      <c r="M1455" s="5" t="s">
        <v>4364</v>
      </c>
    </row>
    <row r="1456" spans="13:13">
      <c r="M1456" s="5" t="s">
        <v>4365</v>
      </c>
    </row>
    <row r="1457" spans="13:13">
      <c r="M1457" s="5" t="s">
        <v>4366</v>
      </c>
    </row>
    <row r="1458" spans="13:13">
      <c r="M1458" s="5" t="s">
        <v>4367</v>
      </c>
    </row>
    <row r="1459" spans="13:13">
      <c r="M1459" s="5" t="s">
        <v>4368</v>
      </c>
    </row>
    <row r="1460" spans="13:13">
      <c r="M1460" s="5" t="s">
        <v>4369</v>
      </c>
    </row>
    <row r="1461" spans="13:13">
      <c r="M1461" s="5" t="s">
        <v>4370</v>
      </c>
    </row>
    <row r="1462" spans="13:13">
      <c r="M1462" s="5" t="s">
        <v>4371</v>
      </c>
    </row>
    <row r="1463" spans="13:13">
      <c r="M1463" s="5" t="s">
        <v>4372</v>
      </c>
    </row>
    <row r="1464" spans="13:13">
      <c r="M1464" s="5" t="s">
        <v>4373</v>
      </c>
    </row>
    <row r="1465" spans="13:13">
      <c r="M1465" s="5" t="s">
        <v>1908</v>
      </c>
    </row>
    <row r="1466" spans="13:13">
      <c r="M1466" s="5" t="s">
        <v>4374</v>
      </c>
    </row>
    <row r="1467" spans="13:13">
      <c r="M1467" s="5" t="s">
        <v>1912</v>
      </c>
    </row>
    <row r="1468" spans="13:13">
      <c r="M1468" s="5" t="s">
        <v>4375</v>
      </c>
    </row>
    <row r="1469" spans="13:13">
      <c r="M1469" s="5" t="s">
        <v>4376</v>
      </c>
    </row>
    <row r="1470" spans="13:13">
      <c r="M1470" s="5" t="s">
        <v>4377</v>
      </c>
    </row>
    <row r="1471" spans="13:13">
      <c r="M1471" s="5" t="s">
        <v>2265</v>
      </c>
    </row>
    <row r="1472" spans="13:13">
      <c r="M1472" s="5" t="s">
        <v>4378</v>
      </c>
    </row>
    <row r="1473" spans="13:13">
      <c r="M1473" s="5" t="s">
        <v>4379</v>
      </c>
    </row>
    <row r="1474" spans="13:13">
      <c r="M1474" s="5" t="s">
        <v>4380</v>
      </c>
    </row>
    <row r="1475" spans="13:13">
      <c r="M1475" s="5" t="s">
        <v>4381</v>
      </c>
    </row>
    <row r="1476" spans="13:13">
      <c r="M1476" s="5" t="s">
        <v>4382</v>
      </c>
    </row>
    <row r="1477" spans="13:13">
      <c r="M1477" s="5" t="s">
        <v>4383</v>
      </c>
    </row>
    <row r="1478" spans="13:13">
      <c r="M1478" s="5" t="s">
        <v>4384</v>
      </c>
    </row>
    <row r="1479" spans="13:13">
      <c r="M1479" s="5" t="s">
        <v>2267</v>
      </c>
    </row>
    <row r="1480" spans="13:13">
      <c r="M1480" s="5" t="s">
        <v>4385</v>
      </c>
    </row>
    <row r="1481" spans="13:13">
      <c r="M1481" s="5" t="s">
        <v>4386</v>
      </c>
    </row>
    <row r="1482" spans="13:13">
      <c r="M1482" s="5" t="s">
        <v>4387</v>
      </c>
    </row>
    <row r="1483" spans="13:13">
      <c r="M1483" s="5" t="s">
        <v>4388</v>
      </c>
    </row>
    <row r="1484" spans="13:13">
      <c r="M1484" s="5" t="s">
        <v>4389</v>
      </c>
    </row>
    <row r="1485" spans="13:13">
      <c r="M1485" s="5" t="s">
        <v>4390</v>
      </c>
    </row>
    <row r="1486" spans="13:13">
      <c r="M1486" s="5" t="s">
        <v>4391</v>
      </c>
    </row>
    <row r="1487" spans="13:13">
      <c r="M1487" s="5" t="s">
        <v>4392</v>
      </c>
    </row>
    <row r="1488" spans="13:13">
      <c r="M1488" s="5" t="s">
        <v>4393</v>
      </c>
    </row>
    <row r="1489" spans="13:13">
      <c r="M1489" s="5" t="s">
        <v>4394</v>
      </c>
    </row>
    <row r="1490" spans="13:13">
      <c r="M1490" s="5" t="s">
        <v>1894</v>
      </c>
    </row>
    <row r="1491" spans="13:13">
      <c r="M1491" s="5" t="s">
        <v>4395</v>
      </c>
    </row>
    <row r="1492" spans="13:13">
      <c r="M1492" s="5" t="s">
        <v>1899</v>
      </c>
    </row>
    <row r="1493" spans="13:13">
      <c r="M1493" s="5" t="s">
        <v>4396</v>
      </c>
    </row>
    <row r="1494" spans="13:13">
      <c r="M1494" s="5" t="s">
        <v>4397</v>
      </c>
    </row>
    <row r="1495" spans="13:13">
      <c r="M1495" s="5" t="s">
        <v>4398</v>
      </c>
    </row>
    <row r="1496" spans="13:13">
      <c r="M1496" s="5" t="s">
        <v>2248</v>
      </c>
    </row>
    <row r="1497" spans="13:13">
      <c r="M1497" s="5" t="s">
        <v>4399</v>
      </c>
    </row>
    <row r="1498" spans="13:13">
      <c r="M1498" s="5" t="s">
        <v>4400</v>
      </c>
    </row>
    <row r="1499" spans="13:13">
      <c r="M1499" s="5" t="s">
        <v>4401</v>
      </c>
    </row>
    <row r="1500" spans="13:13">
      <c r="M1500" s="5" t="s">
        <v>4402</v>
      </c>
    </row>
    <row r="1501" spans="13:13">
      <c r="M1501" s="5" t="s">
        <v>4403</v>
      </c>
    </row>
    <row r="1502" spans="13:13">
      <c r="M1502" s="5" t="s">
        <v>4404</v>
      </c>
    </row>
    <row r="1503" spans="13:13">
      <c r="M1503" s="5" t="s">
        <v>4405</v>
      </c>
    </row>
    <row r="1504" spans="13:13">
      <c r="M1504" s="5" t="s">
        <v>2251</v>
      </c>
    </row>
    <row r="1505" spans="13:13">
      <c r="M1505" s="5" t="s">
        <v>2254</v>
      </c>
    </row>
    <row r="1506" spans="13:13">
      <c r="M1506" s="5" t="s">
        <v>4406</v>
      </c>
    </row>
    <row r="1507" spans="13:13">
      <c r="M1507" s="5" t="s">
        <v>2257</v>
      </c>
    </row>
    <row r="1508" spans="13:13">
      <c r="M1508" s="5" t="s">
        <v>4407</v>
      </c>
    </row>
    <row r="1509" spans="13:13">
      <c r="M1509" s="5" t="s">
        <v>4408</v>
      </c>
    </row>
    <row r="1510" spans="13:13">
      <c r="M1510" s="5" t="s">
        <v>4409</v>
      </c>
    </row>
    <row r="1511" spans="13:13">
      <c r="M1511" s="5" t="s">
        <v>1904</v>
      </c>
    </row>
    <row r="1512" spans="13:13">
      <c r="M1512" s="5" t="s">
        <v>4410</v>
      </c>
    </row>
    <row r="1513" spans="13:13">
      <c r="M1513" s="5" t="s">
        <v>4411</v>
      </c>
    </row>
    <row r="1514" spans="13:13">
      <c r="M1514" s="5" t="s">
        <v>2260</v>
      </c>
    </row>
    <row r="1515" spans="13:13">
      <c r="M1515" s="5" t="s">
        <v>4412</v>
      </c>
    </row>
    <row r="1516" spans="13:13">
      <c r="M1516" s="5" t="s">
        <v>4413</v>
      </c>
    </row>
    <row r="1517" spans="13:13">
      <c r="M1517" s="5" t="s">
        <v>4414</v>
      </c>
    </row>
    <row r="1518" spans="13:13">
      <c r="M1518" s="5" t="s">
        <v>4415</v>
      </c>
    </row>
    <row r="1519" spans="13:13">
      <c r="M1519" s="5" t="s">
        <v>4416</v>
      </c>
    </row>
    <row r="1520" spans="13:13">
      <c r="M1520" s="5" t="s">
        <v>4417</v>
      </c>
    </row>
    <row r="1521" spans="13:13">
      <c r="M1521" s="5" t="s">
        <v>4418</v>
      </c>
    </row>
    <row r="1522" spans="13:13">
      <c r="M1522" s="5" t="s">
        <v>2262</v>
      </c>
    </row>
    <row r="1523" spans="13:13">
      <c r="M1523" s="5" t="s">
        <v>2263</v>
      </c>
    </row>
    <row r="1524" spans="13:13">
      <c r="M1524" s="5" t="s">
        <v>4419</v>
      </c>
    </row>
    <row r="1525" spans="13:13">
      <c r="M1525" s="5" t="s">
        <v>2264</v>
      </c>
    </row>
    <row r="1526" spans="13:13">
      <c r="M1526" s="5" t="s">
        <v>4420</v>
      </c>
    </row>
    <row r="1527" spans="13:13">
      <c r="M1527" s="5" t="s">
        <v>4421</v>
      </c>
    </row>
    <row r="1528" spans="13:13">
      <c r="M1528" s="5" t="s">
        <v>4422</v>
      </c>
    </row>
    <row r="1529" spans="13:13">
      <c r="M1529" s="5" t="s">
        <v>4423</v>
      </c>
    </row>
    <row r="1530" spans="13:13">
      <c r="M1530" s="5" t="s">
        <v>4424</v>
      </c>
    </row>
    <row r="1531" spans="13:13">
      <c r="M1531" s="5" t="s">
        <v>4425</v>
      </c>
    </row>
    <row r="1532" spans="13:13">
      <c r="M1532" s="5" t="s">
        <v>4426</v>
      </c>
    </row>
    <row r="1533" spans="13:13">
      <c r="M1533" s="5" t="s">
        <v>4427</v>
      </c>
    </row>
    <row r="1534" spans="13:13">
      <c r="M1534" s="5" t="s">
        <v>4428</v>
      </c>
    </row>
    <row r="1535" spans="13:13">
      <c r="M1535" s="5" t="s">
        <v>4429</v>
      </c>
    </row>
    <row r="1536" spans="13:13">
      <c r="M1536" s="5" t="s">
        <v>4430</v>
      </c>
    </row>
    <row r="1537" spans="13:13">
      <c r="M1537" s="5" t="s">
        <v>4431</v>
      </c>
    </row>
    <row r="1538" spans="13:13">
      <c r="M1538" s="5" t="s">
        <v>4432</v>
      </c>
    </row>
    <row r="1539" spans="13:13">
      <c r="M1539" s="5" t="s">
        <v>4433</v>
      </c>
    </row>
    <row r="1540" spans="13:13">
      <c r="M1540" s="5" t="s">
        <v>4434</v>
      </c>
    </row>
    <row r="1541" spans="13:13">
      <c r="M1541" s="5" t="s">
        <v>4435</v>
      </c>
    </row>
    <row r="1542" spans="13:13">
      <c r="M1542" s="5" t="s">
        <v>4436</v>
      </c>
    </row>
    <row r="1543" spans="13:13">
      <c r="M1543" s="5" t="s">
        <v>4437</v>
      </c>
    </row>
    <row r="1544" spans="13:13">
      <c r="M1544" s="5" t="s">
        <v>4438</v>
      </c>
    </row>
    <row r="1545" spans="13:13">
      <c r="M1545" s="5" t="s">
        <v>4439</v>
      </c>
    </row>
    <row r="1546" spans="13:13">
      <c r="M1546" s="5"/>
    </row>
  </sheetData>
  <mergeCells count="2">
    <mergeCell ref="Q1:Q2"/>
    <mergeCell ref="R1:R2"/>
  </mergeCells>
  <pageMargins left="0.75" right="0.75" top="1" bottom="1" header="0.509027777777778" footer="0.509027777777778"/>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1"/>
  <sheetViews>
    <sheetView view="pageBreakPreview" zoomScaleNormal="100" zoomScaleSheetLayoutView="100" topLeftCell="A10" workbookViewId="0">
      <selection activeCell="E23" sqref="E23"/>
    </sheetView>
  </sheetViews>
  <sheetFormatPr defaultColWidth="9" defaultRowHeight="13.5" outlineLevelCol="4"/>
  <cols>
    <col min="1" max="1" width="38.375" customWidth="1"/>
    <col min="2" max="4" width="18.375" style="130" customWidth="1"/>
    <col min="5" max="5" width="44.125" customWidth="1"/>
    <col min="6" max="6" width="9.25" customWidth="1"/>
    <col min="8" max="8" width="9.375"/>
  </cols>
  <sheetData>
    <row r="1" ht="25" customHeight="1" spans="1:5">
      <c r="A1" s="744" t="s">
        <v>23</v>
      </c>
      <c r="B1" s="745"/>
      <c r="C1" s="745"/>
      <c r="D1" s="745"/>
      <c r="E1" s="745"/>
    </row>
    <row r="2" ht="33" customHeight="1" spans="1:5">
      <c r="A2" s="746" t="s">
        <v>24</v>
      </c>
      <c r="B2" s="746"/>
      <c r="C2" s="746"/>
      <c r="D2" s="746"/>
      <c r="E2" s="746"/>
    </row>
    <row r="3" s="8" customFormat="1" ht="21.95" customHeight="1" spans="1:5">
      <c r="A3" s="747"/>
      <c r="B3" s="748"/>
      <c r="C3" s="748"/>
      <c r="D3" s="748"/>
      <c r="E3" s="749" t="s">
        <v>2</v>
      </c>
    </row>
    <row r="4" ht="39" customHeight="1" spans="1:5">
      <c r="A4" s="750" t="s">
        <v>25</v>
      </c>
      <c r="B4" s="751" t="s">
        <v>4</v>
      </c>
      <c r="C4" s="751" t="s">
        <v>5</v>
      </c>
      <c r="D4" s="751" t="s">
        <v>6</v>
      </c>
      <c r="E4" s="752" t="s">
        <v>26</v>
      </c>
    </row>
    <row r="5" ht="30" customHeight="1" spans="1:5">
      <c r="A5" s="753" t="s">
        <v>27</v>
      </c>
      <c r="B5" s="754">
        <f>'3 收入'!B6</f>
        <v>86510</v>
      </c>
      <c r="C5" s="754">
        <f>D5-B5</f>
        <v>6190.89999999999</v>
      </c>
      <c r="D5" s="754">
        <f>'3 收入'!D6</f>
        <v>92700.9</v>
      </c>
      <c r="E5" s="755"/>
    </row>
    <row r="6" ht="30" customHeight="1" spans="1:5">
      <c r="A6" s="753" t="s">
        <v>28</v>
      </c>
      <c r="B6" s="754">
        <f>SUM(B7:B20)</f>
        <v>80645.5</v>
      </c>
      <c r="C6" s="754">
        <f t="shared" ref="C6:C28" si="0">D6-B6</f>
        <v>-658.5</v>
      </c>
      <c r="D6" s="754">
        <f>SUM(D7:D20)</f>
        <v>79987</v>
      </c>
      <c r="E6" s="756"/>
    </row>
    <row r="7" ht="30" customHeight="1" spans="1:5">
      <c r="A7" s="757" t="s">
        <v>29</v>
      </c>
      <c r="B7" s="758">
        <v>4961</v>
      </c>
      <c r="C7" s="758">
        <f t="shared" si="0"/>
        <v>0</v>
      </c>
      <c r="D7" s="758">
        <v>4961</v>
      </c>
      <c r="E7" s="759"/>
    </row>
    <row r="8" ht="30" customHeight="1" spans="1:5">
      <c r="A8" s="760" t="s">
        <v>30</v>
      </c>
      <c r="B8" s="758">
        <v>8476</v>
      </c>
      <c r="C8" s="758">
        <f t="shared" si="0"/>
        <v>1080</v>
      </c>
      <c r="D8" s="758">
        <f>9270+286</f>
        <v>9556</v>
      </c>
      <c r="E8" s="759" t="s">
        <v>31</v>
      </c>
    </row>
    <row r="9" ht="30" customHeight="1" spans="1:5">
      <c r="A9" s="760" t="s">
        <v>32</v>
      </c>
      <c r="B9" s="758">
        <v>18165</v>
      </c>
      <c r="C9" s="758">
        <f t="shared" si="0"/>
        <v>0</v>
      </c>
      <c r="D9" s="758">
        <v>18165</v>
      </c>
      <c r="E9" s="761" t="s">
        <v>33</v>
      </c>
    </row>
    <row r="10" ht="30" customHeight="1" spans="1:5">
      <c r="A10" s="760" t="s">
        <v>34</v>
      </c>
      <c r="B10" s="758">
        <v>7518</v>
      </c>
      <c r="C10" s="758">
        <f t="shared" si="0"/>
        <v>0</v>
      </c>
      <c r="D10" s="758">
        <v>7518</v>
      </c>
      <c r="E10" s="761" t="s">
        <v>35</v>
      </c>
    </row>
    <row r="11" ht="30" customHeight="1" spans="1:5">
      <c r="A11" s="760" t="s">
        <v>36</v>
      </c>
      <c r="B11" s="758">
        <v>1796</v>
      </c>
      <c r="C11" s="758">
        <f t="shared" si="0"/>
        <v>-141</v>
      </c>
      <c r="D11" s="758">
        <f>1796-141</f>
        <v>1655</v>
      </c>
      <c r="E11" s="759" t="s">
        <v>37</v>
      </c>
    </row>
    <row r="12" ht="30" customHeight="1" spans="1:5">
      <c r="A12" s="760" t="s">
        <v>38</v>
      </c>
      <c r="B12" s="758">
        <v>19331</v>
      </c>
      <c r="C12" s="758">
        <f t="shared" si="0"/>
        <v>-1446</v>
      </c>
      <c r="D12" s="758">
        <f>187+17697+1</f>
        <v>17885</v>
      </c>
      <c r="E12" s="759" t="s">
        <v>39</v>
      </c>
    </row>
    <row r="13" ht="30" customHeight="1" spans="1:5">
      <c r="A13" s="760" t="s">
        <v>40</v>
      </c>
      <c r="B13" s="758">
        <v>4207</v>
      </c>
      <c r="C13" s="758">
        <f t="shared" si="0"/>
        <v>-52</v>
      </c>
      <c r="D13" s="758">
        <f>1458+2410+287</f>
        <v>4155</v>
      </c>
      <c r="E13" s="759" t="s">
        <v>41</v>
      </c>
    </row>
    <row r="14" ht="30" customHeight="1" spans="1:5">
      <c r="A14" s="760" t="s">
        <v>42</v>
      </c>
      <c r="B14" s="758">
        <v>6134</v>
      </c>
      <c r="C14" s="758">
        <f t="shared" si="0"/>
        <v>856</v>
      </c>
      <c r="D14" s="758">
        <f>6134+856</f>
        <v>6990</v>
      </c>
      <c r="E14" s="759" t="s">
        <v>43</v>
      </c>
    </row>
    <row r="15" ht="30" customHeight="1" spans="1:5">
      <c r="A15" s="760" t="s">
        <v>44</v>
      </c>
      <c r="B15" s="758">
        <v>1600</v>
      </c>
      <c r="C15" s="758">
        <f t="shared" si="0"/>
        <v>0</v>
      </c>
      <c r="D15" s="758">
        <v>1600</v>
      </c>
      <c r="E15" s="761" t="s">
        <v>45</v>
      </c>
    </row>
    <row r="16" ht="30" customHeight="1" spans="1:5">
      <c r="A16" s="760" t="s">
        <v>46</v>
      </c>
      <c r="B16" s="758">
        <v>1000</v>
      </c>
      <c r="C16" s="758">
        <f t="shared" si="0"/>
        <v>0</v>
      </c>
      <c r="D16" s="758">
        <v>1000</v>
      </c>
      <c r="E16" s="759" t="s">
        <v>47</v>
      </c>
    </row>
    <row r="17" ht="30" customHeight="1" spans="1:5">
      <c r="A17" s="760" t="s">
        <v>48</v>
      </c>
      <c r="B17" s="758">
        <v>412</v>
      </c>
      <c r="C17" s="758">
        <f t="shared" si="0"/>
        <v>0</v>
      </c>
      <c r="D17" s="758">
        <v>412</v>
      </c>
      <c r="E17" s="759" t="s">
        <v>49</v>
      </c>
    </row>
    <row r="18" ht="30" customHeight="1" spans="1:5">
      <c r="A18" s="760" t="s">
        <v>50</v>
      </c>
      <c r="B18" s="758">
        <v>1500</v>
      </c>
      <c r="C18" s="758">
        <f t="shared" si="0"/>
        <v>-550</v>
      </c>
      <c r="D18" s="758">
        <f>1176-226</f>
        <v>950</v>
      </c>
      <c r="E18" s="759"/>
    </row>
    <row r="19" ht="30" customHeight="1" spans="1:5">
      <c r="A19" s="760" t="s">
        <v>51</v>
      </c>
      <c r="B19" s="758">
        <f>6349-49+500+300+1525-220+1107+243+13-1584-851-2140-270.5</f>
        <v>4922.5</v>
      </c>
      <c r="C19" s="758">
        <f t="shared" si="0"/>
        <v>-402.5</v>
      </c>
      <c r="D19" s="758">
        <f>1854+717+1949</f>
        <v>4520</v>
      </c>
      <c r="E19" s="759" t="s">
        <v>52</v>
      </c>
    </row>
    <row r="20" ht="30" customHeight="1" spans="1:5">
      <c r="A20" s="760" t="s">
        <v>53</v>
      </c>
      <c r="B20" s="758">
        <v>623</v>
      </c>
      <c r="C20" s="758">
        <f t="shared" si="0"/>
        <v>-3</v>
      </c>
      <c r="D20" s="758">
        <f>568+52</f>
        <v>620</v>
      </c>
      <c r="E20" s="761" t="s">
        <v>54</v>
      </c>
    </row>
    <row r="21" ht="30" customHeight="1" spans="1:5">
      <c r="A21" s="762" t="s">
        <v>55</v>
      </c>
      <c r="B21" s="754">
        <v>0</v>
      </c>
      <c r="C21" s="754">
        <f t="shared" si="0"/>
        <v>0</v>
      </c>
      <c r="D21" s="754">
        <v>0</v>
      </c>
      <c r="E21" s="763" t="s">
        <v>56</v>
      </c>
    </row>
    <row r="22" ht="30" customHeight="1" spans="1:5">
      <c r="A22" s="762" t="s">
        <v>57</v>
      </c>
      <c r="B22" s="754">
        <v>0</v>
      </c>
      <c r="C22" s="754">
        <f t="shared" si="0"/>
        <v>13992</v>
      </c>
      <c r="D22" s="754">
        <v>13992</v>
      </c>
      <c r="E22" s="763"/>
    </row>
    <row r="23" ht="30" customHeight="1" spans="1:5">
      <c r="A23" s="762" t="s">
        <v>58</v>
      </c>
      <c r="B23" s="754">
        <v>38404</v>
      </c>
      <c r="C23" s="754">
        <f t="shared" si="0"/>
        <v>-38404</v>
      </c>
      <c r="D23" s="754">
        <v>0</v>
      </c>
      <c r="E23" s="763" t="s">
        <v>59</v>
      </c>
    </row>
    <row r="24" ht="30" customHeight="1" spans="1:5">
      <c r="A24" s="762" t="s">
        <v>60</v>
      </c>
      <c r="B24" s="754">
        <f>'5 基金平衡表'!B15</f>
        <v>58855</v>
      </c>
      <c r="C24" s="754">
        <f t="shared" si="0"/>
        <v>-34455</v>
      </c>
      <c r="D24" s="754">
        <f>17000+7400</f>
        <v>24400</v>
      </c>
      <c r="E24" s="763" t="s">
        <v>61</v>
      </c>
    </row>
    <row r="25" ht="30" customHeight="1" spans="1:5">
      <c r="A25" s="762" t="s">
        <v>62</v>
      </c>
      <c r="B25" s="754">
        <v>0</v>
      </c>
      <c r="C25" s="754">
        <f t="shared" si="0"/>
        <v>10421</v>
      </c>
      <c r="D25" s="754">
        <f>10421</f>
        <v>10421</v>
      </c>
      <c r="E25" s="763" t="s">
        <v>63</v>
      </c>
    </row>
    <row r="26" ht="30" customHeight="1" spans="1:5">
      <c r="A26" s="762" t="s">
        <v>64</v>
      </c>
      <c r="B26" s="754">
        <v>0</v>
      </c>
      <c r="C26" s="754">
        <f t="shared" si="0"/>
        <v>26738.827</v>
      </c>
      <c r="D26" s="754">
        <v>26738.827</v>
      </c>
      <c r="E26" s="763" t="s">
        <v>65</v>
      </c>
    </row>
    <row r="27" ht="30" customHeight="1" spans="1:5">
      <c r="A27" s="762" t="s">
        <v>66</v>
      </c>
      <c r="B27" s="754">
        <v>1000</v>
      </c>
      <c r="C27" s="754">
        <f t="shared" si="0"/>
        <v>9012</v>
      </c>
      <c r="D27" s="754">
        <f>9962+50</f>
        <v>10012</v>
      </c>
      <c r="E27" s="763"/>
    </row>
    <row r="28" ht="30" customHeight="1" spans="1:5">
      <c r="A28" s="764" t="s">
        <v>67</v>
      </c>
      <c r="B28" s="754">
        <f>B5+B6+B21+B22+B23+B24+B25+B26+B27</f>
        <v>265414.5</v>
      </c>
      <c r="C28" s="754">
        <f t="shared" si="0"/>
        <v>-7162.77299999999</v>
      </c>
      <c r="D28" s="754">
        <f>D5+D6+D21+D22+D23+D24+D25+D26+D27</f>
        <v>258251.727</v>
      </c>
      <c r="E28" s="761"/>
    </row>
    <row r="30" spans="2:4">
      <c r="B30" s="510"/>
      <c r="C30" s="510"/>
      <c r="D30" s="510"/>
    </row>
    <row r="31" spans="2:4">
      <c r="B31" s="765"/>
      <c r="C31" s="765"/>
      <c r="D31" s="765"/>
    </row>
  </sheetData>
  <mergeCells count="1">
    <mergeCell ref="A2:E2"/>
  </mergeCells>
  <printOptions horizontalCentered="1"/>
  <pageMargins left="0.707638888888889" right="0.707638888888889" top="0.786805555555556" bottom="0.786805555555556" header="0.507638888888889" footer="0.507638888888889"/>
  <pageSetup paperSize="9" scale="96" firstPageNumber="10" orientation="landscape" useFirstPageNumber="1"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40"/>
  <sheetViews>
    <sheetView showZeros="0" view="pageBreakPreview" zoomScaleNormal="100" zoomScaleSheetLayoutView="100" topLeftCell="A11" workbookViewId="0">
      <selection activeCell="C38" sqref="C38:C39"/>
    </sheetView>
  </sheetViews>
  <sheetFormatPr defaultColWidth="9" defaultRowHeight="13.5" outlineLevelCol="7"/>
  <cols>
    <col min="1" max="1" width="31.8666666666667" customWidth="1"/>
    <col min="2" max="5" width="13.625" customWidth="1"/>
    <col min="6" max="6" width="14.375" hidden="1" customWidth="1"/>
    <col min="7" max="7" width="14.375" style="713" hidden="1" customWidth="1"/>
    <col min="8" max="8" width="13.375" style="714" customWidth="1"/>
    <col min="9" max="10" width="10.375"/>
    <col min="11" max="11" width="11.125" customWidth="1"/>
  </cols>
  <sheetData>
    <row r="1" spans="1:8">
      <c r="A1" s="715" t="s">
        <v>68</v>
      </c>
      <c r="B1" s="715"/>
      <c r="C1" s="715"/>
      <c r="D1" s="715"/>
      <c r="E1" s="715"/>
      <c r="F1" s="715"/>
      <c r="G1" s="716"/>
      <c r="H1" s="717"/>
    </row>
    <row r="2" ht="24" spans="1:8">
      <c r="A2" s="718" t="s">
        <v>69</v>
      </c>
      <c r="B2" s="718"/>
      <c r="C2" s="718"/>
      <c r="D2" s="718"/>
      <c r="E2" s="718"/>
      <c r="F2" s="718"/>
      <c r="G2" s="718"/>
      <c r="H2" s="718"/>
    </row>
    <row r="3" ht="15" customHeight="1" spans="1:8">
      <c r="A3" s="719"/>
      <c r="B3" s="719"/>
      <c r="C3" s="719"/>
      <c r="D3" s="719"/>
      <c r="E3" s="719"/>
      <c r="F3" s="719"/>
      <c r="G3" s="720"/>
      <c r="H3" s="721" t="s">
        <v>2</v>
      </c>
    </row>
    <row r="4" spans="1:8">
      <c r="A4" s="722" t="s">
        <v>70</v>
      </c>
      <c r="B4" s="723" t="s">
        <v>4</v>
      </c>
      <c r="C4" s="723" t="s">
        <v>5</v>
      </c>
      <c r="D4" s="723" t="s">
        <v>6</v>
      </c>
      <c r="E4" s="160" t="s">
        <v>71</v>
      </c>
      <c r="F4" s="723" t="s">
        <v>72</v>
      </c>
      <c r="G4" s="724" t="s">
        <v>73</v>
      </c>
      <c r="H4" s="725" t="s">
        <v>74</v>
      </c>
    </row>
    <row r="5" ht="27" customHeight="1" spans="1:8">
      <c r="A5" s="722"/>
      <c r="B5" s="723"/>
      <c r="C5" s="723"/>
      <c r="D5" s="723"/>
      <c r="E5" s="160"/>
      <c r="F5" s="723"/>
      <c r="G5" s="724"/>
      <c r="H5" s="726"/>
    </row>
    <row r="6" ht="21" customHeight="1" spans="1:8">
      <c r="A6" s="727" t="s">
        <v>75</v>
      </c>
      <c r="B6" s="728">
        <f>B7+B23</f>
        <v>86510</v>
      </c>
      <c r="C6" s="728">
        <f>C7+C23</f>
        <v>6190.9</v>
      </c>
      <c r="D6" s="728">
        <f>D7+D23</f>
        <v>92700.9</v>
      </c>
      <c r="E6" s="729">
        <f>D6/B6*100</f>
        <v>107.156282510692</v>
      </c>
      <c r="F6" s="728">
        <f>F7+F23</f>
        <v>85316</v>
      </c>
      <c r="G6" s="730">
        <f t="shared" ref="G6:G40" si="0">D6-F6</f>
        <v>7384.89999999999</v>
      </c>
      <c r="H6" s="729">
        <f t="shared" ref="H6:H40" si="1">G6/F6*100</f>
        <v>8.65593792489099</v>
      </c>
    </row>
    <row r="7" ht="21" customHeight="1" spans="1:8">
      <c r="A7" s="731" t="s">
        <v>76</v>
      </c>
      <c r="B7" s="728">
        <f>SUM(B8:B22)</f>
        <v>55200</v>
      </c>
      <c r="C7" s="728">
        <f>SUM(C8:C22)</f>
        <v>330.900000000001</v>
      </c>
      <c r="D7" s="728">
        <f>SUM(D8:D22)</f>
        <v>55530.9</v>
      </c>
      <c r="E7" s="729">
        <f t="shared" ref="E7:E40" si="2">D7/B7*100</f>
        <v>100.599456521739</v>
      </c>
      <c r="F7" s="728">
        <f>SUM(F8:F22)</f>
        <v>48428</v>
      </c>
      <c r="G7" s="730">
        <f t="shared" si="0"/>
        <v>7102.9</v>
      </c>
      <c r="H7" s="729">
        <f t="shared" si="1"/>
        <v>14.6669282233419</v>
      </c>
    </row>
    <row r="8" ht="21" customHeight="1" spans="1:8">
      <c r="A8" s="732" t="s">
        <v>77</v>
      </c>
      <c r="B8" s="733">
        <v>18300</v>
      </c>
      <c r="C8" s="733">
        <f>D8-B8</f>
        <v>2488.5</v>
      </c>
      <c r="D8" s="733">
        <v>20788.5</v>
      </c>
      <c r="E8" s="734">
        <f t="shared" si="2"/>
        <v>113.598360655738</v>
      </c>
      <c r="F8" s="735">
        <v>15563</v>
      </c>
      <c r="G8" s="736">
        <f t="shared" si="0"/>
        <v>5225.5</v>
      </c>
      <c r="H8" s="734">
        <f t="shared" si="1"/>
        <v>33.5764312793163</v>
      </c>
    </row>
    <row r="9" ht="21" customHeight="1" spans="1:8">
      <c r="A9" s="732" t="s">
        <v>78</v>
      </c>
      <c r="B9" s="733">
        <v>10000</v>
      </c>
      <c r="C9" s="733">
        <f t="shared" ref="C9:C21" si="3">D9-B9</f>
        <v>-1696.4</v>
      </c>
      <c r="D9" s="733">
        <v>8303.6</v>
      </c>
      <c r="E9" s="734">
        <f t="shared" si="2"/>
        <v>83.036</v>
      </c>
      <c r="F9" s="735">
        <v>10104</v>
      </c>
      <c r="G9" s="736">
        <f t="shared" si="0"/>
        <v>-1800.4</v>
      </c>
      <c r="H9" s="734">
        <f t="shared" si="1"/>
        <v>-17.818685669042</v>
      </c>
    </row>
    <row r="10" ht="21" customHeight="1" spans="1:8">
      <c r="A10" s="732" t="s">
        <v>79</v>
      </c>
      <c r="B10" s="733">
        <v>2800</v>
      </c>
      <c r="C10" s="733">
        <f t="shared" si="3"/>
        <v>1386.8</v>
      </c>
      <c r="D10" s="733">
        <v>4186.8</v>
      </c>
      <c r="E10" s="734">
        <f t="shared" si="2"/>
        <v>149.528571428571</v>
      </c>
      <c r="F10" s="735">
        <v>2743</v>
      </c>
      <c r="G10" s="736">
        <f t="shared" si="0"/>
        <v>1443.8</v>
      </c>
      <c r="H10" s="734">
        <f t="shared" si="1"/>
        <v>52.6358002187386</v>
      </c>
    </row>
    <row r="11" ht="21" customHeight="1" spans="1:8">
      <c r="A11" s="732" t="s">
        <v>80</v>
      </c>
      <c r="B11" s="733">
        <v>3300</v>
      </c>
      <c r="C11" s="733">
        <f t="shared" si="3"/>
        <v>-341</v>
      </c>
      <c r="D11" s="733">
        <v>2959</v>
      </c>
      <c r="E11" s="734">
        <f t="shared" si="2"/>
        <v>89.6666666666667</v>
      </c>
      <c r="F11" s="735">
        <v>2715</v>
      </c>
      <c r="G11" s="736">
        <f t="shared" si="0"/>
        <v>244</v>
      </c>
      <c r="H11" s="734">
        <f t="shared" si="1"/>
        <v>8.98710865561694</v>
      </c>
    </row>
    <row r="12" ht="21" customHeight="1" spans="1:8">
      <c r="A12" s="732" t="s">
        <v>81</v>
      </c>
      <c r="B12" s="733">
        <v>1960</v>
      </c>
      <c r="C12" s="733">
        <f t="shared" si="3"/>
        <v>-268</v>
      </c>
      <c r="D12" s="733">
        <v>1692</v>
      </c>
      <c r="E12" s="734">
        <f t="shared" si="2"/>
        <v>86.3265306122449</v>
      </c>
      <c r="F12" s="735">
        <v>1632</v>
      </c>
      <c r="G12" s="736">
        <f t="shared" si="0"/>
        <v>60</v>
      </c>
      <c r="H12" s="734">
        <f t="shared" si="1"/>
        <v>3.67647058823529</v>
      </c>
    </row>
    <row r="13" ht="21" customHeight="1" spans="1:8">
      <c r="A13" s="732" t="s">
        <v>82</v>
      </c>
      <c r="B13" s="733">
        <v>2000</v>
      </c>
      <c r="C13" s="733">
        <f t="shared" si="3"/>
        <v>-170</v>
      </c>
      <c r="D13" s="733">
        <v>1830</v>
      </c>
      <c r="E13" s="734">
        <f t="shared" si="2"/>
        <v>91.5</v>
      </c>
      <c r="F13" s="735">
        <v>1923</v>
      </c>
      <c r="G13" s="736">
        <f t="shared" si="0"/>
        <v>-93</v>
      </c>
      <c r="H13" s="734">
        <f t="shared" si="1"/>
        <v>-4.83619344773791</v>
      </c>
    </row>
    <row r="14" ht="21" customHeight="1" spans="1:8">
      <c r="A14" s="732" t="s">
        <v>83</v>
      </c>
      <c r="B14" s="733">
        <v>1100</v>
      </c>
      <c r="C14" s="733">
        <f t="shared" si="3"/>
        <v>-215</v>
      </c>
      <c r="D14" s="733">
        <v>885</v>
      </c>
      <c r="E14" s="734">
        <f t="shared" si="2"/>
        <v>80.4545454545455</v>
      </c>
      <c r="F14" s="735">
        <v>861</v>
      </c>
      <c r="G14" s="736">
        <f t="shared" si="0"/>
        <v>24</v>
      </c>
      <c r="H14" s="734">
        <f t="shared" si="1"/>
        <v>2.78745644599303</v>
      </c>
    </row>
    <row r="15" ht="21" customHeight="1" spans="1:8">
      <c r="A15" s="732" t="s">
        <v>84</v>
      </c>
      <c r="B15" s="733">
        <v>1300</v>
      </c>
      <c r="C15" s="733">
        <f t="shared" si="3"/>
        <v>-181</v>
      </c>
      <c r="D15" s="733">
        <v>1119</v>
      </c>
      <c r="E15" s="734">
        <f t="shared" si="2"/>
        <v>86.0769230769231</v>
      </c>
      <c r="F15" s="735">
        <v>1091</v>
      </c>
      <c r="G15" s="736">
        <f t="shared" si="0"/>
        <v>28</v>
      </c>
      <c r="H15" s="734">
        <f t="shared" si="1"/>
        <v>2.56645279560037</v>
      </c>
    </row>
    <row r="16" ht="21" customHeight="1" spans="1:8">
      <c r="A16" s="732" t="s">
        <v>85</v>
      </c>
      <c r="B16" s="733">
        <v>3890</v>
      </c>
      <c r="C16" s="733">
        <f t="shared" si="3"/>
        <v>160</v>
      </c>
      <c r="D16" s="733">
        <v>4050</v>
      </c>
      <c r="E16" s="734">
        <f t="shared" si="2"/>
        <v>104.113110539846</v>
      </c>
      <c r="F16" s="735">
        <v>3599</v>
      </c>
      <c r="G16" s="736">
        <f t="shared" si="0"/>
        <v>451</v>
      </c>
      <c r="H16" s="734">
        <f t="shared" si="1"/>
        <v>12.5312586829675</v>
      </c>
    </row>
    <row r="17" ht="21" customHeight="1" spans="1:8">
      <c r="A17" s="732" t="s">
        <v>86</v>
      </c>
      <c r="B17" s="733">
        <v>1200</v>
      </c>
      <c r="C17" s="733">
        <f t="shared" si="3"/>
        <v>-115</v>
      </c>
      <c r="D17" s="733">
        <v>1085</v>
      </c>
      <c r="E17" s="734">
        <f t="shared" si="2"/>
        <v>90.4166666666667</v>
      </c>
      <c r="F17" s="735">
        <v>1154</v>
      </c>
      <c r="G17" s="736">
        <f t="shared" si="0"/>
        <v>-69</v>
      </c>
      <c r="H17" s="734">
        <f t="shared" si="1"/>
        <v>-5.97920277296361</v>
      </c>
    </row>
    <row r="18" ht="21" customHeight="1" spans="1:8">
      <c r="A18" s="732" t="s">
        <v>87</v>
      </c>
      <c r="B18" s="733">
        <v>750</v>
      </c>
      <c r="C18" s="733">
        <f t="shared" si="3"/>
        <v>-274</v>
      </c>
      <c r="D18" s="733">
        <v>476</v>
      </c>
      <c r="E18" s="734">
        <f t="shared" si="2"/>
        <v>63.4666666666667</v>
      </c>
      <c r="F18" s="735">
        <v>465</v>
      </c>
      <c r="G18" s="736">
        <f t="shared" si="0"/>
        <v>11</v>
      </c>
      <c r="H18" s="734">
        <f t="shared" si="1"/>
        <v>2.36559139784946</v>
      </c>
    </row>
    <row r="19" ht="21" customHeight="1" spans="1:8">
      <c r="A19" s="732" t="s">
        <v>88</v>
      </c>
      <c r="B19" s="733">
        <v>4200</v>
      </c>
      <c r="C19" s="733">
        <f t="shared" si="3"/>
        <v>-453</v>
      </c>
      <c r="D19" s="733">
        <v>3747</v>
      </c>
      <c r="E19" s="734">
        <f t="shared" si="2"/>
        <v>89.2142857142857</v>
      </c>
      <c r="F19" s="735">
        <v>3018</v>
      </c>
      <c r="G19" s="736">
        <f t="shared" si="0"/>
        <v>729</v>
      </c>
      <c r="H19" s="734">
        <f t="shared" si="1"/>
        <v>24.155069582505</v>
      </c>
    </row>
    <row r="20" ht="21" customHeight="1" spans="1:8">
      <c r="A20" s="732" t="s">
        <v>89</v>
      </c>
      <c r="B20" s="733">
        <v>3500</v>
      </c>
      <c r="C20" s="733">
        <f t="shared" si="3"/>
        <v>118</v>
      </c>
      <c r="D20" s="733">
        <v>3618</v>
      </c>
      <c r="E20" s="734">
        <f t="shared" si="2"/>
        <v>103.371428571429</v>
      </c>
      <c r="F20" s="735">
        <v>2819</v>
      </c>
      <c r="G20" s="736">
        <f t="shared" si="0"/>
        <v>799</v>
      </c>
      <c r="H20" s="734">
        <f t="shared" si="1"/>
        <v>28.3433841787868</v>
      </c>
    </row>
    <row r="21" ht="21" customHeight="1" spans="1:8">
      <c r="A21" s="732" t="s">
        <v>90</v>
      </c>
      <c r="B21" s="733">
        <v>900</v>
      </c>
      <c r="C21" s="733">
        <f t="shared" si="3"/>
        <v>-109</v>
      </c>
      <c r="D21" s="733">
        <v>791</v>
      </c>
      <c r="E21" s="734">
        <f t="shared" si="2"/>
        <v>87.8888888888889</v>
      </c>
      <c r="F21" s="735">
        <v>726</v>
      </c>
      <c r="G21" s="736">
        <f t="shared" si="0"/>
        <v>65</v>
      </c>
      <c r="H21" s="734">
        <f t="shared" si="1"/>
        <v>8.95316804407713</v>
      </c>
    </row>
    <row r="22" ht="21" customHeight="1" spans="1:8">
      <c r="A22" s="732" t="s">
        <v>91</v>
      </c>
      <c r="B22" s="733">
        <v>0</v>
      </c>
      <c r="C22" s="733"/>
      <c r="D22" s="733">
        <v>0</v>
      </c>
      <c r="E22" s="734"/>
      <c r="F22" s="737">
        <v>15</v>
      </c>
      <c r="G22" s="736">
        <f t="shared" si="0"/>
        <v>-15</v>
      </c>
      <c r="H22" s="734"/>
    </row>
    <row r="23" ht="21" customHeight="1" spans="1:8">
      <c r="A23" s="731" t="s">
        <v>92</v>
      </c>
      <c r="B23" s="730">
        <f>SUM(B24:B31)</f>
        <v>31310</v>
      </c>
      <c r="C23" s="730">
        <f>SUM(C24:C31)</f>
        <v>5860</v>
      </c>
      <c r="D23" s="730">
        <f>SUM(D24:D31)</f>
        <v>37170</v>
      </c>
      <c r="E23" s="729">
        <f t="shared" si="2"/>
        <v>118.716065154903</v>
      </c>
      <c r="F23" s="730">
        <f>SUM(F24:F31)</f>
        <v>36888</v>
      </c>
      <c r="G23" s="730">
        <f t="shared" si="0"/>
        <v>282</v>
      </c>
      <c r="H23" s="729">
        <f t="shared" si="1"/>
        <v>0.764476252439818</v>
      </c>
    </row>
    <row r="24" ht="21" customHeight="1" spans="1:8">
      <c r="A24" s="732" t="s">
        <v>93</v>
      </c>
      <c r="B24" s="737">
        <v>11450</v>
      </c>
      <c r="C24" s="733">
        <f>D24-B24</f>
        <v>-6400</v>
      </c>
      <c r="D24" s="737">
        <v>5050</v>
      </c>
      <c r="E24" s="734">
        <f t="shared" si="2"/>
        <v>44.1048034934498</v>
      </c>
      <c r="F24" s="737">
        <v>12175</v>
      </c>
      <c r="G24" s="736">
        <f t="shared" si="0"/>
        <v>-7125</v>
      </c>
      <c r="H24" s="734">
        <f t="shared" si="1"/>
        <v>-58.5215605749487</v>
      </c>
    </row>
    <row r="25" ht="21" customHeight="1" spans="1:8">
      <c r="A25" s="732" t="s">
        <v>94</v>
      </c>
      <c r="B25" s="737">
        <v>6081</v>
      </c>
      <c r="C25" s="733">
        <f t="shared" ref="C25:C31" si="4">D25-B25</f>
        <v>-3016</v>
      </c>
      <c r="D25" s="737">
        <v>3065</v>
      </c>
      <c r="E25" s="734">
        <f t="shared" si="2"/>
        <v>50.4028942608124</v>
      </c>
      <c r="F25" s="737">
        <v>4184</v>
      </c>
      <c r="G25" s="736">
        <f t="shared" si="0"/>
        <v>-1119</v>
      </c>
      <c r="H25" s="734">
        <f t="shared" si="1"/>
        <v>-26.744741873805</v>
      </c>
    </row>
    <row r="26" ht="21" customHeight="1" spans="1:8">
      <c r="A26" s="732" t="s">
        <v>95</v>
      </c>
      <c r="B26" s="737">
        <v>4000</v>
      </c>
      <c r="C26" s="733">
        <f t="shared" si="4"/>
        <v>955</v>
      </c>
      <c r="D26" s="737">
        <v>4955</v>
      </c>
      <c r="E26" s="734">
        <f t="shared" si="2"/>
        <v>123.875</v>
      </c>
      <c r="F26" s="737">
        <v>6592</v>
      </c>
      <c r="G26" s="736">
        <f t="shared" si="0"/>
        <v>-1637</v>
      </c>
      <c r="H26" s="734">
        <f t="shared" si="1"/>
        <v>-24.8331310679612</v>
      </c>
    </row>
    <row r="27" ht="21" customHeight="1" spans="1:8">
      <c r="A27" s="732" t="s">
        <v>96</v>
      </c>
      <c r="B27" s="733">
        <v>1100</v>
      </c>
      <c r="C27" s="733">
        <f t="shared" si="4"/>
        <v>669</v>
      </c>
      <c r="D27" s="733">
        <v>1769</v>
      </c>
      <c r="E27" s="734">
        <f t="shared" si="2"/>
        <v>160.818181818182</v>
      </c>
      <c r="F27" s="737">
        <v>1726</v>
      </c>
      <c r="G27" s="736">
        <f t="shared" si="0"/>
        <v>43</v>
      </c>
      <c r="H27" s="734">
        <f t="shared" si="1"/>
        <v>2.49130938586327</v>
      </c>
    </row>
    <row r="28" ht="21" customHeight="1" spans="1:8">
      <c r="A28" s="732" t="s">
        <v>97</v>
      </c>
      <c r="B28" s="733">
        <v>4179</v>
      </c>
      <c r="C28" s="733">
        <f t="shared" si="4"/>
        <v>15771</v>
      </c>
      <c r="D28" s="733">
        <v>19950</v>
      </c>
      <c r="E28" s="734">
        <f t="shared" si="2"/>
        <v>477.386934673367</v>
      </c>
      <c r="F28" s="737">
        <v>5782</v>
      </c>
      <c r="G28" s="736">
        <f t="shared" si="0"/>
        <v>14168</v>
      </c>
      <c r="H28" s="734">
        <f t="shared" si="1"/>
        <v>245.036319612591</v>
      </c>
    </row>
    <row r="29" ht="21" customHeight="1" spans="1:8">
      <c r="A29" s="732" t="s">
        <v>98</v>
      </c>
      <c r="B29" s="733">
        <v>4000</v>
      </c>
      <c r="C29" s="733">
        <f t="shared" si="4"/>
        <v>-1890</v>
      </c>
      <c r="D29" s="733">
        <v>2110</v>
      </c>
      <c r="E29" s="734">
        <f t="shared" si="2"/>
        <v>52.75</v>
      </c>
      <c r="F29" s="737">
        <v>5908</v>
      </c>
      <c r="G29" s="736">
        <f t="shared" si="0"/>
        <v>-3798</v>
      </c>
      <c r="H29" s="734">
        <f t="shared" si="1"/>
        <v>-64.2857142857143</v>
      </c>
    </row>
    <row r="30" ht="21" customHeight="1" spans="1:8">
      <c r="A30" s="732" t="s">
        <v>99</v>
      </c>
      <c r="B30" s="733">
        <v>200</v>
      </c>
      <c r="C30" s="733">
        <f t="shared" si="4"/>
        <v>-22</v>
      </c>
      <c r="D30" s="733">
        <v>178</v>
      </c>
      <c r="E30" s="734">
        <f t="shared" si="2"/>
        <v>89</v>
      </c>
      <c r="F30" s="737">
        <v>214</v>
      </c>
      <c r="G30" s="736">
        <f t="shared" si="0"/>
        <v>-36</v>
      </c>
      <c r="H30" s="734">
        <f t="shared" si="1"/>
        <v>-16.8224299065421</v>
      </c>
    </row>
    <row r="31" ht="21" customHeight="1" spans="1:8">
      <c r="A31" s="732" t="s">
        <v>100</v>
      </c>
      <c r="B31" s="733">
        <v>300</v>
      </c>
      <c r="C31" s="733">
        <f t="shared" si="4"/>
        <v>-207</v>
      </c>
      <c r="D31" s="733">
        <v>93</v>
      </c>
      <c r="E31" s="734">
        <f t="shared" si="2"/>
        <v>31</v>
      </c>
      <c r="F31" s="737">
        <v>307</v>
      </c>
      <c r="G31" s="736">
        <f t="shared" si="0"/>
        <v>-214</v>
      </c>
      <c r="H31" s="734">
        <f t="shared" si="1"/>
        <v>-69.7068403908795</v>
      </c>
    </row>
    <row r="32" ht="21" customHeight="1" spans="1:8">
      <c r="A32" s="738" t="s">
        <v>101</v>
      </c>
      <c r="B32" s="728">
        <f>SUM(B33:B37)</f>
        <v>38421</v>
      </c>
      <c r="C32" s="728">
        <f>SUM(C33:C37)</f>
        <v>1925.1</v>
      </c>
      <c r="D32" s="728">
        <f>SUM(D33:D37)</f>
        <v>40346.1</v>
      </c>
      <c r="E32" s="729">
        <f t="shared" si="2"/>
        <v>105.01054111033</v>
      </c>
      <c r="F32" s="728">
        <f>SUM(F33:F37)</f>
        <v>35789.5</v>
      </c>
      <c r="G32" s="730">
        <f t="shared" si="0"/>
        <v>4556.6</v>
      </c>
      <c r="H32" s="729">
        <f t="shared" si="1"/>
        <v>12.7316671090683</v>
      </c>
    </row>
    <row r="33" ht="21" customHeight="1" spans="1:8">
      <c r="A33" s="739" t="s">
        <v>102</v>
      </c>
      <c r="B33" s="733">
        <f>B8</f>
        <v>18300</v>
      </c>
      <c r="C33" s="733">
        <f t="shared" ref="C33:C37" si="5">D33-B33</f>
        <v>2488.5</v>
      </c>
      <c r="D33" s="733">
        <v>20788.5</v>
      </c>
      <c r="E33" s="734">
        <f t="shared" si="2"/>
        <v>113.598360655738</v>
      </c>
      <c r="F33" s="733">
        <f>F8</f>
        <v>15563</v>
      </c>
      <c r="G33" s="733">
        <f t="shared" si="0"/>
        <v>5225.5</v>
      </c>
      <c r="H33" s="734">
        <f t="shared" si="1"/>
        <v>33.5764312793163</v>
      </c>
    </row>
    <row r="34" ht="21" customHeight="1" spans="1:8">
      <c r="A34" s="740" t="s">
        <v>103</v>
      </c>
      <c r="B34" s="733">
        <v>3</v>
      </c>
      <c r="C34" s="733">
        <f t="shared" si="5"/>
        <v>1</v>
      </c>
      <c r="D34" s="733">
        <v>4</v>
      </c>
      <c r="E34" s="734">
        <f t="shared" si="2"/>
        <v>133.333333333333</v>
      </c>
      <c r="F34" s="733">
        <v>3</v>
      </c>
      <c r="G34" s="733">
        <f t="shared" si="0"/>
        <v>1</v>
      </c>
      <c r="H34" s="734">
        <f t="shared" si="1"/>
        <v>33.3333333333333</v>
      </c>
    </row>
    <row r="35" ht="21" customHeight="1" spans="1:8">
      <c r="A35" s="739" t="s">
        <v>104</v>
      </c>
      <c r="B35" s="733">
        <f>B9/0.4*0.6</f>
        <v>15000</v>
      </c>
      <c r="C35" s="733">
        <f t="shared" si="5"/>
        <v>-2544.6</v>
      </c>
      <c r="D35" s="733">
        <v>12455.4</v>
      </c>
      <c r="E35" s="734">
        <f t="shared" si="2"/>
        <v>83.036</v>
      </c>
      <c r="F35" s="733">
        <f>F9/0.4*0.6</f>
        <v>15156</v>
      </c>
      <c r="G35" s="733">
        <f t="shared" si="0"/>
        <v>-2700.6</v>
      </c>
      <c r="H35" s="734">
        <f t="shared" si="1"/>
        <v>-17.818685669042</v>
      </c>
    </row>
    <row r="36" ht="21" customHeight="1" spans="1:8">
      <c r="A36" s="739" t="s">
        <v>105</v>
      </c>
      <c r="B36" s="733">
        <f>B10/0.4*0.6</f>
        <v>4200</v>
      </c>
      <c r="C36" s="733">
        <f t="shared" si="5"/>
        <v>2080.2</v>
      </c>
      <c r="D36" s="733">
        <v>6280.2</v>
      </c>
      <c r="E36" s="734">
        <f t="shared" si="2"/>
        <v>149.528571428571</v>
      </c>
      <c r="F36" s="733">
        <f>F10/0.4*0.6</f>
        <v>4114.5</v>
      </c>
      <c r="G36" s="733">
        <f t="shared" si="0"/>
        <v>2165.7</v>
      </c>
      <c r="H36" s="734">
        <f t="shared" si="1"/>
        <v>52.6358002187386</v>
      </c>
    </row>
    <row r="37" ht="21" customHeight="1" spans="1:8">
      <c r="A37" s="741" t="s">
        <v>106</v>
      </c>
      <c r="B37" s="733">
        <v>918</v>
      </c>
      <c r="C37" s="733">
        <f t="shared" si="5"/>
        <v>-100</v>
      </c>
      <c r="D37" s="733">
        <v>818</v>
      </c>
      <c r="E37" s="734">
        <f t="shared" si="2"/>
        <v>89.1067538126362</v>
      </c>
      <c r="F37" s="733">
        <v>953</v>
      </c>
      <c r="G37" s="733">
        <f t="shared" si="0"/>
        <v>-135</v>
      </c>
      <c r="H37" s="734">
        <f t="shared" si="1"/>
        <v>-14.1657922350472</v>
      </c>
    </row>
    <row r="38" ht="21" customHeight="1" spans="1:8">
      <c r="A38" s="742" t="s">
        <v>107</v>
      </c>
      <c r="B38" s="728">
        <f>B6+B32</f>
        <v>124931</v>
      </c>
      <c r="C38" s="728">
        <f>C6+C32</f>
        <v>8116</v>
      </c>
      <c r="D38" s="728">
        <f>D6+D32</f>
        <v>133047</v>
      </c>
      <c r="E38" s="729">
        <f t="shared" si="2"/>
        <v>106.496386005075</v>
      </c>
      <c r="F38" s="728">
        <f>F6+F32</f>
        <v>121105.5</v>
      </c>
      <c r="G38" s="730">
        <f t="shared" si="0"/>
        <v>11941.5</v>
      </c>
      <c r="H38" s="729">
        <f t="shared" si="1"/>
        <v>9.8604109639942</v>
      </c>
    </row>
    <row r="39" ht="21" customHeight="1" spans="1:8">
      <c r="A39" s="732" t="s">
        <v>108</v>
      </c>
      <c r="B39" s="733">
        <f>B38-B40</f>
        <v>93621</v>
      </c>
      <c r="C39" s="733">
        <f>C38-C40</f>
        <v>2256</v>
      </c>
      <c r="D39" s="733">
        <f>D38-D40</f>
        <v>95877</v>
      </c>
      <c r="E39" s="734">
        <f t="shared" si="2"/>
        <v>102.409715768898</v>
      </c>
      <c r="F39" s="733">
        <f>F38-F40</f>
        <v>84217.5</v>
      </c>
      <c r="G39" s="743">
        <f t="shared" si="0"/>
        <v>11659.5</v>
      </c>
      <c r="H39" s="734">
        <f t="shared" si="1"/>
        <v>13.8445097515362</v>
      </c>
    </row>
    <row r="40" ht="21" customHeight="1" spans="1:8">
      <c r="A40" s="732" t="s">
        <v>109</v>
      </c>
      <c r="B40" s="733">
        <f>B23</f>
        <v>31310</v>
      </c>
      <c r="C40" s="733">
        <f>C23</f>
        <v>5860</v>
      </c>
      <c r="D40" s="733">
        <f>D23</f>
        <v>37170</v>
      </c>
      <c r="E40" s="734">
        <f t="shared" si="2"/>
        <v>118.716065154903</v>
      </c>
      <c r="F40" s="733">
        <f>F23</f>
        <v>36888</v>
      </c>
      <c r="G40" s="743">
        <f t="shared" si="0"/>
        <v>282</v>
      </c>
      <c r="H40" s="734">
        <f t="shared" si="1"/>
        <v>0.764476252439818</v>
      </c>
    </row>
  </sheetData>
  <mergeCells count="9">
    <mergeCell ref="A2:H2"/>
    <mergeCell ref="A4:A5"/>
    <mergeCell ref="B4:B5"/>
    <mergeCell ref="C4:C5"/>
    <mergeCell ref="D4:D5"/>
    <mergeCell ref="E4:E5"/>
    <mergeCell ref="F4:F5"/>
    <mergeCell ref="G4:G5"/>
    <mergeCell ref="H4:H5"/>
  </mergeCells>
  <printOptions horizontalCentered="1"/>
  <pageMargins left="0.590277777777778" right="0.590277777777778" top="0.747916666666667" bottom="0.747916666666667" header="0.507638888888889" footer="0.507638888888889"/>
  <pageSetup paperSize="9" scale="88" firstPageNumber="10" orientation="portrait" useFirstPageNumber="1" horizontalDpi="600"/>
  <headerFooter/>
  <rowBreaks count="1" manualBreakCount="1">
    <brk id="40" max="16383"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Y46"/>
  <sheetViews>
    <sheetView view="pageBreakPreview" zoomScale="90" zoomScaleNormal="86" zoomScaleSheetLayoutView="90" workbookViewId="0">
      <pane xSplit="2" ySplit="7" topLeftCell="C19" activePane="bottomRight" state="frozen"/>
      <selection/>
      <selection pane="topRight"/>
      <selection pane="bottomLeft"/>
      <selection pane="bottomRight" activeCell="J35" sqref="J35"/>
    </sheetView>
  </sheetViews>
  <sheetFormatPr defaultColWidth="9" defaultRowHeight="13.5"/>
  <cols>
    <col min="1" max="1" width="7.725" style="131" customWidth="1"/>
    <col min="2" max="2" width="23.6333333333333" style="131" customWidth="1"/>
    <col min="3" max="3" width="11.225" style="131" customWidth="1"/>
    <col min="4" max="4" width="10.625" style="131" hidden="1" customWidth="1"/>
    <col min="5" max="5" width="11.875" style="131" hidden="1" customWidth="1"/>
    <col min="6" max="6" width="13" style="131" hidden="1" customWidth="1"/>
    <col min="7" max="7" width="11.3666666666667" style="131" hidden="1" customWidth="1"/>
    <col min="8" max="8" width="10.5" style="131" hidden="1" customWidth="1"/>
    <col min="9" max="9" width="11" style="131" hidden="1" customWidth="1"/>
    <col min="10" max="10" width="11" style="131" customWidth="1"/>
    <col min="11" max="11" width="10.25" style="131" customWidth="1"/>
    <col min="12" max="17" width="11" style="131" customWidth="1"/>
    <col min="18" max="18" width="10.75" style="131" customWidth="1"/>
    <col min="19" max="23" width="11" style="131" customWidth="1"/>
    <col min="24" max="24" width="24" style="294" hidden="1" customWidth="1"/>
    <col min="25" max="25" width="12.625" style="294" hidden="1" customWidth="1"/>
    <col min="26" max="16384" width="9" style="131"/>
  </cols>
  <sheetData>
    <row r="1" spans="1:1">
      <c r="A1" s="200" t="s">
        <v>110</v>
      </c>
    </row>
    <row r="2" ht="24" spans="1:23">
      <c r="A2" s="201" t="s">
        <v>111</v>
      </c>
      <c r="B2" s="201"/>
      <c r="C2" s="201"/>
      <c r="D2" s="201"/>
      <c r="E2" s="201"/>
      <c r="F2" s="201"/>
      <c r="G2" s="201"/>
      <c r="H2" s="201"/>
      <c r="I2" s="201"/>
      <c r="J2" s="201"/>
      <c r="K2" s="201"/>
      <c r="L2" s="201"/>
      <c r="M2" s="201"/>
      <c r="N2" s="201"/>
      <c r="O2" s="201"/>
      <c r="P2" s="201"/>
      <c r="Q2" s="201"/>
      <c r="R2" s="201"/>
      <c r="S2" s="201"/>
      <c r="T2" s="201"/>
      <c r="U2" s="201"/>
      <c r="V2" s="201"/>
      <c r="W2" s="201"/>
    </row>
    <row r="3" ht="17.15" customHeight="1" spans="23:23">
      <c r="W3" s="203" t="s">
        <v>2</v>
      </c>
    </row>
    <row r="4" s="131" customFormat="1" ht="18" customHeight="1" spans="1:25">
      <c r="A4" s="43" t="s">
        <v>112</v>
      </c>
      <c r="B4" s="43" t="s">
        <v>113</v>
      </c>
      <c r="C4" s="697" t="s">
        <v>114</v>
      </c>
      <c r="D4" s="698"/>
      <c r="E4" s="698"/>
      <c r="F4" s="698"/>
      <c r="G4" s="698"/>
      <c r="H4" s="698"/>
      <c r="I4" s="710"/>
      <c r="J4" s="697" t="s">
        <v>115</v>
      </c>
      <c r="K4" s="698"/>
      <c r="L4" s="698"/>
      <c r="M4" s="698"/>
      <c r="N4" s="698"/>
      <c r="O4" s="698"/>
      <c r="P4" s="710"/>
      <c r="Q4" s="697" t="s">
        <v>6</v>
      </c>
      <c r="R4" s="698"/>
      <c r="S4" s="698"/>
      <c r="T4" s="698"/>
      <c r="U4" s="698"/>
      <c r="V4" s="698"/>
      <c r="W4" s="710"/>
      <c r="X4" s="294"/>
      <c r="Y4" s="294"/>
    </row>
    <row r="5" s="131" customFormat="1" ht="18" customHeight="1" spans="1:25">
      <c r="A5" s="674"/>
      <c r="B5" s="674"/>
      <c r="C5" s="699" t="s">
        <v>22</v>
      </c>
      <c r="D5" s="158" t="s">
        <v>116</v>
      </c>
      <c r="E5" s="158"/>
      <c r="F5" s="158"/>
      <c r="G5" s="158"/>
      <c r="H5" s="158"/>
      <c r="I5" s="158" t="s">
        <v>117</v>
      </c>
      <c r="J5" s="699" t="s">
        <v>22</v>
      </c>
      <c r="K5" s="158" t="s">
        <v>116</v>
      </c>
      <c r="L5" s="158"/>
      <c r="M5" s="158"/>
      <c r="N5" s="158"/>
      <c r="O5" s="158"/>
      <c r="P5" s="158" t="s">
        <v>117</v>
      </c>
      <c r="Q5" s="699" t="s">
        <v>22</v>
      </c>
      <c r="R5" s="158" t="s">
        <v>116</v>
      </c>
      <c r="S5" s="158"/>
      <c r="T5" s="158"/>
      <c r="U5" s="158"/>
      <c r="V5" s="158"/>
      <c r="W5" s="158" t="s">
        <v>117</v>
      </c>
      <c r="X5" s="294"/>
      <c r="Y5" s="294"/>
    </row>
    <row r="6" s="131" customFormat="1" ht="18" customHeight="1" spans="1:25">
      <c r="A6" s="674"/>
      <c r="B6" s="674"/>
      <c r="C6" s="699"/>
      <c r="D6" s="699" t="s">
        <v>118</v>
      </c>
      <c r="E6" s="158" t="s">
        <v>119</v>
      </c>
      <c r="F6" s="158"/>
      <c r="G6" s="158"/>
      <c r="H6" s="158" t="s">
        <v>120</v>
      </c>
      <c r="I6" s="158"/>
      <c r="J6" s="699"/>
      <c r="K6" s="699" t="s">
        <v>118</v>
      </c>
      <c r="L6" s="158" t="s">
        <v>119</v>
      </c>
      <c r="M6" s="158"/>
      <c r="N6" s="158"/>
      <c r="O6" s="158" t="s">
        <v>120</v>
      </c>
      <c r="P6" s="158"/>
      <c r="Q6" s="699"/>
      <c r="R6" s="699" t="s">
        <v>118</v>
      </c>
      <c r="S6" s="158" t="s">
        <v>119</v>
      </c>
      <c r="T6" s="158"/>
      <c r="U6" s="158"/>
      <c r="V6" s="158" t="s">
        <v>120</v>
      </c>
      <c r="W6" s="158"/>
      <c r="X6" s="294"/>
      <c r="Y6" s="294"/>
    </row>
    <row r="7" s="131" customFormat="1" ht="33" customHeight="1" spans="1:25">
      <c r="A7" s="48"/>
      <c r="B7" s="48"/>
      <c r="C7" s="699"/>
      <c r="D7" s="699"/>
      <c r="E7" s="699" t="s">
        <v>121</v>
      </c>
      <c r="F7" s="158" t="s">
        <v>122</v>
      </c>
      <c r="G7" s="158" t="s">
        <v>123</v>
      </c>
      <c r="H7" s="158"/>
      <c r="I7" s="158"/>
      <c r="J7" s="699"/>
      <c r="K7" s="699"/>
      <c r="L7" s="699" t="s">
        <v>121</v>
      </c>
      <c r="M7" s="158" t="s">
        <v>122</v>
      </c>
      <c r="N7" s="158" t="s">
        <v>123</v>
      </c>
      <c r="O7" s="158"/>
      <c r="P7" s="158"/>
      <c r="Q7" s="699"/>
      <c r="R7" s="699"/>
      <c r="S7" s="699" t="s">
        <v>121</v>
      </c>
      <c r="T7" s="158" t="s">
        <v>122</v>
      </c>
      <c r="U7" s="158" t="s">
        <v>123</v>
      </c>
      <c r="V7" s="158"/>
      <c r="W7" s="158"/>
      <c r="X7" s="711" t="s">
        <v>124</v>
      </c>
      <c r="Y7" s="294" t="s">
        <v>125</v>
      </c>
    </row>
    <row r="8" s="131" customFormat="1" ht="27" customHeight="1" spans="1:25">
      <c r="A8" s="700">
        <v>201</v>
      </c>
      <c r="B8" s="54" t="s">
        <v>126</v>
      </c>
      <c r="C8" s="701">
        <f>SUM(F8:I8)</f>
        <v>40469.1308</v>
      </c>
      <c r="D8" s="702">
        <f>E8+H8</f>
        <v>37963.6308</v>
      </c>
      <c r="E8" s="702">
        <f>F8+G8</f>
        <v>26378.1748</v>
      </c>
      <c r="F8" s="702">
        <v>25614.89</v>
      </c>
      <c r="G8" s="702">
        <v>763.2848</v>
      </c>
      <c r="H8" s="702">
        <v>11585.456</v>
      </c>
      <c r="I8" s="702">
        <v>2505.5</v>
      </c>
      <c r="J8" s="701">
        <f>SUM(M8:P8)</f>
        <v>-4868.645492</v>
      </c>
      <c r="K8" s="702">
        <f>L8+O8</f>
        <v>-2952.345492</v>
      </c>
      <c r="L8" s="702">
        <f>M8+N8</f>
        <v>-546.095492</v>
      </c>
      <c r="M8" s="702">
        <f>工资福利汇总表!E7</f>
        <v>-675.967092</v>
      </c>
      <c r="N8" s="702">
        <f>对个人和家庭补助!V6</f>
        <v>129.8716</v>
      </c>
      <c r="O8" s="702">
        <f>商品和服务支出!X7</f>
        <v>-2406.25</v>
      </c>
      <c r="P8" s="702">
        <f>项目支出!P5</f>
        <v>-1916.3</v>
      </c>
      <c r="Q8" s="701">
        <f>SUM(T8:W8)</f>
        <v>35600.485308</v>
      </c>
      <c r="R8" s="702">
        <f>S8+V8</f>
        <v>35011.285308</v>
      </c>
      <c r="S8" s="702">
        <f>T8+U8</f>
        <v>25832.079308</v>
      </c>
      <c r="T8" s="702">
        <f>F8+M8</f>
        <v>24938.922908</v>
      </c>
      <c r="U8" s="702">
        <f>G8+N8</f>
        <v>893.1564</v>
      </c>
      <c r="V8" s="702">
        <f>H8+O8</f>
        <v>9179.206</v>
      </c>
      <c r="W8" s="702">
        <f>I8+P8</f>
        <v>589.2</v>
      </c>
      <c r="X8" s="711">
        <v>479</v>
      </c>
      <c r="Y8" s="712">
        <f>ROUND(Q8+X8,0)</f>
        <v>36079</v>
      </c>
    </row>
    <row r="9" s="131" customFormat="1" ht="27" customHeight="1" spans="1:25">
      <c r="A9" s="700">
        <v>203</v>
      </c>
      <c r="B9" s="54" t="s">
        <v>127</v>
      </c>
      <c r="C9" s="701">
        <f>SUM(F9:I9)</f>
        <v>0</v>
      </c>
      <c r="D9" s="702"/>
      <c r="E9" s="702"/>
      <c r="F9" s="702">
        <v>0</v>
      </c>
      <c r="G9" s="702"/>
      <c r="H9" s="702"/>
      <c r="I9" s="702"/>
      <c r="J9" s="701">
        <f>SUM(M9:P9)</f>
        <v>0</v>
      </c>
      <c r="K9" s="702">
        <f t="shared" ref="K9:K31" si="0">L9+O9</f>
        <v>0</v>
      </c>
      <c r="L9" s="702">
        <f t="shared" ref="L9:L31" si="1">M9+N9</f>
        <v>0</v>
      </c>
      <c r="M9" s="702"/>
      <c r="N9" s="702"/>
      <c r="O9" s="702"/>
      <c r="P9" s="702"/>
      <c r="Q9" s="701">
        <f>SUM(T9:W9)</f>
        <v>0</v>
      </c>
      <c r="R9" s="702">
        <f t="shared" ref="R9:R31" si="2">S9+V9</f>
        <v>0</v>
      </c>
      <c r="S9" s="702">
        <f t="shared" ref="S9:S31" si="3">T9+U9</f>
        <v>0</v>
      </c>
      <c r="T9" s="702"/>
      <c r="U9" s="702"/>
      <c r="V9" s="702"/>
      <c r="W9" s="702"/>
      <c r="X9" s="711">
        <v>305</v>
      </c>
      <c r="Y9" s="712">
        <f t="shared" ref="Y9:Y31" si="4">ROUND(Q9+X9,0)</f>
        <v>305</v>
      </c>
    </row>
    <row r="10" s="131" customFormat="1" ht="27" customHeight="1" spans="1:25">
      <c r="A10" s="700">
        <v>204</v>
      </c>
      <c r="B10" s="54" t="s">
        <v>128</v>
      </c>
      <c r="C10" s="701">
        <f t="shared" ref="C10:C31" si="5">SUM(F10:I10)</f>
        <v>13360</v>
      </c>
      <c r="D10" s="702">
        <f t="shared" ref="D10:D31" si="6">E10+H10</f>
        <v>12892</v>
      </c>
      <c r="E10" s="702">
        <f t="shared" ref="E10:E31" si="7">F10+G10</f>
        <v>9310.76</v>
      </c>
      <c r="F10" s="702">
        <v>8692.4</v>
      </c>
      <c r="G10" s="702">
        <v>618.36</v>
      </c>
      <c r="H10" s="702">
        <v>3581.24</v>
      </c>
      <c r="I10" s="702">
        <v>468</v>
      </c>
      <c r="J10" s="701">
        <f t="shared" ref="J10:J31" si="8">SUM(M10:P10)</f>
        <v>-726.5778</v>
      </c>
      <c r="K10" s="702">
        <f t="shared" si="0"/>
        <v>-1025.5778</v>
      </c>
      <c r="L10" s="702">
        <f t="shared" si="1"/>
        <v>-163.2378</v>
      </c>
      <c r="M10" s="702">
        <f>工资福利汇总表!E8</f>
        <v>-227.8078</v>
      </c>
      <c r="N10" s="702">
        <f>对个人和家庭补助!V62</f>
        <v>64.57</v>
      </c>
      <c r="O10" s="702">
        <f>商品和服务支出!X140</f>
        <v>-862.34</v>
      </c>
      <c r="P10" s="702">
        <f>项目支出!P19</f>
        <v>299</v>
      </c>
      <c r="Q10" s="701">
        <f>SUM(T10:W10)</f>
        <v>12633.4222</v>
      </c>
      <c r="R10" s="702">
        <f t="shared" si="2"/>
        <v>11866.4222</v>
      </c>
      <c r="S10" s="702">
        <f t="shared" si="3"/>
        <v>9147.5222</v>
      </c>
      <c r="T10" s="702">
        <f t="shared" ref="T10:T31" si="9">F10+M10</f>
        <v>8464.5922</v>
      </c>
      <c r="U10" s="702">
        <f t="shared" ref="U10:U31" si="10">G10+N10</f>
        <v>682.93</v>
      </c>
      <c r="V10" s="702">
        <f t="shared" ref="V10:V31" si="11">H10+O10</f>
        <v>2718.9</v>
      </c>
      <c r="W10" s="702">
        <f t="shared" ref="W10:W31" si="12">I10+P10</f>
        <v>767</v>
      </c>
      <c r="X10" s="711">
        <v>1537</v>
      </c>
      <c r="Y10" s="712">
        <f t="shared" si="4"/>
        <v>14170</v>
      </c>
    </row>
    <row r="11" s="131" customFormat="1" ht="27" customHeight="1" spans="1:25">
      <c r="A11" s="700">
        <v>205</v>
      </c>
      <c r="B11" s="54" t="s">
        <v>129</v>
      </c>
      <c r="C11" s="701">
        <f t="shared" si="5"/>
        <v>69690.4304</v>
      </c>
      <c r="D11" s="702">
        <f t="shared" si="6"/>
        <v>66736.1564</v>
      </c>
      <c r="E11" s="702">
        <f t="shared" si="7"/>
        <v>62552.2564</v>
      </c>
      <c r="F11" s="702">
        <v>60637.92</v>
      </c>
      <c r="G11" s="702">
        <v>1914.3364</v>
      </c>
      <c r="H11" s="702">
        <v>4183.9</v>
      </c>
      <c r="I11" s="702">
        <v>2954.274</v>
      </c>
      <c r="J11" s="701">
        <f t="shared" si="8"/>
        <v>-3632.24836</v>
      </c>
      <c r="K11" s="702">
        <f t="shared" si="0"/>
        <v>-5912.61336</v>
      </c>
      <c r="L11" s="702">
        <f t="shared" si="1"/>
        <v>-7030.95336</v>
      </c>
      <c r="M11" s="702">
        <f>工资福利汇总表!E9</f>
        <v>-7358.12636</v>
      </c>
      <c r="N11" s="702">
        <f>对个人和家庭补助!V69</f>
        <v>327.173</v>
      </c>
      <c r="O11" s="702">
        <f>商品和服务支出!X152</f>
        <v>1118.34</v>
      </c>
      <c r="P11" s="702">
        <f>项目支出!P27</f>
        <v>2280.365</v>
      </c>
      <c r="Q11" s="701">
        <f t="shared" ref="Q10:Q31" si="13">SUM(T11:W11)</f>
        <v>66058.18204</v>
      </c>
      <c r="R11" s="702">
        <f t="shared" si="2"/>
        <v>60823.54304</v>
      </c>
      <c r="S11" s="702">
        <f t="shared" si="3"/>
        <v>55521.30304</v>
      </c>
      <c r="T11" s="702">
        <f t="shared" si="9"/>
        <v>53279.79364</v>
      </c>
      <c r="U11" s="702">
        <f t="shared" si="10"/>
        <v>2241.5094</v>
      </c>
      <c r="V11" s="702">
        <f t="shared" si="11"/>
        <v>5302.24</v>
      </c>
      <c r="W11" s="702">
        <f t="shared" si="12"/>
        <v>5234.639</v>
      </c>
      <c r="X11" s="711">
        <v>10994</v>
      </c>
      <c r="Y11" s="712">
        <f t="shared" si="4"/>
        <v>77052</v>
      </c>
    </row>
    <row r="12" s="131" customFormat="1" ht="27" customHeight="1" spans="1:25">
      <c r="A12" s="700">
        <v>206</v>
      </c>
      <c r="B12" s="54" t="s">
        <v>130</v>
      </c>
      <c r="C12" s="701">
        <f t="shared" si="5"/>
        <v>325.37</v>
      </c>
      <c r="D12" s="702">
        <f t="shared" si="6"/>
        <v>210.37</v>
      </c>
      <c r="E12" s="702">
        <f t="shared" si="7"/>
        <v>147.51</v>
      </c>
      <c r="F12" s="702">
        <v>144.11</v>
      </c>
      <c r="G12" s="702">
        <v>3.4</v>
      </c>
      <c r="H12" s="702">
        <v>62.86</v>
      </c>
      <c r="I12" s="702">
        <v>115</v>
      </c>
      <c r="J12" s="701">
        <f t="shared" si="8"/>
        <v>780.46756</v>
      </c>
      <c r="K12" s="702">
        <f t="shared" si="0"/>
        <v>780.46756</v>
      </c>
      <c r="L12" s="702">
        <f t="shared" si="1"/>
        <v>665.65756</v>
      </c>
      <c r="M12" s="702">
        <f>工资福利汇总表!E10</f>
        <v>610.83756</v>
      </c>
      <c r="N12" s="702">
        <f>对个人和家庭补助!V120</f>
        <v>54.82</v>
      </c>
      <c r="O12" s="702">
        <f>商品和服务支出!X224</f>
        <v>114.81</v>
      </c>
      <c r="P12" s="702">
        <f>项目支出!P52</f>
        <v>0</v>
      </c>
      <c r="Q12" s="701">
        <f t="shared" si="13"/>
        <v>1105.83756</v>
      </c>
      <c r="R12" s="702">
        <f t="shared" si="2"/>
        <v>990.83756</v>
      </c>
      <c r="S12" s="702">
        <f t="shared" si="3"/>
        <v>813.16756</v>
      </c>
      <c r="T12" s="702">
        <f t="shared" si="9"/>
        <v>754.94756</v>
      </c>
      <c r="U12" s="702">
        <f t="shared" si="10"/>
        <v>58.22</v>
      </c>
      <c r="V12" s="702">
        <f t="shared" si="11"/>
        <v>177.67</v>
      </c>
      <c r="W12" s="702">
        <f t="shared" si="12"/>
        <v>115</v>
      </c>
      <c r="X12" s="711">
        <v>670</v>
      </c>
      <c r="Y12" s="712">
        <f t="shared" si="4"/>
        <v>1776</v>
      </c>
    </row>
    <row r="13" s="131" customFormat="1" ht="27" customHeight="1" spans="1:25">
      <c r="A13" s="700">
        <v>207</v>
      </c>
      <c r="B13" s="54" t="s">
        <v>131</v>
      </c>
      <c r="C13" s="701">
        <f t="shared" si="5"/>
        <v>3795.324</v>
      </c>
      <c r="D13" s="702">
        <f t="shared" si="6"/>
        <v>2484.994</v>
      </c>
      <c r="E13" s="702">
        <f t="shared" si="7"/>
        <v>1756.554</v>
      </c>
      <c r="F13" s="702">
        <v>1726.85</v>
      </c>
      <c r="G13" s="702">
        <v>29.704</v>
      </c>
      <c r="H13" s="702">
        <v>728.44</v>
      </c>
      <c r="I13" s="702">
        <v>1310.33</v>
      </c>
      <c r="J13" s="701">
        <f t="shared" si="8"/>
        <v>1021.6626872</v>
      </c>
      <c r="K13" s="702">
        <f t="shared" si="0"/>
        <v>346.0526872</v>
      </c>
      <c r="L13" s="702">
        <f t="shared" si="1"/>
        <v>80.0626872</v>
      </c>
      <c r="M13" s="702">
        <f>工资福利汇总表!E11</f>
        <v>75.0996872</v>
      </c>
      <c r="N13" s="702">
        <f>对个人和家庭补助!V123</f>
        <v>4.963</v>
      </c>
      <c r="O13" s="702">
        <f>商品和服务支出!X229</f>
        <v>265.99</v>
      </c>
      <c r="P13" s="702">
        <f>项目支出!P59</f>
        <v>675.61</v>
      </c>
      <c r="Q13" s="701">
        <f t="shared" si="13"/>
        <v>4816.9866872</v>
      </c>
      <c r="R13" s="702">
        <f t="shared" si="2"/>
        <v>2831.0466872</v>
      </c>
      <c r="S13" s="702">
        <f t="shared" si="3"/>
        <v>1836.6166872</v>
      </c>
      <c r="T13" s="702">
        <f t="shared" si="9"/>
        <v>1801.9496872</v>
      </c>
      <c r="U13" s="702">
        <f t="shared" si="10"/>
        <v>34.667</v>
      </c>
      <c r="V13" s="702">
        <f t="shared" si="11"/>
        <v>994.43</v>
      </c>
      <c r="W13" s="702">
        <f t="shared" si="12"/>
        <v>1985.94</v>
      </c>
      <c r="X13" s="711">
        <v>1293</v>
      </c>
      <c r="Y13" s="712">
        <f t="shared" si="4"/>
        <v>6110</v>
      </c>
    </row>
    <row r="14" s="131" customFormat="1" ht="27" customHeight="1" spans="1:25">
      <c r="A14" s="700">
        <v>208</v>
      </c>
      <c r="B14" s="54" t="s">
        <v>132</v>
      </c>
      <c r="C14" s="701">
        <f t="shared" si="5"/>
        <v>29346.29</v>
      </c>
      <c r="D14" s="702">
        <f t="shared" si="6"/>
        <v>21131.696</v>
      </c>
      <c r="E14" s="702">
        <f t="shared" si="7"/>
        <v>20252.59</v>
      </c>
      <c r="F14" s="702">
        <v>3859.49</v>
      </c>
      <c r="G14" s="702">
        <v>16393.1</v>
      </c>
      <c r="H14" s="702">
        <v>879.106</v>
      </c>
      <c r="I14" s="702">
        <v>8214.594</v>
      </c>
      <c r="J14" s="701">
        <f t="shared" si="8"/>
        <v>128.99897336</v>
      </c>
      <c r="K14" s="702">
        <f t="shared" si="0"/>
        <v>425.08897336</v>
      </c>
      <c r="L14" s="702">
        <f t="shared" si="1"/>
        <v>379.78897336</v>
      </c>
      <c r="M14" s="702">
        <f>工资福利汇总表!E12</f>
        <v>42.62697336</v>
      </c>
      <c r="N14" s="702">
        <f>对个人和家庭补助!V131</f>
        <v>337.162</v>
      </c>
      <c r="O14" s="702">
        <f>商品和服务支出!X243</f>
        <v>45.3</v>
      </c>
      <c r="P14" s="702">
        <f>项目支出!P73</f>
        <v>-296.09</v>
      </c>
      <c r="Q14" s="701">
        <f t="shared" si="13"/>
        <v>29475.28897336</v>
      </c>
      <c r="R14" s="702">
        <f t="shared" si="2"/>
        <v>21556.78497336</v>
      </c>
      <c r="S14" s="702">
        <f t="shared" si="3"/>
        <v>20632.37897336</v>
      </c>
      <c r="T14" s="702">
        <f t="shared" si="9"/>
        <v>3902.11697336</v>
      </c>
      <c r="U14" s="702">
        <f t="shared" si="10"/>
        <v>16730.262</v>
      </c>
      <c r="V14" s="702">
        <f t="shared" si="11"/>
        <v>924.406</v>
      </c>
      <c r="W14" s="702">
        <f t="shared" si="12"/>
        <v>7918.504</v>
      </c>
      <c r="X14" s="711">
        <v>26376</v>
      </c>
      <c r="Y14" s="712">
        <f t="shared" si="4"/>
        <v>55851</v>
      </c>
    </row>
    <row r="15" s="131" customFormat="1" ht="27" customHeight="1" spans="1:25">
      <c r="A15" s="700">
        <v>210</v>
      </c>
      <c r="B15" s="54" t="s">
        <v>133</v>
      </c>
      <c r="C15" s="701">
        <f t="shared" si="5"/>
        <v>10258.9596</v>
      </c>
      <c r="D15" s="702">
        <f t="shared" si="6"/>
        <v>6889.6896</v>
      </c>
      <c r="E15" s="702">
        <f t="shared" si="7"/>
        <v>6180.2716</v>
      </c>
      <c r="F15" s="702">
        <v>6070.14</v>
      </c>
      <c r="G15" s="702">
        <v>110.1316</v>
      </c>
      <c r="H15" s="702">
        <v>709.418</v>
      </c>
      <c r="I15" s="702">
        <v>3369.27</v>
      </c>
      <c r="J15" s="701">
        <f t="shared" si="8"/>
        <v>1566.0264708</v>
      </c>
      <c r="K15" s="702">
        <f t="shared" si="0"/>
        <v>339.2644708</v>
      </c>
      <c r="L15" s="702">
        <f t="shared" si="1"/>
        <v>452.6744708</v>
      </c>
      <c r="M15" s="702">
        <f>工资福利汇总表!E13</f>
        <v>406.4644708</v>
      </c>
      <c r="N15" s="702">
        <f>对个人和家庭补助!V142</f>
        <v>46.21</v>
      </c>
      <c r="O15" s="702">
        <f>商品和服务支出!X258</f>
        <v>-113.41</v>
      </c>
      <c r="P15" s="702">
        <f>项目支出!P94</f>
        <v>1226.762</v>
      </c>
      <c r="Q15" s="701">
        <f t="shared" si="13"/>
        <v>11824.9860708</v>
      </c>
      <c r="R15" s="702">
        <f t="shared" si="2"/>
        <v>7228.9540708</v>
      </c>
      <c r="S15" s="702">
        <f t="shared" si="3"/>
        <v>6632.9460708</v>
      </c>
      <c r="T15" s="702">
        <f t="shared" si="9"/>
        <v>6476.6044708</v>
      </c>
      <c r="U15" s="702">
        <f t="shared" si="10"/>
        <v>156.3416</v>
      </c>
      <c r="V15" s="702">
        <f t="shared" si="11"/>
        <v>596.008</v>
      </c>
      <c r="W15" s="702">
        <f t="shared" si="12"/>
        <v>4596.032</v>
      </c>
      <c r="X15" s="711">
        <v>7497</v>
      </c>
      <c r="Y15" s="712">
        <f t="shared" si="4"/>
        <v>19322</v>
      </c>
    </row>
    <row r="16" s="131" customFormat="1" ht="27" customHeight="1" spans="1:25">
      <c r="A16" s="700">
        <v>211</v>
      </c>
      <c r="B16" s="54" t="s">
        <v>134</v>
      </c>
      <c r="C16" s="701">
        <f t="shared" si="5"/>
        <v>5536.25</v>
      </c>
      <c r="D16" s="702">
        <f t="shared" si="6"/>
        <v>0</v>
      </c>
      <c r="E16" s="702">
        <f t="shared" si="7"/>
        <v>0</v>
      </c>
      <c r="F16" s="702">
        <v>0</v>
      </c>
      <c r="G16" s="702"/>
      <c r="H16" s="702"/>
      <c r="I16" s="702">
        <v>5536.25</v>
      </c>
      <c r="J16" s="701">
        <f t="shared" si="8"/>
        <v>-1053.97</v>
      </c>
      <c r="K16" s="702">
        <f t="shared" si="0"/>
        <v>77.34</v>
      </c>
      <c r="L16" s="702">
        <f t="shared" si="1"/>
        <v>0</v>
      </c>
      <c r="M16" s="702"/>
      <c r="N16" s="702"/>
      <c r="O16" s="702">
        <f>商品和服务支出!X268</f>
        <v>77.34</v>
      </c>
      <c r="P16" s="702">
        <f>项目支出!P117</f>
        <v>-1131.31</v>
      </c>
      <c r="Q16" s="701">
        <f t="shared" si="13"/>
        <v>4482.28</v>
      </c>
      <c r="R16" s="702">
        <f t="shared" si="2"/>
        <v>77.34</v>
      </c>
      <c r="S16" s="702">
        <f t="shared" si="3"/>
        <v>0</v>
      </c>
      <c r="T16" s="702">
        <f t="shared" si="9"/>
        <v>0</v>
      </c>
      <c r="U16" s="702">
        <f t="shared" si="10"/>
        <v>0</v>
      </c>
      <c r="V16" s="702">
        <f t="shared" si="11"/>
        <v>77.34</v>
      </c>
      <c r="W16" s="702">
        <f t="shared" si="12"/>
        <v>4404.94</v>
      </c>
      <c r="X16" s="711">
        <v>13100</v>
      </c>
      <c r="Y16" s="712">
        <f t="shared" si="4"/>
        <v>17582</v>
      </c>
    </row>
    <row r="17" s="131" customFormat="1" ht="27" customHeight="1" spans="1:25">
      <c r="A17" s="700">
        <v>212</v>
      </c>
      <c r="B17" s="54" t="s">
        <v>135</v>
      </c>
      <c r="C17" s="701">
        <f t="shared" si="5"/>
        <v>6670.268</v>
      </c>
      <c r="D17" s="702">
        <f t="shared" si="6"/>
        <v>3080.278</v>
      </c>
      <c r="E17" s="702">
        <f t="shared" si="7"/>
        <v>2562.238</v>
      </c>
      <c r="F17" s="702">
        <v>2534.15</v>
      </c>
      <c r="G17" s="702">
        <v>28.088</v>
      </c>
      <c r="H17" s="702">
        <v>518.04</v>
      </c>
      <c r="I17" s="702">
        <v>3589.99</v>
      </c>
      <c r="J17" s="701">
        <f t="shared" si="8"/>
        <v>4046.23292648</v>
      </c>
      <c r="K17" s="702">
        <f t="shared" si="0"/>
        <v>340.45792648</v>
      </c>
      <c r="L17" s="702">
        <f t="shared" si="1"/>
        <v>-79.41207352</v>
      </c>
      <c r="M17" s="702">
        <f>工资福利汇总表!E14</f>
        <v>-87.31707352</v>
      </c>
      <c r="N17" s="702">
        <f>对个人和家庭补助!V164</f>
        <v>7.905</v>
      </c>
      <c r="O17" s="702">
        <f>商品和服务支出!X270</f>
        <v>419.87</v>
      </c>
      <c r="P17" s="702">
        <f>项目支出!P139</f>
        <v>3705.775</v>
      </c>
      <c r="Q17" s="701">
        <f t="shared" si="13"/>
        <v>10716.50092648</v>
      </c>
      <c r="R17" s="702">
        <f t="shared" si="2"/>
        <v>3420.73592648</v>
      </c>
      <c r="S17" s="702">
        <f t="shared" si="3"/>
        <v>2482.82592648</v>
      </c>
      <c r="T17" s="702">
        <f t="shared" si="9"/>
        <v>2446.83292648</v>
      </c>
      <c r="U17" s="702">
        <f t="shared" si="10"/>
        <v>35.993</v>
      </c>
      <c r="V17" s="702">
        <f t="shared" si="11"/>
        <v>937.91</v>
      </c>
      <c r="W17" s="702">
        <f t="shared" si="12"/>
        <v>7295.765</v>
      </c>
      <c r="X17" s="711">
        <v>2772</v>
      </c>
      <c r="Y17" s="712">
        <f t="shared" si="4"/>
        <v>13489</v>
      </c>
    </row>
    <row r="18" s="131" customFormat="1" ht="27" customHeight="1" spans="1:25">
      <c r="A18" s="700">
        <v>213</v>
      </c>
      <c r="B18" s="54" t="s">
        <v>136</v>
      </c>
      <c r="C18" s="701">
        <f t="shared" si="5"/>
        <v>15145.8055</v>
      </c>
      <c r="D18" s="702">
        <f t="shared" si="6"/>
        <v>11806.656</v>
      </c>
      <c r="E18" s="702">
        <f t="shared" si="7"/>
        <v>9980.016</v>
      </c>
      <c r="F18" s="702">
        <v>5424.99</v>
      </c>
      <c r="G18" s="702">
        <v>4555.026</v>
      </c>
      <c r="H18" s="702">
        <v>1826.64</v>
      </c>
      <c r="I18" s="702">
        <v>3339.1495</v>
      </c>
      <c r="J18" s="701">
        <f t="shared" si="8"/>
        <v>3989.93834</v>
      </c>
      <c r="K18" s="702">
        <f t="shared" si="0"/>
        <v>635.82834</v>
      </c>
      <c r="L18" s="702">
        <f t="shared" si="1"/>
        <v>-55.72166</v>
      </c>
      <c r="M18" s="702">
        <f>工资福利汇总表!E15</f>
        <v>-61.97166</v>
      </c>
      <c r="N18" s="702">
        <f>对个人和家庭补助!V173</f>
        <v>6.25</v>
      </c>
      <c r="O18" s="702">
        <f>商品和服务支出!X282</f>
        <v>691.55</v>
      </c>
      <c r="P18" s="702">
        <f>项目支出!P164</f>
        <v>3354.11</v>
      </c>
      <c r="Q18" s="701">
        <f t="shared" si="13"/>
        <v>19135.74384</v>
      </c>
      <c r="R18" s="702">
        <f t="shared" si="2"/>
        <v>12442.48434</v>
      </c>
      <c r="S18" s="702">
        <f t="shared" si="3"/>
        <v>9924.29434</v>
      </c>
      <c r="T18" s="702">
        <f t="shared" si="9"/>
        <v>5363.01834</v>
      </c>
      <c r="U18" s="702">
        <f t="shared" si="10"/>
        <v>4561.276</v>
      </c>
      <c r="V18" s="702">
        <f t="shared" si="11"/>
        <v>2518.19</v>
      </c>
      <c r="W18" s="702">
        <f t="shared" si="12"/>
        <v>6693.2595</v>
      </c>
      <c r="X18" s="711">
        <v>55130</v>
      </c>
      <c r="Y18" s="712">
        <f t="shared" si="4"/>
        <v>74266</v>
      </c>
    </row>
    <row r="19" s="131" customFormat="1" ht="27" customHeight="1" spans="1:25">
      <c r="A19" s="700">
        <v>214</v>
      </c>
      <c r="B19" s="54" t="s">
        <v>137</v>
      </c>
      <c r="C19" s="701">
        <f t="shared" si="5"/>
        <v>2045.97</v>
      </c>
      <c r="D19" s="702">
        <f t="shared" si="6"/>
        <v>1114.97</v>
      </c>
      <c r="E19" s="702">
        <f t="shared" si="7"/>
        <v>959.51</v>
      </c>
      <c r="F19" s="702">
        <v>930.7</v>
      </c>
      <c r="G19" s="702">
        <v>28.81</v>
      </c>
      <c r="H19" s="702">
        <v>155.46</v>
      </c>
      <c r="I19" s="702">
        <v>931</v>
      </c>
      <c r="J19" s="701">
        <f t="shared" si="8"/>
        <v>6079.7635608</v>
      </c>
      <c r="K19" s="702">
        <f t="shared" si="0"/>
        <v>113.3323888</v>
      </c>
      <c r="L19" s="702">
        <f t="shared" si="1"/>
        <v>21.5223888</v>
      </c>
      <c r="M19" s="702">
        <f>工资福利汇总表!E16</f>
        <v>16.8723888</v>
      </c>
      <c r="N19" s="702">
        <f>对个人和家庭补助!V200</f>
        <v>4.65</v>
      </c>
      <c r="O19" s="702">
        <f>商品和服务支出!X309</f>
        <v>91.81</v>
      </c>
      <c r="P19" s="702">
        <f>项目支出!P238</f>
        <v>5966.431172</v>
      </c>
      <c r="Q19" s="701">
        <f t="shared" si="13"/>
        <v>8125.7335608</v>
      </c>
      <c r="R19" s="702">
        <f t="shared" si="2"/>
        <v>1228.3023888</v>
      </c>
      <c r="S19" s="702">
        <f t="shared" si="3"/>
        <v>981.0323888</v>
      </c>
      <c r="T19" s="702">
        <f t="shared" si="9"/>
        <v>947.5723888</v>
      </c>
      <c r="U19" s="702">
        <f t="shared" si="10"/>
        <v>33.46</v>
      </c>
      <c r="V19" s="702">
        <f t="shared" si="11"/>
        <v>247.27</v>
      </c>
      <c r="W19" s="702">
        <f t="shared" si="12"/>
        <v>6897.431172</v>
      </c>
      <c r="X19" s="711">
        <v>6573</v>
      </c>
      <c r="Y19" s="712">
        <f t="shared" si="4"/>
        <v>14699</v>
      </c>
    </row>
    <row r="20" s="131" customFormat="1" ht="27" customHeight="1" spans="1:25">
      <c r="A20" s="700">
        <v>215</v>
      </c>
      <c r="B20" s="54" t="s">
        <v>138</v>
      </c>
      <c r="C20" s="701">
        <f t="shared" si="5"/>
        <v>849.01</v>
      </c>
      <c r="D20" s="702">
        <f t="shared" si="6"/>
        <v>0</v>
      </c>
      <c r="E20" s="702">
        <f t="shared" si="7"/>
        <v>0</v>
      </c>
      <c r="F20" s="702">
        <v>0</v>
      </c>
      <c r="G20" s="702"/>
      <c r="H20" s="702"/>
      <c r="I20" s="702">
        <v>849.01</v>
      </c>
      <c r="J20" s="701">
        <f t="shared" si="8"/>
        <v>-507.08</v>
      </c>
      <c r="K20" s="702">
        <f t="shared" si="0"/>
        <v>28</v>
      </c>
      <c r="L20" s="702">
        <f t="shared" si="1"/>
        <v>0</v>
      </c>
      <c r="M20" s="702"/>
      <c r="N20" s="702"/>
      <c r="O20" s="702">
        <f>商品和服务支出!X318</f>
        <v>28</v>
      </c>
      <c r="P20" s="702">
        <f>项目支出!P250</f>
        <v>-535.08</v>
      </c>
      <c r="Q20" s="701">
        <f t="shared" si="13"/>
        <v>341.93</v>
      </c>
      <c r="R20" s="702">
        <f t="shared" si="2"/>
        <v>28</v>
      </c>
      <c r="S20" s="702">
        <f t="shared" si="3"/>
        <v>0</v>
      </c>
      <c r="T20" s="702">
        <f t="shared" si="9"/>
        <v>0</v>
      </c>
      <c r="U20" s="702">
        <f t="shared" si="10"/>
        <v>0</v>
      </c>
      <c r="V20" s="702">
        <f t="shared" si="11"/>
        <v>28</v>
      </c>
      <c r="W20" s="702">
        <f t="shared" si="12"/>
        <v>313.93</v>
      </c>
      <c r="X20" s="711">
        <v>1247</v>
      </c>
      <c r="Y20" s="712">
        <f t="shared" si="4"/>
        <v>1589</v>
      </c>
    </row>
    <row r="21" s="131" customFormat="1" ht="27" customHeight="1" spans="1:25">
      <c r="A21" s="700">
        <v>216</v>
      </c>
      <c r="B21" s="54" t="s">
        <v>139</v>
      </c>
      <c r="C21" s="701">
        <f t="shared" si="5"/>
        <v>260.2884</v>
      </c>
      <c r="D21" s="702">
        <f t="shared" si="6"/>
        <v>260.2884</v>
      </c>
      <c r="E21" s="702">
        <f t="shared" si="7"/>
        <v>242.4884</v>
      </c>
      <c r="F21" s="702">
        <v>221.5</v>
      </c>
      <c r="G21" s="702">
        <v>20.9884</v>
      </c>
      <c r="H21" s="702">
        <v>17.8</v>
      </c>
      <c r="I21" s="702">
        <v>0</v>
      </c>
      <c r="J21" s="701">
        <f t="shared" si="8"/>
        <v>70.13704</v>
      </c>
      <c r="K21" s="702">
        <f t="shared" si="0"/>
        <v>50.13704</v>
      </c>
      <c r="L21" s="702">
        <f t="shared" si="1"/>
        <v>-23.21296</v>
      </c>
      <c r="M21" s="702">
        <f>工资福利汇总表!E17</f>
        <v>-24.29296</v>
      </c>
      <c r="N21" s="702">
        <f>对个人和家庭补助!V204</f>
        <v>1.08</v>
      </c>
      <c r="O21" s="702">
        <f>商品和服务支出!X324</f>
        <v>73.35</v>
      </c>
      <c r="P21" s="702">
        <f>项目支出!P267</f>
        <v>20</v>
      </c>
      <c r="Q21" s="701">
        <f t="shared" si="13"/>
        <v>330.42544</v>
      </c>
      <c r="R21" s="702">
        <f t="shared" si="2"/>
        <v>310.42544</v>
      </c>
      <c r="S21" s="702">
        <f t="shared" si="3"/>
        <v>219.27544</v>
      </c>
      <c r="T21" s="702">
        <f t="shared" si="9"/>
        <v>197.20704</v>
      </c>
      <c r="U21" s="702">
        <f t="shared" si="10"/>
        <v>22.0684</v>
      </c>
      <c r="V21" s="702">
        <f t="shared" si="11"/>
        <v>91.15</v>
      </c>
      <c r="W21" s="702">
        <f t="shared" si="12"/>
        <v>20</v>
      </c>
      <c r="X21" s="711">
        <v>820</v>
      </c>
      <c r="Y21" s="712">
        <f t="shared" si="4"/>
        <v>1150</v>
      </c>
    </row>
    <row r="22" s="131" customFormat="1" ht="27" customHeight="1" spans="1:25">
      <c r="A22" s="700">
        <v>217</v>
      </c>
      <c r="B22" s="54" t="s">
        <v>140</v>
      </c>
      <c r="C22" s="701">
        <f t="shared" si="5"/>
        <v>164</v>
      </c>
      <c r="D22" s="702">
        <f t="shared" si="6"/>
        <v>164</v>
      </c>
      <c r="E22" s="702">
        <f t="shared" si="7"/>
        <v>0</v>
      </c>
      <c r="F22" s="702">
        <v>0</v>
      </c>
      <c r="G22" s="702"/>
      <c r="H22" s="702">
        <v>164</v>
      </c>
      <c r="I22" s="702">
        <v>0</v>
      </c>
      <c r="J22" s="701">
        <f t="shared" si="8"/>
        <v>-70</v>
      </c>
      <c r="K22" s="702">
        <f t="shared" si="0"/>
        <v>-70</v>
      </c>
      <c r="L22" s="702">
        <f t="shared" si="1"/>
        <v>0</v>
      </c>
      <c r="M22" s="702"/>
      <c r="N22" s="702"/>
      <c r="O22" s="702">
        <f>商品和服务支出!X328</f>
        <v>-70</v>
      </c>
      <c r="P22" s="702">
        <f>项目支出!P269</f>
        <v>0</v>
      </c>
      <c r="Q22" s="701">
        <f t="shared" si="13"/>
        <v>94</v>
      </c>
      <c r="R22" s="702">
        <f t="shared" si="2"/>
        <v>94</v>
      </c>
      <c r="S22" s="702">
        <f t="shared" si="3"/>
        <v>0</v>
      </c>
      <c r="T22" s="702">
        <f t="shared" si="9"/>
        <v>0</v>
      </c>
      <c r="U22" s="702">
        <f t="shared" si="10"/>
        <v>0</v>
      </c>
      <c r="V22" s="702">
        <f t="shared" si="11"/>
        <v>94</v>
      </c>
      <c r="W22" s="702">
        <f t="shared" si="12"/>
        <v>0</v>
      </c>
      <c r="X22" s="711">
        <v>609</v>
      </c>
      <c r="Y22" s="712">
        <f t="shared" si="4"/>
        <v>703</v>
      </c>
    </row>
    <row r="23" s="131" customFormat="1" ht="27" customHeight="1" spans="1:25">
      <c r="A23" s="700">
        <v>219</v>
      </c>
      <c r="B23" s="54" t="s">
        <v>141</v>
      </c>
      <c r="C23" s="701">
        <f t="shared" si="5"/>
        <v>0</v>
      </c>
      <c r="D23" s="702">
        <f t="shared" si="6"/>
        <v>0</v>
      </c>
      <c r="E23" s="702">
        <f t="shared" si="7"/>
        <v>0</v>
      </c>
      <c r="F23" s="702">
        <v>0</v>
      </c>
      <c r="G23" s="702"/>
      <c r="H23" s="702"/>
      <c r="I23" s="702"/>
      <c r="J23" s="701">
        <f t="shared" si="8"/>
        <v>0</v>
      </c>
      <c r="K23" s="702">
        <f t="shared" si="0"/>
        <v>0</v>
      </c>
      <c r="L23" s="702">
        <f t="shared" si="1"/>
        <v>0</v>
      </c>
      <c r="M23" s="702"/>
      <c r="N23" s="702"/>
      <c r="O23" s="702"/>
      <c r="P23" s="702"/>
      <c r="Q23" s="701">
        <f t="shared" si="13"/>
        <v>0</v>
      </c>
      <c r="R23" s="702">
        <f t="shared" si="2"/>
        <v>0</v>
      </c>
      <c r="S23" s="702">
        <f t="shared" si="3"/>
        <v>0</v>
      </c>
      <c r="T23" s="702">
        <f t="shared" si="9"/>
        <v>0</v>
      </c>
      <c r="U23" s="702">
        <f t="shared" si="10"/>
        <v>0</v>
      </c>
      <c r="V23" s="702">
        <f t="shared" si="11"/>
        <v>0</v>
      </c>
      <c r="W23" s="702">
        <f t="shared" si="12"/>
        <v>0</v>
      </c>
      <c r="X23" s="711"/>
      <c r="Y23" s="712"/>
    </row>
    <row r="24" s="131" customFormat="1" ht="27" customHeight="1" spans="1:25">
      <c r="A24" s="700">
        <v>220</v>
      </c>
      <c r="B24" s="54" t="s">
        <v>142</v>
      </c>
      <c r="C24" s="701">
        <f t="shared" si="5"/>
        <v>3002.546</v>
      </c>
      <c r="D24" s="702">
        <f t="shared" si="6"/>
        <v>2895.776</v>
      </c>
      <c r="E24" s="702">
        <f t="shared" si="7"/>
        <v>2033.526</v>
      </c>
      <c r="F24" s="702">
        <v>2009.99</v>
      </c>
      <c r="G24" s="702">
        <v>23.536</v>
      </c>
      <c r="H24" s="702">
        <v>862.25</v>
      </c>
      <c r="I24" s="702">
        <v>106.77</v>
      </c>
      <c r="J24" s="701">
        <f t="shared" si="8"/>
        <v>732.9603544</v>
      </c>
      <c r="K24" s="702">
        <f t="shared" si="0"/>
        <v>616.4603544</v>
      </c>
      <c r="L24" s="702">
        <f t="shared" si="1"/>
        <v>36.2582544</v>
      </c>
      <c r="M24" s="702">
        <f>工资福利汇总表!E18</f>
        <v>32.1482544</v>
      </c>
      <c r="N24" s="702">
        <f>对个人和家庭补助!V206</f>
        <v>4.11</v>
      </c>
      <c r="O24" s="702">
        <f>商品和服务支出!X331</f>
        <v>580.2021</v>
      </c>
      <c r="P24" s="702">
        <f>项目支出!P271</f>
        <v>116.5</v>
      </c>
      <c r="Q24" s="701">
        <f t="shared" si="13"/>
        <v>3735.5063544</v>
      </c>
      <c r="R24" s="702">
        <f t="shared" si="2"/>
        <v>3512.2363544</v>
      </c>
      <c r="S24" s="702">
        <f t="shared" si="3"/>
        <v>2069.7842544</v>
      </c>
      <c r="T24" s="702">
        <f t="shared" si="9"/>
        <v>2042.1382544</v>
      </c>
      <c r="U24" s="702">
        <f t="shared" si="10"/>
        <v>27.646</v>
      </c>
      <c r="V24" s="702">
        <f t="shared" si="11"/>
        <v>1442.4521</v>
      </c>
      <c r="W24" s="702">
        <f t="shared" si="12"/>
        <v>223.27</v>
      </c>
      <c r="X24" s="711">
        <v>565</v>
      </c>
      <c r="Y24" s="712">
        <f t="shared" ref="Y24:Y32" si="14">ROUND(Q24+X24,0)</f>
        <v>4301</v>
      </c>
    </row>
    <row r="25" s="131" customFormat="1" ht="27" customHeight="1" spans="1:25">
      <c r="A25" s="700">
        <v>221</v>
      </c>
      <c r="B25" s="54" t="s">
        <v>143</v>
      </c>
      <c r="C25" s="701">
        <f t="shared" si="5"/>
        <v>0</v>
      </c>
      <c r="D25" s="702">
        <f t="shared" si="6"/>
        <v>0</v>
      </c>
      <c r="E25" s="702">
        <f t="shared" si="7"/>
        <v>0</v>
      </c>
      <c r="F25" s="702">
        <v>0</v>
      </c>
      <c r="G25" s="702"/>
      <c r="H25" s="702"/>
      <c r="I25" s="702"/>
      <c r="J25" s="701">
        <f t="shared" si="8"/>
        <v>0</v>
      </c>
      <c r="K25" s="702">
        <f t="shared" si="0"/>
        <v>0</v>
      </c>
      <c r="L25" s="702">
        <f t="shared" si="1"/>
        <v>0</v>
      </c>
      <c r="M25" s="702"/>
      <c r="N25" s="702"/>
      <c r="O25" s="702"/>
      <c r="P25" s="702"/>
      <c r="Q25" s="701">
        <f t="shared" si="13"/>
        <v>0</v>
      </c>
      <c r="R25" s="702">
        <f t="shared" si="2"/>
        <v>0</v>
      </c>
      <c r="S25" s="702">
        <f t="shared" si="3"/>
        <v>0</v>
      </c>
      <c r="T25" s="702">
        <f t="shared" si="9"/>
        <v>0</v>
      </c>
      <c r="U25" s="702">
        <f t="shared" si="10"/>
        <v>0</v>
      </c>
      <c r="V25" s="702">
        <f t="shared" si="11"/>
        <v>0</v>
      </c>
      <c r="W25" s="702">
        <f t="shared" si="12"/>
        <v>0</v>
      </c>
      <c r="X25" s="711">
        <v>3782</v>
      </c>
      <c r="Y25" s="712">
        <f t="shared" si="14"/>
        <v>3782</v>
      </c>
    </row>
    <row r="26" s="131" customFormat="1" ht="27" customHeight="1" spans="1:25">
      <c r="A26" s="700">
        <v>222</v>
      </c>
      <c r="B26" s="54" t="s">
        <v>144</v>
      </c>
      <c r="C26" s="701">
        <f t="shared" si="5"/>
        <v>407</v>
      </c>
      <c r="D26" s="702">
        <f t="shared" si="6"/>
        <v>0</v>
      </c>
      <c r="E26" s="702">
        <f t="shared" si="7"/>
        <v>0</v>
      </c>
      <c r="F26" s="702">
        <v>0</v>
      </c>
      <c r="G26" s="702"/>
      <c r="H26" s="702"/>
      <c r="I26" s="702">
        <v>407</v>
      </c>
      <c r="J26" s="701">
        <f t="shared" si="8"/>
        <v>-30</v>
      </c>
      <c r="K26" s="702">
        <f t="shared" si="0"/>
        <v>0</v>
      </c>
      <c r="L26" s="702">
        <f t="shared" si="1"/>
        <v>0</v>
      </c>
      <c r="M26" s="702"/>
      <c r="N26" s="702"/>
      <c r="O26" s="702"/>
      <c r="P26" s="702">
        <f>项目支出!P283</f>
        <v>-30</v>
      </c>
      <c r="Q26" s="701">
        <f t="shared" si="13"/>
        <v>377</v>
      </c>
      <c r="R26" s="702">
        <f t="shared" si="2"/>
        <v>0</v>
      </c>
      <c r="S26" s="702">
        <f t="shared" si="3"/>
        <v>0</v>
      </c>
      <c r="T26" s="702">
        <f t="shared" si="9"/>
        <v>0</v>
      </c>
      <c r="U26" s="702">
        <f t="shared" si="10"/>
        <v>0</v>
      </c>
      <c r="V26" s="702">
        <f t="shared" si="11"/>
        <v>0</v>
      </c>
      <c r="W26" s="702">
        <f t="shared" si="12"/>
        <v>377</v>
      </c>
      <c r="X26" s="711">
        <v>152</v>
      </c>
      <c r="Y26" s="712">
        <f t="shared" si="14"/>
        <v>529</v>
      </c>
    </row>
    <row r="27" s="131" customFormat="1" ht="27" customHeight="1" spans="1:25">
      <c r="A27" s="700">
        <v>224</v>
      </c>
      <c r="B27" s="54" t="s">
        <v>145</v>
      </c>
      <c r="C27" s="701">
        <f t="shared" si="5"/>
        <v>1730.94</v>
      </c>
      <c r="D27" s="702">
        <f t="shared" si="6"/>
        <v>1245.44</v>
      </c>
      <c r="E27" s="702">
        <f t="shared" si="7"/>
        <v>1071.51</v>
      </c>
      <c r="F27" s="702">
        <v>1071.11</v>
      </c>
      <c r="G27" s="702">
        <v>0.4</v>
      </c>
      <c r="H27" s="702">
        <v>173.93</v>
      </c>
      <c r="I27" s="702">
        <v>485.5</v>
      </c>
      <c r="J27" s="701">
        <f t="shared" si="8"/>
        <v>391.96916</v>
      </c>
      <c r="K27" s="702">
        <f t="shared" si="0"/>
        <v>511.46916</v>
      </c>
      <c r="L27" s="702">
        <f t="shared" si="1"/>
        <v>-22.34084</v>
      </c>
      <c r="M27" s="702">
        <f>工资福利汇总表!E19</f>
        <v>-26.04084</v>
      </c>
      <c r="N27" s="702">
        <f>对个人和家庭补助!V212</f>
        <v>3.7</v>
      </c>
      <c r="O27" s="702">
        <f>商品和服务支出!X339</f>
        <v>533.81</v>
      </c>
      <c r="P27" s="702">
        <f>项目支出!P286</f>
        <v>-119.5</v>
      </c>
      <c r="Q27" s="701">
        <f t="shared" si="13"/>
        <v>2122.90916</v>
      </c>
      <c r="R27" s="702">
        <f t="shared" si="2"/>
        <v>1756.90916</v>
      </c>
      <c r="S27" s="702">
        <f t="shared" si="3"/>
        <v>1049.16916</v>
      </c>
      <c r="T27" s="702">
        <f t="shared" si="9"/>
        <v>1045.06916</v>
      </c>
      <c r="U27" s="702">
        <f t="shared" si="10"/>
        <v>4.1</v>
      </c>
      <c r="V27" s="702">
        <f t="shared" si="11"/>
        <v>707.74</v>
      </c>
      <c r="W27" s="702">
        <f t="shared" si="12"/>
        <v>366</v>
      </c>
      <c r="X27" s="711">
        <v>4629</v>
      </c>
      <c r="Y27" s="712">
        <f t="shared" si="14"/>
        <v>6752</v>
      </c>
    </row>
    <row r="28" s="131" customFormat="1" ht="27" customHeight="1" spans="1:25">
      <c r="A28" s="700">
        <v>227</v>
      </c>
      <c r="B28" s="54" t="s">
        <v>146</v>
      </c>
      <c r="C28" s="701">
        <f t="shared" si="5"/>
        <v>3100</v>
      </c>
      <c r="D28" s="702">
        <f t="shared" si="6"/>
        <v>0</v>
      </c>
      <c r="E28" s="702">
        <f t="shared" si="7"/>
        <v>0</v>
      </c>
      <c r="F28" s="702"/>
      <c r="G28" s="702"/>
      <c r="H28" s="702"/>
      <c r="I28" s="702">
        <v>3100</v>
      </c>
      <c r="J28" s="701">
        <f t="shared" si="8"/>
        <v>-3100</v>
      </c>
      <c r="K28" s="702">
        <f t="shared" si="0"/>
        <v>0</v>
      </c>
      <c r="L28" s="702">
        <f t="shared" si="1"/>
        <v>0</v>
      </c>
      <c r="M28" s="702"/>
      <c r="N28" s="702"/>
      <c r="O28" s="702"/>
      <c r="P28" s="702">
        <f>项目支出!P301</f>
        <v>-3100</v>
      </c>
      <c r="Q28" s="701">
        <f t="shared" si="13"/>
        <v>0</v>
      </c>
      <c r="R28" s="702">
        <f t="shared" si="2"/>
        <v>0</v>
      </c>
      <c r="S28" s="702">
        <f t="shared" si="3"/>
        <v>0</v>
      </c>
      <c r="T28" s="702">
        <f t="shared" si="9"/>
        <v>0</v>
      </c>
      <c r="U28" s="702">
        <f t="shared" si="10"/>
        <v>0</v>
      </c>
      <c r="V28" s="702">
        <f t="shared" si="11"/>
        <v>0</v>
      </c>
      <c r="W28" s="702">
        <f t="shared" si="12"/>
        <v>0</v>
      </c>
      <c r="X28" s="711"/>
      <c r="Y28" s="712">
        <f t="shared" si="14"/>
        <v>0</v>
      </c>
    </row>
    <row r="29" s="131" customFormat="1" ht="27" customHeight="1" spans="1:25">
      <c r="A29" s="58">
        <v>229</v>
      </c>
      <c r="B29" s="59" t="s">
        <v>147</v>
      </c>
      <c r="C29" s="701">
        <f t="shared" si="5"/>
        <v>180</v>
      </c>
      <c r="D29" s="702">
        <f t="shared" si="6"/>
        <v>0</v>
      </c>
      <c r="E29" s="702">
        <f t="shared" si="7"/>
        <v>0</v>
      </c>
      <c r="F29" s="702"/>
      <c r="G29" s="702"/>
      <c r="H29" s="702"/>
      <c r="I29" s="702">
        <v>180</v>
      </c>
      <c r="J29" s="701">
        <f t="shared" si="8"/>
        <v>-4</v>
      </c>
      <c r="K29" s="702">
        <f t="shared" si="0"/>
        <v>0</v>
      </c>
      <c r="L29" s="702">
        <f t="shared" si="1"/>
        <v>0</v>
      </c>
      <c r="M29" s="702"/>
      <c r="N29" s="702"/>
      <c r="O29" s="702"/>
      <c r="P29" s="702">
        <f>项目支出!P303</f>
        <v>-4</v>
      </c>
      <c r="Q29" s="701">
        <f t="shared" si="13"/>
        <v>176</v>
      </c>
      <c r="R29" s="702">
        <f t="shared" si="2"/>
        <v>0</v>
      </c>
      <c r="S29" s="702">
        <f t="shared" si="3"/>
        <v>0</v>
      </c>
      <c r="T29" s="702">
        <f t="shared" si="9"/>
        <v>0</v>
      </c>
      <c r="U29" s="702">
        <f t="shared" si="10"/>
        <v>0</v>
      </c>
      <c r="V29" s="702">
        <f t="shared" si="11"/>
        <v>0</v>
      </c>
      <c r="W29" s="702">
        <f t="shared" si="12"/>
        <v>176</v>
      </c>
      <c r="X29" s="711"/>
      <c r="Y29" s="712">
        <f t="shared" si="14"/>
        <v>176</v>
      </c>
    </row>
    <row r="30" s="131" customFormat="1" ht="27" customHeight="1" spans="1:25">
      <c r="A30" s="703">
        <v>232</v>
      </c>
      <c r="B30" s="59" t="s">
        <v>148</v>
      </c>
      <c r="C30" s="701">
        <f t="shared" si="5"/>
        <v>9840</v>
      </c>
      <c r="D30" s="702">
        <f t="shared" si="6"/>
        <v>0</v>
      </c>
      <c r="E30" s="702">
        <f t="shared" si="7"/>
        <v>0</v>
      </c>
      <c r="F30" s="702"/>
      <c r="G30" s="702"/>
      <c r="H30" s="702"/>
      <c r="I30" s="702">
        <v>9840</v>
      </c>
      <c r="J30" s="701">
        <f t="shared" si="8"/>
        <v>-60.1</v>
      </c>
      <c r="K30" s="702">
        <f t="shared" si="0"/>
        <v>0</v>
      </c>
      <c r="L30" s="702">
        <f t="shared" si="1"/>
        <v>0</v>
      </c>
      <c r="M30" s="702"/>
      <c r="N30" s="702"/>
      <c r="O30" s="702"/>
      <c r="P30" s="702">
        <f>项目支出!P306</f>
        <v>-60.1</v>
      </c>
      <c r="Q30" s="701">
        <f t="shared" si="13"/>
        <v>9779.9</v>
      </c>
      <c r="R30" s="702">
        <f t="shared" si="2"/>
        <v>0</v>
      </c>
      <c r="S30" s="702">
        <f t="shared" si="3"/>
        <v>0</v>
      </c>
      <c r="T30" s="702">
        <f t="shared" si="9"/>
        <v>0</v>
      </c>
      <c r="U30" s="702">
        <f t="shared" si="10"/>
        <v>0</v>
      </c>
      <c r="V30" s="702">
        <f t="shared" si="11"/>
        <v>0</v>
      </c>
      <c r="W30" s="702">
        <f t="shared" si="12"/>
        <v>9779.9</v>
      </c>
      <c r="X30" s="711"/>
      <c r="Y30" s="712">
        <f t="shared" si="14"/>
        <v>9780</v>
      </c>
    </row>
    <row r="31" s="131" customFormat="1" ht="27" customHeight="1" spans="1:25">
      <c r="A31" s="703">
        <v>233</v>
      </c>
      <c r="B31" s="59" t="s">
        <v>149</v>
      </c>
      <c r="C31" s="701">
        <f t="shared" si="5"/>
        <v>50</v>
      </c>
      <c r="D31" s="702">
        <f t="shared" si="6"/>
        <v>0</v>
      </c>
      <c r="E31" s="702">
        <f t="shared" si="7"/>
        <v>0</v>
      </c>
      <c r="F31" s="702"/>
      <c r="G31" s="702"/>
      <c r="H31" s="702"/>
      <c r="I31" s="702">
        <v>50</v>
      </c>
      <c r="J31" s="701">
        <f t="shared" si="8"/>
        <v>-1.34</v>
      </c>
      <c r="K31" s="702">
        <f t="shared" si="0"/>
        <v>0</v>
      </c>
      <c r="L31" s="702">
        <f t="shared" si="1"/>
        <v>0</v>
      </c>
      <c r="M31" s="702"/>
      <c r="N31" s="702"/>
      <c r="O31" s="702"/>
      <c r="P31" s="702">
        <f>项目支出!P309</f>
        <v>-1.34</v>
      </c>
      <c r="Q31" s="701">
        <f t="shared" si="13"/>
        <v>48.66</v>
      </c>
      <c r="R31" s="702">
        <f t="shared" si="2"/>
        <v>0</v>
      </c>
      <c r="S31" s="702">
        <f t="shared" si="3"/>
        <v>0</v>
      </c>
      <c r="T31" s="702">
        <f t="shared" si="9"/>
        <v>0</v>
      </c>
      <c r="U31" s="702">
        <f t="shared" si="10"/>
        <v>0</v>
      </c>
      <c r="V31" s="702">
        <f t="shared" si="11"/>
        <v>0</v>
      </c>
      <c r="W31" s="702">
        <f t="shared" si="12"/>
        <v>48.66</v>
      </c>
      <c r="X31" s="711"/>
      <c r="Y31" s="712">
        <f t="shared" si="14"/>
        <v>49</v>
      </c>
    </row>
    <row r="32" s="131" customFormat="1" ht="27" customHeight="1" spans="1:25">
      <c r="A32" s="704"/>
      <c r="B32" s="705" t="s">
        <v>22</v>
      </c>
      <c r="C32" s="706">
        <f t="shared" ref="C32:L32" si="15">SUM(C8:C31)</f>
        <v>216227.5827</v>
      </c>
      <c r="D32" s="706">
        <f t="shared" si="15"/>
        <v>168875.9452</v>
      </c>
      <c r="E32" s="706">
        <f t="shared" si="15"/>
        <v>143427.4052</v>
      </c>
      <c r="F32" s="706">
        <f t="shared" si="15"/>
        <v>118938.24</v>
      </c>
      <c r="G32" s="706">
        <f t="shared" si="15"/>
        <v>24489.1652</v>
      </c>
      <c r="H32" s="706">
        <f t="shared" si="15"/>
        <v>25448.54</v>
      </c>
      <c r="I32" s="706">
        <f t="shared" si="15"/>
        <v>47351.6375</v>
      </c>
      <c r="J32" s="706">
        <f t="shared" si="15"/>
        <v>4754.19542104</v>
      </c>
      <c r="K32" s="706">
        <f t="shared" si="15"/>
        <v>-5696.63775096</v>
      </c>
      <c r="L32" s="706">
        <f t="shared" si="15"/>
        <v>-6285.00985096</v>
      </c>
      <c r="M32" s="706">
        <f t="shared" ref="M32:X32" si="16">SUM(M8:M31)</f>
        <v>-7277.47445096</v>
      </c>
      <c r="N32" s="706">
        <f t="shared" si="16"/>
        <v>992.4646</v>
      </c>
      <c r="O32" s="706">
        <f t="shared" si="16"/>
        <v>588.372099999999</v>
      </c>
      <c r="P32" s="706">
        <f t="shared" si="16"/>
        <v>10450.833172</v>
      </c>
      <c r="Q32" s="706">
        <f t="shared" si="16"/>
        <v>220981.77812104</v>
      </c>
      <c r="R32" s="706">
        <f t="shared" si="16"/>
        <v>163179.30744904</v>
      </c>
      <c r="S32" s="706">
        <f t="shared" si="16"/>
        <v>137142.39534904</v>
      </c>
      <c r="T32" s="706">
        <f t="shared" si="16"/>
        <v>111660.76554904</v>
      </c>
      <c r="U32" s="706">
        <f t="shared" si="16"/>
        <v>25481.6298</v>
      </c>
      <c r="V32" s="706">
        <f t="shared" si="16"/>
        <v>26036.9121</v>
      </c>
      <c r="W32" s="706">
        <f t="shared" si="16"/>
        <v>57802.470672</v>
      </c>
      <c r="X32" s="294">
        <f t="shared" si="16"/>
        <v>138530</v>
      </c>
      <c r="Y32" s="712">
        <f t="shared" si="14"/>
        <v>359512</v>
      </c>
    </row>
    <row r="33" s="131" customFormat="1" ht="27" customHeight="1" spans="1:25">
      <c r="A33" s="703">
        <v>231</v>
      </c>
      <c r="B33" s="59" t="s">
        <v>150</v>
      </c>
      <c r="C33" s="701">
        <f t="shared" ref="C33:C35" si="17">SUM(F33:I33)</f>
        <v>40387</v>
      </c>
      <c r="D33" s="702">
        <f t="shared" ref="D33:D35" si="18">E33+H33</f>
        <v>0</v>
      </c>
      <c r="E33" s="702">
        <f t="shared" ref="E33:E35" si="19">F33+G33</f>
        <v>0</v>
      </c>
      <c r="F33" s="702"/>
      <c r="G33" s="702"/>
      <c r="H33" s="702"/>
      <c r="I33" s="702">
        <f>项目支出!I312</f>
        <v>40387</v>
      </c>
      <c r="J33" s="701">
        <f t="shared" ref="J33:J35" si="20">SUM(M33:P33)</f>
        <v>-38455.95</v>
      </c>
      <c r="K33" s="702">
        <f t="shared" ref="K33:K35" si="21">L33+O33</f>
        <v>0</v>
      </c>
      <c r="L33" s="702">
        <f t="shared" ref="L33:L35" si="22">M33+N33</f>
        <v>0</v>
      </c>
      <c r="M33" s="702"/>
      <c r="N33" s="702"/>
      <c r="O33" s="702"/>
      <c r="P33" s="702">
        <f>项目支出!P312</f>
        <v>-38455.95</v>
      </c>
      <c r="Q33" s="701">
        <f t="shared" ref="Q33:Q35" si="23">SUM(T33:W33)</f>
        <v>1931.05</v>
      </c>
      <c r="R33" s="702">
        <f t="shared" ref="R33:R35" si="24">S33+V33</f>
        <v>0</v>
      </c>
      <c r="S33" s="702">
        <f t="shared" ref="S33:S35" si="25">T33+U33</f>
        <v>0</v>
      </c>
      <c r="T33" s="702">
        <f t="shared" ref="T33:W33" si="26">F33+M33</f>
        <v>0</v>
      </c>
      <c r="U33" s="702">
        <f t="shared" si="26"/>
        <v>0</v>
      </c>
      <c r="V33" s="702">
        <f t="shared" si="26"/>
        <v>0</v>
      </c>
      <c r="W33" s="702">
        <f t="shared" si="26"/>
        <v>1931.05</v>
      </c>
      <c r="X33" s="294"/>
      <c r="Y33" s="294"/>
    </row>
    <row r="34" s="131" customFormat="1" ht="27" customHeight="1" spans="1:25">
      <c r="A34" s="703">
        <v>230</v>
      </c>
      <c r="B34" s="707" t="s">
        <v>151</v>
      </c>
      <c r="C34" s="701">
        <f t="shared" si="17"/>
        <v>8800</v>
      </c>
      <c r="D34" s="702">
        <f t="shared" si="18"/>
        <v>0</v>
      </c>
      <c r="E34" s="702">
        <f t="shared" si="19"/>
        <v>0</v>
      </c>
      <c r="F34" s="702"/>
      <c r="G34" s="702"/>
      <c r="H34" s="702"/>
      <c r="I34" s="702">
        <f>项目支出!I315</f>
        <v>8800</v>
      </c>
      <c r="J34" s="701">
        <f t="shared" si="20"/>
        <v>-200</v>
      </c>
      <c r="K34" s="702">
        <f t="shared" si="21"/>
        <v>0</v>
      </c>
      <c r="L34" s="702">
        <f t="shared" si="22"/>
        <v>0</v>
      </c>
      <c r="M34" s="702"/>
      <c r="N34" s="702"/>
      <c r="O34" s="702"/>
      <c r="P34" s="702">
        <f>项目支出!P315</f>
        <v>-200</v>
      </c>
      <c r="Q34" s="701">
        <f t="shared" si="23"/>
        <v>8600</v>
      </c>
      <c r="R34" s="702">
        <f t="shared" si="24"/>
        <v>0</v>
      </c>
      <c r="S34" s="702">
        <f t="shared" si="25"/>
        <v>0</v>
      </c>
      <c r="T34" s="702">
        <f t="shared" ref="T34:W34" si="27">F34+M34</f>
        <v>0</v>
      </c>
      <c r="U34" s="702">
        <f t="shared" si="27"/>
        <v>0</v>
      </c>
      <c r="V34" s="702">
        <f t="shared" si="27"/>
        <v>0</v>
      </c>
      <c r="W34" s="702">
        <f t="shared" si="27"/>
        <v>8600</v>
      </c>
      <c r="X34" s="294"/>
      <c r="Y34" s="294"/>
    </row>
    <row r="35" s="131" customFormat="1" ht="29" customHeight="1" spans="1:25">
      <c r="A35" s="703"/>
      <c r="B35" s="94" t="s">
        <v>152</v>
      </c>
      <c r="C35" s="701">
        <f t="shared" si="17"/>
        <v>0</v>
      </c>
      <c r="D35" s="702">
        <f t="shared" si="18"/>
        <v>0</v>
      </c>
      <c r="E35" s="702">
        <f t="shared" si="19"/>
        <v>0</v>
      </c>
      <c r="F35" s="702"/>
      <c r="G35" s="702"/>
      <c r="H35" s="702"/>
      <c r="I35" s="702"/>
      <c r="J35" s="701">
        <f t="shared" si="20"/>
        <v>26738.827</v>
      </c>
      <c r="K35" s="702">
        <f t="shared" si="21"/>
        <v>0</v>
      </c>
      <c r="L35" s="702">
        <f t="shared" si="22"/>
        <v>0</v>
      </c>
      <c r="M35" s="702"/>
      <c r="N35" s="702"/>
      <c r="O35" s="702"/>
      <c r="P35" s="702">
        <f>项目支出!P316</f>
        <v>26738.827</v>
      </c>
      <c r="Q35" s="701">
        <f t="shared" si="23"/>
        <v>26738.827</v>
      </c>
      <c r="R35" s="702">
        <f t="shared" si="24"/>
        <v>0</v>
      </c>
      <c r="S35" s="702">
        <f t="shared" si="25"/>
        <v>0</v>
      </c>
      <c r="T35" s="702">
        <f t="shared" ref="T35:W35" si="28">F35+M35</f>
        <v>0</v>
      </c>
      <c r="U35" s="702">
        <f t="shared" si="28"/>
        <v>0</v>
      </c>
      <c r="V35" s="702">
        <f t="shared" si="28"/>
        <v>0</v>
      </c>
      <c r="W35" s="702">
        <f t="shared" si="28"/>
        <v>26738.827</v>
      </c>
      <c r="X35" s="294"/>
      <c r="Y35" s="294"/>
    </row>
    <row r="36" s="131" customFormat="1" ht="27" customHeight="1" spans="1:25">
      <c r="A36" s="704"/>
      <c r="B36" s="705" t="s">
        <v>125</v>
      </c>
      <c r="C36" s="706">
        <f>C32+C33+C34+C35</f>
        <v>265414.5827</v>
      </c>
      <c r="D36" s="706">
        <f t="shared" ref="D36:X36" si="29">D32+D33+D34+D35</f>
        <v>168875.9452</v>
      </c>
      <c r="E36" s="706">
        <f t="shared" si="29"/>
        <v>143427.4052</v>
      </c>
      <c r="F36" s="706">
        <f t="shared" si="29"/>
        <v>118938.24</v>
      </c>
      <c r="G36" s="706">
        <f t="shared" si="29"/>
        <v>24489.1652</v>
      </c>
      <c r="H36" s="706">
        <f t="shared" si="29"/>
        <v>25448.54</v>
      </c>
      <c r="I36" s="706">
        <f t="shared" si="29"/>
        <v>96538.6375</v>
      </c>
      <c r="J36" s="706">
        <f t="shared" si="29"/>
        <v>-7162.92757896</v>
      </c>
      <c r="K36" s="706">
        <f t="shared" si="29"/>
        <v>-5696.63775096</v>
      </c>
      <c r="L36" s="706">
        <f t="shared" si="29"/>
        <v>-6285.00985096</v>
      </c>
      <c r="M36" s="706">
        <f t="shared" si="29"/>
        <v>-7277.47445096</v>
      </c>
      <c r="N36" s="706">
        <f t="shared" si="29"/>
        <v>992.4646</v>
      </c>
      <c r="O36" s="706">
        <f t="shared" si="29"/>
        <v>588.372099999999</v>
      </c>
      <c r="P36" s="706">
        <f t="shared" si="29"/>
        <v>-1466.289828</v>
      </c>
      <c r="Q36" s="706">
        <f t="shared" si="29"/>
        <v>258251.65512104</v>
      </c>
      <c r="R36" s="706">
        <f t="shared" si="29"/>
        <v>163179.30744904</v>
      </c>
      <c r="S36" s="706">
        <f t="shared" si="29"/>
        <v>137142.39534904</v>
      </c>
      <c r="T36" s="706">
        <f t="shared" si="29"/>
        <v>111660.76554904</v>
      </c>
      <c r="U36" s="706">
        <f t="shared" si="29"/>
        <v>25481.6298</v>
      </c>
      <c r="V36" s="706">
        <f t="shared" si="29"/>
        <v>26036.9121</v>
      </c>
      <c r="W36" s="706">
        <f t="shared" si="29"/>
        <v>95072.347672</v>
      </c>
      <c r="X36" s="294"/>
      <c r="Y36" s="294"/>
    </row>
    <row r="37" spans="8:8">
      <c r="H37" s="708"/>
    </row>
    <row r="39" spans="2:23">
      <c r="B39" s="131" t="s">
        <v>153</v>
      </c>
      <c r="C39" s="708">
        <f>SUM(C11:C19,C21,C24:C26)</f>
        <v>146484.5019</v>
      </c>
      <c r="Q39" s="708">
        <f>SUM(Q11:Q19,Q21,Q24:Q26)</f>
        <v>160184.47145304</v>
      </c>
      <c r="R39" s="708"/>
      <c r="T39" s="708"/>
      <c r="W39" s="708"/>
    </row>
    <row r="40" spans="3:17">
      <c r="C40" s="709">
        <f>C39/C32</f>
        <v>0.677455207475711</v>
      </c>
      <c r="Q40" s="709">
        <f>Q39/Q32</f>
        <v>0.724876380374227</v>
      </c>
    </row>
    <row r="46" spans="17:17">
      <c r="Q46" s="708"/>
    </row>
  </sheetData>
  <mergeCells count="24">
    <mergeCell ref="A2:W2"/>
    <mergeCell ref="C4:I4"/>
    <mergeCell ref="J4:P4"/>
    <mergeCell ref="Q4:W4"/>
    <mergeCell ref="D5:H5"/>
    <mergeCell ref="K5:O5"/>
    <mergeCell ref="R5:V5"/>
    <mergeCell ref="E6:G6"/>
    <mergeCell ref="L6:N6"/>
    <mergeCell ref="S6:U6"/>
    <mergeCell ref="A4:A7"/>
    <mergeCell ref="B4:B7"/>
    <mergeCell ref="C5:C7"/>
    <mergeCell ref="D6:D7"/>
    <mergeCell ref="H6:H7"/>
    <mergeCell ref="I5:I7"/>
    <mergeCell ref="J5:J7"/>
    <mergeCell ref="K6:K7"/>
    <mergeCell ref="O6:O7"/>
    <mergeCell ref="P5:P7"/>
    <mergeCell ref="Q5:Q7"/>
    <mergeCell ref="R6:R7"/>
    <mergeCell ref="V6:V7"/>
    <mergeCell ref="W5:W7"/>
  </mergeCells>
  <printOptions horizontalCentered="1"/>
  <pageMargins left="0.313888888888889" right="0.313888888888889" top="0.707638888888889" bottom="0.707638888888889" header="0.507638888888889" footer="0.507638888888889"/>
  <pageSetup paperSize="9" scale="73" firstPageNumber="10" fitToHeight="0" orientation="landscape" useFirstPageNumber="1"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9"/>
  <sheetViews>
    <sheetView workbookViewId="0">
      <selection activeCell="L2" sqref="L2"/>
    </sheetView>
  </sheetViews>
  <sheetFormatPr defaultColWidth="9" defaultRowHeight="13.5"/>
  <cols>
    <col min="2" max="2" width="11.875" customWidth="1"/>
    <col min="3" max="3" width="28.125" customWidth="1"/>
    <col min="4" max="6" width="11.875" customWidth="1"/>
    <col min="7" max="7" width="11.625" customWidth="1"/>
    <col min="8" max="8" width="10.25" customWidth="1"/>
    <col min="9" max="9" width="11.625" customWidth="1"/>
    <col min="10" max="10" width="10.375" customWidth="1"/>
    <col min="11" max="11" width="9.25" customWidth="1"/>
    <col min="12" max="12" width="10.375" customWidth="1"/>
    <col min="13" max="16" width="11.625" customWidth="1"/>
    <col min="17" max="17" width="9" customWidth="1"/>
    <col min="18" max="18" width="11.625" customWidth="1"/>
  </cols>
  <sheetData>
    <row r="1" ht="25.5" spans="1:18">
      <c r="A1" s="62"/>
      <c r="B1" s="62"/>
      <c r="C1" s="667" t="s">
        <v>154</v>
      </c>
      <c r="D1" s="668"/>
      <c r="E1" s="668"/>
      <c r="F1" s="668"/>
      <c r="G1" s="62"/>
      <c r="I1" s="62"/>
      <c r="J1" s="62"/>
      <c r="K1" s="62"/>
      <c r="L1" s="62"/>
      <c r="M1" s="62"/>
      <c r="R1" t="s">
        <v>2</v>
      </c>
    </row>
    <row r="2" spans="12:18">
      <c r="L2">
        <f>I6+L6</f>
        <v>28347.8772532</v>
      </c>
      <c r="R2">
        <f>O6+R6</f>
        <v>83312.8715708</v>
      </c>
    </row>
    <row r="3" ht="18" customHeight="1" spans="1:18">
      <c r="A3" s="669" t="s">
        <v>155</v>
      </c>
      <c r="B3" s="669" t="s">
        <v>156</v>
      </c>
      <c r="C3" s="43" t="s">
        <v>157</v>
      </c>
      <c r="D3" s="670" t="s">
        <v>114</v>
      </c>
      <c r="E3" s="670" t="s">
        <v>158</v>
      </c>
      <c r="F3" s="670" t="s">
        <v>159</v>
      </c>
      <c r="G3" s="671" t="s">
        <v>160</v>
      </c>
      <c r="H3" s="672"/>
      <c r="I3" s="672"/>
      <c r="J3" s="672"/>
      <c r="K3" s="672"/>
      <c r="L3" s="689"/>
      <c r="M3" s="671" t="s">
        <v>161</v>
      </c>
      <c r="N3" s="672"/>
      <c r="O3" s="672"/>
      <c r="P3" s="672"/>
      <c r="Q3" s="672"/>
      <c r="R3" s="689"/>
    </row>
    <row r="4" ht="18" customHeight="1" spans="1:18">
      <c r="A4" s="673"/>
      <c r="B4" s="673"/>
      <c r="C4" s="674"/>
      <c r="D4" s="675"/>
      <c r="E4" s="675"/>
      <c r="F4" s="675"/>
      <c r="G4" s="676" t="s">
        <v>162</v>
      </c>
      <c r="H4" s="677"/>
      <c r="I4" s="690"/>
      <c r="J4" s="691" t="s">
        <v>163</v>
      </c>
      <c r="K4" s="692"/>
      <c r="L4" s="693"/>
      <c r="M4" s="676" t="s">
        <v>162</v>
      </c>
      <c r="N4" s="677"/>
      <c r="O4" s="690"/>
      <c r="P4" s="691" t="s">
        <v>163</v>
      </c>
      <c r="Q4" s="692"/>
      <c r="R4" s="693"/>
    </row>
    <row r="5" ht="18" customHeight="1" spans="1:18">
      <c r="A5" s="678"/>
      <c r="B5" s="678"/>
      <c r="C5" s="48"/>
      <c r="D5" s="679"/>
      <c r="E5" s="679"/>
      <c r="F5" s="679"/>
      <c r="G5" s="680" t="s">
        <v>114</v>
      </c>
      <c r="H5" s="680" t="s">
        <v>158</v>
      </c>
      <c r="I5" s="680" t="s">
        <v>159</v>
      </c>
      <c r="J5" s="694" t="s">
        <v>114</v>
      </c>
      <c r="K5" s="694" t="s">
        <v>158</v>
      </c>
      <c r="L5" s="694" t="s">
        <v>159</v>
      </c>
      <c r="M5" s="680" t="s">
        <v>114</v>
      </c>
      <c r="N5" s="680" t="s">
        <v>158</v>
      </c>
      <c r="O5" s="680" t="s">
        <v>159</v>
      </c>
      <c r="P5" s="694" t="s">
        <v>114</v>
      </c>
      <c r="Q5" s="694" t="s">
        <v>158</v>
      </c>
      <c r="R5" s="694" t="s">
        <v>159</v>
      </c>
    </row>
    <row r="6" ht="30" customHeight="1" spans="1:18">
      <c r="A6" s="681"/>
      <c r="B6" s="682"/>
      <c r="C6" s="683" t="s">
        <v>22</v>
      </c>
      <c r="D6" s="684">
        <f>SUM(D7:D19)</f>
        <v>118938.22327496</v>
      </c>
      <c r="E6" s="684">
        <f>SUM(E7:E19)</f>
        <v>-7277.47445096</v>
      </c>
      <c r="F6" s="684">
        <f>SUM(F7:F19)</f>
        <v>111660.748824</v>
      </c>
      <c r="G6" s="685">
        <f>SUM(G7:G19)</f>
        <v>23287.3916</v>
      </c>
      <c r="H6" s="685">
        <f t="shared" ref="H6:R6" si="0">SUM(H7:H19)</f>
        <v>-721.0227</v>
      </c>
      <c r="I6" s="685">
        <f t="shared" si="0"/>
        <v>22566.3689</v>
      </c>
      <c r="J6" s="685">
        <f t="shared" si="0"/>
        <v>6108.0843024</v>
      </c>
      <c r="K6" s="685">
        <f t="shared" si="0"/>
        <v>-326.5759492</v>
      </c>
      <c r="L6" s="685">
        <f t="shared" si="0"/>
        <v>5781.5083532</v>
      </c>
      <c r="M6" s="685">
        <f t="shared" si="0"/>
        <v>67871.298244</v>
      </c>
      <c r="N6" s="685">
        <f t="shared" si="0"/>
        <v>-6536.710748</v>
      </c>
      <c r="O6" s="685">
        <f t="shared" si="0"/>
        <v>61334.587496</v>
      </c>
      <c r="P6" s="685">
        <f t="shared" si="0"/>
        <v>21671.44912856</v>
      </c>
      <c r="Q6" s="696">
        <f t="shared" si="0"/>
        <v>306.83494624</v>
      </c>
      <c r="R6" s="685">
        <f t="shared" si="0"/>
        <v>21978.2840748</v>
      </c>
    </row>
    <row r="7" ht="30" customHeight="1" spans="1:18">
      <c r="A7" s="53" t="s">
        <v>164</v>
      </c>
      <c r="B7" s="531">
        <v>201</v>
      </c>
      <c r="C7" s="686" t="s">
        <v>126</v>
      </c>
      <c r="D7" s="684">
        <f>G7+J7+M7+P7</f>
        <v>25614.88867928</v>
      </c>
      <c r="E7" s="684">
        <f t="shared" ref="E7:E19" si="1">H7+K7+N7+Q7</f>
        <v>-675.967092</v>
      </c>
      <c r="F7" s="684">
        <f t="shared" ref="F7:F19" si="2">I7+L7+O7+R7</f>
        <v>24938.92158728</v>
      </c>
      <c r="G7" s="687">
        <f>'工资福利（公务员、参公人员）'!E7</f>
        <v>11332.8867</v>
      </c>
      <c r="H7" s="687">
        <f>'工资福利（公务员、参公人员）'!R7</f>
        <v>-441.62796</v>
      </c>
      <c r="I7" s="687">
        <f>'工资福利（公务员、参公人员）'!AE7</f>
        <v>10891.25874</v>
      </c>
      <c r="J7" s="687">
        <f>'工资福利（公务员、参公人员）'!AR7</f>
        <v>3173.5714368</v>
      </c>
      <c r="K7" s="687">
        <f>'工资福利（公务员、参公人员）'!AZ7</f>
        <v>-178.4323696</v>
      </c>
      <c r="L7" s="687">
        <f>'工资福利（公务员、参公人员）'!BH7</f>
        <v>2995.1390672</v>
      </c>
      <c r="M7" s="687">
        <f>'工资福利 （事业人员）'!E7</f>
        <v>8619.315796</v>
      </c>
      <c r="N7" s="687">
        <f>'工资福利 （事业人员）'!S7</f>
        <v>-35.4951</v>
      </c>
      <c r="O7" s="687">
        <f>'工资福利 （事业人员）'!AG7</f>
        <v>8583.820696</v>
      </c>
      <c r="P7" s="687">
        <f>'工资福利 （事业人员）'!AU7</f>
        <v>2489.11474648</v>
      </c>
      <c r="Q7" s="687">
        <f>'工资福利 （事业人员）'!BC7</f>
        <v>-20.4116624</v>
      </c>
      <c r="R7" s="687">
        <f>'工资福利 （事业人员）'!BK7</f>
        <v>2468.70308408</v>
      </c>
    </row>
    <row r="8" ht="30" customHeight="1" spans="1:18">
      <c r="A8" s="305" t="s">
        <v>165</v>
      </c>
      <c r="B8" s="305">
        <v>204</v>
      </c>
      <c r="C8" s="688" t="s">
        <v>128</v>
      </c>
      <c r="D8" s="684">
        <f t="shared" ref="D8:D19" si="3">G8+J8+M8+P8</f>
        <v>8692.39716</v>
      </c>
      <c r="E8" s="684">
        <f t="shared" si="1"/>
        <v>-227.8078</v>
      </c>
      <c r="F8" s="684">
        <f t="shared" si="2"/>
        <v>8464.58936</v>
      </c>
      <c r="G8" s="687">
        <f>'工资福利（公务员、参公人员）'!E134</f>
        <v>6584.22</v>
      </c>
      <c r="H8" s="687">
        <f>'工资福利（公务员、参公人员）'!R134</f>
        <v>-172.72</v>
      </c>
      <c r="I8" s="687">
        <f>'工资福利（公务员、参公人员）'!AE134</f>
        <v>6411.5</v>
      </c>
      <c r="J8" s="687">
        <f>'工资福利（公务员、参公人员）'!AR134</f>
        <v>1698.825</v>
      </c>
      <c r="K8" s="687">
        <f>'工资福利（公务员、参公人员）'!AZ134</f>
        <v>-85.08432</v>
      </c>
      <c r="L8" s="687">
        <f>'工资福利（公务员、参公人员）'!BH134</f>
        <v>1613.74068</v>
      </c>
      <c r="M8" s="687">
        <f>'工资福利 （事业人员）'!E134</f>
        <v>312.53</v>
      </c>
      <c r="N8" s="687">
        <f>'工资福利 （事业人员）'!S134</f>
        <v>22.04</v>
      </c>
      <c r="O8" s="687">
        <f>'工资福利 （事业人员）'!AG134</f>
        <v>334.57</v>
      </c>
      <c r="P8" s="687">
        <f>'工资福利 （事业人员）'!AU134</f>
        <v>96.82216</v>
      </c>
      <c r="Q8" s="687">
        <f>'工资福利 （事业人员）'!BC134</f>
        <v>7.95652</v>
      </c>
      <c r="R8" s="687">
        <f>'工资福利 （事业人员）'!BK134</f>
        <v>104.77868</v>
      </c>
    </row>
    <row r="9" ht="30" customHeight="1" spans="1:18">
      <c r="A9" s="305" t="s">
        <v>166</v>
      </c>
      <c r="B9" s="305">
        <v>205</v>
      </c>
      <c r="C9" s="688" t="s">
        <v>129</v>
      </c>
      <c r="D9" s="684">
        <f t="shared" si="3"/>
        <v>60637.9184516</v>
      </c>
      <c r="E9" s="684">
        <f t="shared" si="1"/>
        <v>-7358.12636</v>
      </c>
      <c r="F9" s="684">
        <f t="shared" si="2"/>
        <v>53279.7920916</v>
      </c>
      <c r="G9" s="687">
        <f>'工资福利（公务员、参公人员）'!E145</f>
        <v>97.64</v>
      </c>
      <c r="H9" s="687">
        <f>'工资福利（公务员、参公人员）'!R145</f>
        <v>28.51</v>
      </c>
      <c r="I9" s="687">
        <f>'工资福利（公务员、参公人员）'!AE145</f>
        <v>126.15</v>
      </c>
      <c r="J9" s="687">
        <f>'工资福利（公务员、参公人员）'!AR145</f>
        <v>34.90212</v>
      </c>
      <c r="K9" s="687">
        <f>'工资福利（公务员、参公人员）'!AZ145</f>
        <v>5.06396</v>
      </c>
      <c r="L9" s="687">
        <f>'工资福利（公务员、参公人员）'!BH145</f>
        <v>39.96608</v>
      </c>
      <c r="M9" s="687">
        <f>'工资福利 （事业人员）'!E145</f>
        <v>47398.8737</v>
      </c>
      <c r="N9" s="687">
        <f>'工资福利 （事业人员）'!S145</f>
        <v>-7465.77</v>
      </c>
      <c r="O9" s="687">
        <f>'工资福利 （事业人员）'!AG145</f>
        <v>39933.1037</v>
      </c>
      <c r="P9" s="687">
        <f>'工资福利 （事业人员）'!AU145</f>
        <v>13106.5026316</v>
      </c>
      <c r="Q9" s="687">
        <f>'工资福利 （事业人员）'!BC145</f>
        <v>74.06968</v>
      </c>
      <c r="R9" s="687">
        <f>'工资福利 （事业人员）'!BK145</f>
        <v>13180.5723116</v>
      </c>
    </row>
    <row r="10" ht="30" customHeight="1" spans="1:18">
      <c r="A10" s="305" t="s">
        <v>167</v>
      </c>
      <c r="B10" s="305">
        <v>206</v>
      </c>
      <c r="C10" s="688" t="s">
        <v>130</v>
      </c>
      <c r="D10" s="684">
        <f t="shared" si="3"/>
        <v>144.10992</v>
      </c>
      <c r="E10" s="684">
        <f t="shared" si="1"/>
        <v>610.83756</v>
      </c>
      <c r="F10" s="684">
        <f t="shared" si="2"/>
        <v>754.94748</v>
      </c>
      <c r="G10" s="687">
        <f>'工资福利（公务员、参公人员）'!E207</f>
        <v>90.45</v>
      </c>
      <c r="H10" s="687">
        <f>'工资福利（公务员、参公人员）'!R207</f>
        <v>132.41</v>
      </c>
      <c r="I10" s="687">
        <f>'工资福利（公务员、参公人员）'!AE207</f>
        <v>222.86</v>
      </c>
      <c r="J10" s="687">
        <f>'工资福利（公务员、参公人员）'!AR207</f>
        <v>27.85912</v>
      </c>
      <c r="K10" s="687">
        <f>'工资福利（公务员、参公人员）'!AZ207</f>
        <v>39.38336</v>
      </c>
      <c r="L10" s="687">
        <f>'工资福利（公务员、参公人员）'!BH207</f>
        <v>67.24248</v>
      </c>
      <c r="M10" s="687">
        <f>'工资福利 （事业人员）'!E207</f>
        <v>23.19</v>
      </c>
      <c r="N10" s="687">
        <f>'工资福利 （事业人员）'!S207</f>
        <v>329.84</v>
      </c>
      <c r="O10" s="687">
        <f>'工资福利 （事业人员）'!AG207</f>
        <v>353.03</v>
      </c>
      <c r="P10" s="687">
        <f>'工资福利 （事业人员）'!AU207</f>
        <v>2.6108</v>
      </c>
      <c r="Q10" s="687">
        <f>'工资福利 （事业人员）'!BC207</f>
        <v>109.2042</v>
      </c>
      <c r="R10" s="687">
        <f>'工资福利 （事业人员）'!BK207</f>
        <v>111.815</v>
      </c>
    </row>
    <row r="11" ht="30" customHeight="1" spans="1:18">
      <c r="A11" s="305" t="s">
        <v>168</v>
      </c>
      <c r="B11" s="305">
        <v>207</v>
      </c>
      <c r="C11" s="688" t="s">
        <v>131</v>
      </c>
      <c r="D11" s="684">
        <f t="shared" si="3"/>
        <v>1726.85453024</v>
      </c>
      <c r="E11" s="684">
        <f t="shared" si="1"/>
        <v>75.0996872</v>
      </c>
      <c r="F11" s="684">
        <f t="shared" si="2"/>
        <v>1801.95421744</v>
      </c>
      <c r="G11" s="687">
        <f>'工资福利（公务员、参公人员）'!E212</f>
        <v>155.02</v>
      </c>
      <c r="H11" s="687">
        <f>'工资福利（公务员、参公人员）'!R212</f>
        <v>-17.4</v>
      </c>
      <c r="I11" s="687">
        <f>'工资福利（公务员、参公人员）'!AE212</f>
        <v>137.62</v>
      </c>
      <c r="J11" s="687">
        <f>'工资福利（公务员、参公人员）'!AR212</f>
        <v>41.406</v>
      </c>
      <c r="K11" s="687">
        <f>'工资福利（公务员、参公人员）'!AZ212</f>
        <v>-5.4182</v>
      </c>
      <c r="L11" s="687">
        <f>'工资福利（公务员、参公人员）'!BH212</f>
        <v>35.9878</v>
      </c>
      <c r="M11" s="687">
        <f>'工资福利 （事业人员）'!E212</f>
        <v>1237.031168</v>
      </c>
      <c r="N11" s="687">
        <f>'工资福利 （事业人员）'!S212</f>
        <v>83.278832</v>
      </c>
      <c r="O11" s="687">
        <f>'工资福利 （事业人员）'!AG212</f>
        <v>1320.31</v>
      </c>
      <c r="P11" s="687">
        <f>'工资福利 （事业人员）'!AU212</f>
        <v>293.39736224</v>
      </c>
      <c r="Q11" s="687">
        <f>'工资福利 （事业人员）'!BC212</f>
        <v>14.6390552</v>
      </c>
      <c r="R11" s="687">
        <f>'工资福利 （事业人员）'!BK212</f>
        <v>308.03641744</v>
      </c>
    </row>
    <row r="12" ht="30" customHeight="1" spans="1:18">
      <c r="A12" s="305" t="s">
        <v>169</v>
      </c>
      <c r="B12" s="305">
        <v>208</v>
      </c>
      <c r="C12" s="688" t="s">
        <v>132</v>
      </c>
      <c r="D12" s="684">
        <f t="shared" si="3"/>
        <v>3859.48814752</v>
      </c>
      <c r="E12" s="684">
        <f t="shared" si="1"/>
        <v>42.62697336</v>
      </c>
      <c r="F12" s="684">
        <f t="shared" si="2"/>
        <v>3902.11512088</v>
      </c>
      <c r="G12" s="687">
        <f>'工资福利（公务员、参公人员）'!E226</f>
        <v>501.2224</v>
      </c>
      <c r="H12" s="687">
        <f>'工资福利（公务员、参公人员）'!R226</f>
        <v>-3.90386</v>
      </c>
      <c r="I12" s="687">
        <f>'工资福利（公务员、参公人员）'!AE226</f>
        <v>497.31854</v>
      </c>
      <c r="J12" s="687">
        <f>'工资福利（公务员、参公人员）'!AR226</f>
        <v>155.0971872</v>
      </c>
      <c r="K12" s="687">
        <f>'工资福利（公务员、参公人员）'!AZ226</f>
        <v>-7.6859904</v>
      </c>
      <c r="L12" s="687">
        <f>'工资福利（公务员、参公人员）'!BH226</f>
        <v>147.4111968</v>
      </c>
      <c r="M12" s="687">
        <f>'工资福利 （事业人员）'!E226</f>
        <v>554.92944</v>
      </c>
      <c r="N12" s="687">
        <f>'工资福利 （事业人员）'!S226</f>
        <v>39.45792</v>
      </c>
      <c r="O12" s="687">
        <f>'工资福利 （事业人员）'!AG226</f>
        <v>594.38736</v>
      </c>
      <c r="P12" s="687">
        <f>'工资福利 （事业人员）'!AU226</f>
        <v>2648.23912032</v>
      </c>
      <c r="Q12" s="687">
        <f>'工资福利 （事业人员）'!BC226</f>
        <v>14.75890376</v>
      </c>
      <c r="R12" s="687">
        <f>'工资福利 （事业人员）'!BK226</f>
        <v>2662.99802408</v>
      </c>
    </row>
    <row r="13" ht="30" customHeight="1" spans="1:18">
      <c r="A13" s="305" t="s">
        <v>170</v>
      </c>
      <c r="B13" s="305">
        <v>210</v>
      </c>
      <c r="C13" s="688" t="s">
        <v>133</v>
      </c>
      <c r="D13" s="684">
        <f t="shared" si="3"/>
        <v>6070.1403444</v>
      </c>
      <c r="E13" s="684">
        <f t="shared" si="1"/>
        <v>406.4644708</v>
      </c>
      <c r="F13" s="684">
        <f t="shared" si="2"/>
        <v>6476.6048152</v>
      </c>
      <c r="G13" s="687">
        <f>'工资福利（公务员、参公人员）'!E239</f>
        <v>402.8124</v>
      </c>
      <c r="H13" s="687">
        <f>'工资福利（公务员、参公人员）'!R239</f>
        <v>-39.74098</v>
      </c>
      <c r="I13" s="687">
        <f>'工资福利（公务员、参公人员）'!AE239</f>
        <v>363.07142</v>
      </c>
      <c r="J13" s="687">
        <f>'工资福利（公务员、参公人员）'!AR239</f>
        <v>120.8192144</v>
      </c>
      <c r="K13" s="687">
        <f>'工资福利（公务员、参公人员）'!AZ239</f>
        <v>-11.7349572</v>
      </c>
      <c r="L13" s="687">
        <f>'工资福利（公务员、参公人员）'!BH239</f>
        <v>109.0842572</v>
      </c>
      <c r="M13" s="687">
        <f>'工资福利 （事业人员）'!E239</f>
        <v>4203.2425</v>
      </c>
      <c r="N13" s="687">
        <f>'工资福利 （事业人员）'!S239</f>
        <v>384.63</v>
      </c>
      <c r="O13" s="687">
        <f>'工资福利 （事业人员）'!AG239</f>
        <v>4587.8725</v>
      </c>
      <c r="P13" s="695">
        <f>'工资福利 （事业人员）'!AU239</f>
        <v>1343.26623</v>
      </c>
      <c r="Q13" s="687">
        <f>'工资福利 （事业人员）'!BC239</f>
        <v>73.310408</v>
      </c>
      <c r="R13" s="687">
        <f>'工资福利 （事业人员）'!BK239</f>
        <v>1416.576638</v>
      </c>
    </row>
    <row r="14" ht="30" customHeight="1" spans="1:18">
      <c r="A14" s="305" t="s">
        <v>171</v>
      </c>
      <c r="B14" s="305">
        <v>212</v>
      </c>
      <c r="C14" s="688" t="s">
        <v>135</v>
      </c>
      <c r="D14" s="684">
        <f t="shared" si="3"/>
        <v>2534.1465112</v>
      </c>
      <c r="E14" s="684">
        <f t="shared" si="1"/>
        <v>-87.31707352</v>
      </c>
      <c r="F14" s="684">
        <f t="shared" si="2"/>
        <v>2446.82943768</v>
      </c>
      <c r="G14" s="687">
        <f>'工资福利（公务员、参公人员）'!E265</f>
        <v>1237.6272</v>
      </c>
      <c r="H14" s="687">
        <f>'工资福利（公务员、参公人员）'!R265</f>
        <v>-132.7299</v>
      </c>
      <c r="I14" s="687">
        <f>'工资福利（公务员、参公人员）'!AE265</f>
        <v>1104.8973</v>
      </c>
      <c r="J14" s="687">
        <f>'工资福利（公务员、参公人员）'!AR265</f>
        <v>136.1982576</v>
      </c>
      <c r="K14" s="687">
        <f>'工资福利（公务员、参公人员）'!AZ265</f>
        <v>-37.117872</v>
      </c>
      <c r="L14" s="687">
        <f>'工资福利（公务员、参公人员）'!BH265</f>
        <v>99.0803856</v>
      </c>
      <c r="M14" s="687">
        <f>'工资福利 （事业人员）'!E265</f>
        <v>899.1742</v>
      </c>
      <c r="N14" s="687">
        <f>'工资福利 （事业人员）'!S265</f>
        <v>58.10574</v>
      </c>
      <c r="O14" s="687">
        <f>'工资福利 （事业人员）'!AG265</f>
        <v>957.27994</v>
      </c>
      <c r="P14" s="687">
        <f>'工资福利 （事业人员）'!AU265</f>
        <v>261.1468536</v>
      </c>
      <c r="Q14" s="687">
        <f>'工资福利 （事业人员）'!BC265</f>
        <v>24.42495848</v>
      </c>
      <c r="R14" s="687">
        <f>'工资福利 （事业人员）'!BK265</f>
        <v>285.57181208</v>
      </c>
    </row>
    <row r="15" ht="30" customHeight="1" spans="1:18">
      <c r="A15" s="305" t="s">
        <v>172</v>
      </c>
      <c r="B15" s="305">
        <v>213</v>
      </c>
      <c r="C15" s="688" t="s">
        <v>136</v>
      </c>
      <c r="D15" s="684">
        <f t="shared" si="3"/>
        <v>5424.9879192</v>
      </c>
      <c r="E15" s="684">
        <f t="shared" si="1"/>
        <v>-61.97166</v>
      </c>
      <c r="F15" s="684">
        <f t="shared" si="2"/>
        <v>5363.0162592</v>
      </c>
      <c r="G15" s="687">
        <f>'工资福利（公务员、参公人员）'!E277</f>
        <v>1121.3605</v>
      </c>
      <c r="H15" s="687">
        <f>'工资福利（公务员、参公人员）'!R277</f>
        <v>-38.88</v>
      </c>
      <c r="I15" s="687">
        <f>'工资福利（公务员、参公人员）'!AE277</f>
        <v>1082.4805</v>
      </c>
      <c r="J15" s="687">
        <f>'工资福利（公务员、参公人员）'!AR277</f>
        <v>331.6591264</v>
      </c>
      <c r="K15" s="687">
        <f>'工资福利（公务员、参公人员）'!AZ277</f>
        <v>-22.26456</v>
      </c>
      <c r="L15" s="687">
        <f>'工资福利（公务员、参公人员）'!BH277</f>
        <v>309.3945664</v>
      </c>
      <c r="M15" s="687">
        <f>'工资福利 （事业人员）'!E277</f>
        <v>3016.8916</v>
      </c>
      <c r="N15" s="687">
        <f>'工资福利 （事业人员）'!S277</f>
        <v>-4.62774</v>
      </c>
      <c r="O15" s="687">
        <f>'工资福利 （事业人员）'!AG277</f>
        <v>3012.26386</v>
      </c>
      <c r="P15" s="687">
        <f>'工资福利 （事业人员）'!AU277</f>
        <v>955.0766928</v>
      </c>
      <c r="Q15" s="687">
        <f>'工资福利 （事业人员）'!BC277</f>
        <v>3.80064</v>
      </c>
      <c r="R15" s="687">
        <f>'工资福利 （事业人员）'!BK277</f>
        <v>958.8773328</v>
      </c>
    </row>
    <row r="16" ht="30" customHeight="1" spans="1:18">
      <c r="A16" s="305" t="s">
        <v>173</v>
      </c>
      <c r="B16" s="305">
        <v>214</v>
      </c>
      <c r="C16" s="688" t="s">
        <v>137</v>
      </c>
      <c r="D16" s="684">
        <f t="shared" si="3"/>
        <v>930.69687456</v>
      </c>
      <c r="E16" s="684">
        <f t="shared" si="1"/>
        <v>16.8723888</v>
      </c>
      <c r="F16" s="684">
        <f t="shared" si="2"/>
        <v>947.56926336</v>
      </c>
      <c r="G16" s="687">
        <f>'工资福利（公务员、参公人员）'!E289</f>
        <v>247.984</v>
      </c>
      <c r="H16" s="687">
        <f>'工资福利（公务员、参公人员）'!R289</f>
        <v>2.37</v>
      </c>
      <c r="I16" s="687">
        <f>'工资福利（公务员、参公人员）'!AE289</f>
        <v>250.354</v>
      </c>
      <c r="J16" s="687">
        <f>'工资福利（公务员、参公人员）'!AR289</f>
        <v>75.7380784</v>
      </c>
      <c r="K16" s="687">
        <f>'工资福利（公务员、参公人员）'!AZ289</f>
        <v>0.12436</v>
      </c>
      <c r="L16" s="687">
        <f>'工资福利（公务员、参公人员）'!BH289</f>
        <v>75.8624384</v>
      </c>
      <c r="M16" s="687">
        <f>'工资福利 （事业人员）'!E289</f>
        <v>464.27672</v>
      </c>
      <c r="N16" s="687">
        <f>'工资福利 （事业人员）'!S289</f>
        <v>11.7246</v>
      </c>
      <c r="O16" s="687">
        <f>'工资福利 （事业人员）'!AG289</f>
        <v>476.00132</v>
      </c>
      <c r="P16" s="687">
        <f>'工资福利 （事业人员）'!AU289</f>
        <v>142.69807616</v>
      </c>
      <c r="Q16" s="687">
        <f>'工资福利 （事业人员）'!BC289</f>
        <v>2.6534288</v>
      </c>
      <c r="R16" s="687">
        <f>'工资福利 （事业人员）'!BK289</f>
        <v>145.35150496</v>
      </c>
    </row>
    <row r="17" ht="30" customHeight="1" spans="1:18">
      <c r="A17" s="305" t="s">
        <v>174</v>
      </c>
      <c r="B17" s="305">
        <v>216</v>
      </c>
      <c r="C17" s="688" t="s">
        <v>139</v>
      </c>
      <c r="D17" s="684">
        <f t="shared" si="3"/>
        <v>221.4972</v>
      </c>
      <c r="E17" s="684">
        <f t="shared" si="1"/>
        <v>-24.29296</v>
      </c>
      <c r="F17" s="684">
        <f t="shared" si="2"/>
        <v>197.20424</v>
      </c>
      <c r="G17" s="687">
        <f>'工资福利（公务员、参公人员）'!E298</f>
        <v>149.32</v>
      </c>
      <c r="H17" s="687">
        <f>'工资福利（公务员、参公人员）'!R298</f>
        <v>-18.46</v>
      </c>
      <c r="I17" s="687">
        <f>'工资福利（公务员、参公人员）'!AE298</f>
        <v>130.86</v>
      </c>
      <c r="J17" s="687">
        <f>'工资福利（公务员、参公人员）'!AR298</f>
        <v>46.17744</v>
      </c>
      <c r="K17" s="687">
        <f>'工资福利（公务员、参公人员）'!AZ298</f>
        <v>-7.20396</v>
      </c>
      <c r="L17" s="687">
        <f>'工资福利（公务员、参公人员）'!BH298</f>
        <v>38.97348</v>
      </c>
      <c r="M17" s="687">
        <f>'工资福利 （事业人员）'!E298</f>
        <v>19.4</v>
      </c>
      <c r="N17" s="687">
        <f>'工资福利 （事业人员）'!S298</f>
        <v>1.05</v>
      </c>
      <c r="O17" s="687">
        <f>'工资福利 （事业人员）'!AG298</f>
        <v>20.45</v>
      </c>
      <c r="P17" s="687">
        <f>'工资福利 （事业人员）'!AU298</f>
        <v>6.59976</v>
      </c>
      <c r="Q17" s="687">
        <f>'工资福利 （事业人员）'!BC298</f>
        <v>0.321</v>
      </c>
      <c r="R17" s="687">
        <f>'工资福利 （事业人员）'!BK298</f>
        <v>6.92076</v>
      </c>
    </row>
    <row r="18" ht="30" customHeight="1" spans="1:18">
      <c r="A18" s="305" t="s">
        <v>175</v>
      </c>
      <c r="B18" s="305">
        <v>220</v>
      </c>
      <c r="C18" s="688" t="s">
        <v>142</v>
      </c>
      <c r="D18" s="684">
        <f t="shared" si="3"/>
        <v>2009.98626896</v>
      </c>
      <c r="E18" s="684">
        <f t="shared" si="1"/>
        <v>32.1482544</v>
      </c>
      <c r="F18" s="684">
        <f t="shared" si="2"/>
        <v>2042.13452336</v>
      </c>
      <c r="G18" s="687">
        <f>'工资福利（公务员、参公人员）'!E301</f>
        <v>711.5579</v>
      </c>
      <c r="H18" s="687">
        <f>'工资福利（公务员、参公人员）'!R301</f>
        <v>11.95</v>
      </c>
      <c r="I18" s="687">
        <f>'工资福利（公务员、参公人员）'!AE301</f>
        <v>723.5079</v>
      </c>
      <c r="J18" s="687">
        <f>'工资福利（公务员、参公人员）'!AR301</f>
        <v>183.8767136</v>
      </c>
      <c r="K18" s="687">
        <f>'工资福利（公务员、参公人员）'!AZ301</f>
        <v>2.10068</v>
      </c>
      <c r="L18" s="687">
        <f>'工资福利（公务员、参公人员）'!BH301</f>
        <v>185.9773936</v>
      </c>
      <c r="M18" s="687">
        <f>'工资福利 （事业人员）'!E301</f>
        <v>868.49312</v>
      </c>
      <c r="N18" s="687">
        <f>'工资福利 （事业人员）'!S301</f>
        <v>21.695</v>
      </c>
      <c r="O18" s="687">
        <f>'工资福利 （事业人员）'!AG301</f>
        <v>890.18812</v>
      </c>
      <c r="P18" s="687">
        <f>'工资福利 （事业人员）'!AU301</f>
        <v>246.05853536</v>
      </c>
      <c r="Q18" s="687">
        <f>'工资福利 （事业人员）'!BC301</f>
        <v>-3.5974256</v>
      </c>
      <c r="R18" s="687">
        <f>'工资福利 （事业人员）'!BK301</f>
        <v>242.46110976</v>
      </c>
    </row>
    <row r="19" ht="30" customHeight="1" spans="1:18">
      <c r="A19" s="305" t="s">
        <v>176</v>
      </c>
      <c r="B19" s="305">
        <v>224</v>
      </c>
      <c r="C19" s="688" t="s">
        <v>145</v>
      </c>
      <c r="D19" s="684">
        <f t="shared" si="3"/>
        <v>1071.111268</v>
      </c>
      <c r="E19" s="684">
        <f t="shared" si="1"/>
        <v>-26.04084</v>
      </c>
      <c r="F19" s="684">
        <f t="shared" si="2"/>
        <v>1045.070428</v>
      </c>
      <c r="G19" s="687">
        <f>'工资福利（公务员、参公人员）'!E309</f>
        <v>655.2905</v>
      </c>
      <c r="H19" s="687">
        <f>'工资福利（公务员、参公人员）'!R309</f>
        <v>-30.8</v>
      </c>
      <c r="I19" s="687">
        <f>'工资福利（公务员、参公人员）'!AE309</f>
        <v>624.4905</v>
      </c>
      <c r="J19" s="687">
        <f>'工资福利（公务员、参公人员）'!AR309</f>
        <v>81.954608</v>
      </c>
      <c r="K19" s="687">
        <f>'工资福利（公务员、参公人员）'!AZ309</f>
        <v>-18.30608</v>
      </c>
      <c r="L19" s="687">
        <f>'工资福利（公务员、参公人员）'!BH309</f>
        <v>63.648528</v>
      </c>
      <c r="M19" s="687">
        <f>'工资福利 （事业人员）'!E309</f>
        <v>253.95</v>
      </c>
      <c r="N19" s="687">
        <f>'工资福利 （事业人员）'!S309</f>
        <v>17.36</v>
      </c>
      <c r="O19" s="687">
        <f>'工资福利 （事业人员）'!AG309</f>
        <v>271.31</v>
      </c>
      <c r="P19" s="687">
        <f>'工资福利 （事业人员）'!AU309</f>
        <v>79.91616</v>
      </c>
      <c r="Q19" s="687">
        <f>'工资福利 （事业人员）'!BC309</f>
        <v>5.70524</v>
      </c>
      <c r="R19" s="687">
        <f>'工资福利 （事业人员）'!BK309</f>
        <v>85.6214</v>
      </c>
    </row>
  </sheetData>
  <mergeCells count="12">
    <mergeCell ref="G3:L3"/>
    <mergeCell ref="M3:R3"/>
    <mergeCell ref="G4:I4"/>
    <mergeCell ref="J4:L4"/>
    <mergeCell ref="M4:O4"/>
    <mergeCell ref="P4:R4"/>
    <mergeCell ref="A3:A5"/>
    <mergeCell ref="B3:B5"/>
    <mergeCell ref="C3:C5"/>
    <mergeCell ref="D3:D5"/>
    <mergeCell ref="E3:E5"/>
    <mergeCell ref="F3:F5"/>
  </mergeCells>
  <pageMargins left="0.75" right="0.75" top="1" bottom="1" header="0.509027777777778" footer="0.509027777777778"/>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BQ313"/>
  <sheetViews>
    <sheetView workbookViewId="0">
      <pane xSplit="4" ySplit="7" topLeftCell="P68" activePane="bottomRight" state="frozen"/>
      <selection/>
      <selection pane="topRight"/>
      <selection pane="bottomLeft"/>
      <selection pane="bottomRight" activeCell="C74" sqref="C74"/>
    </sheetView>
  </sheetViews>
  <sheetFormatPr defaultColWidth="9" defaultRowHeight="13.5"/>
  <cols>
    <col min="1" max="1" width="10.2083333333333" style="509" customWidth="1"/>
    <col min="2" max="2" width="9.36666666666667" style="509" customWidth="1"/>
    <col min="3" max="3" width="16.5083333333333" style="509" customWidth="1"/>
    <col min="4" max="4" width="11.3" style="509" customWidth="1"/>
    <col min="5" max="5" width="10.125" style="130" customWidth="1"/>
    <col min="6" max="6" width="10.25" style="130" customWidth="1"/>
    <col min="7" max="7" width="11.875" style="130" customWidth="1"/>
    <col min="8" max="8" width="10.6833333333333" style="130" customWidth="1"/>
    <col min="9" max="10" width="10.375" style="130" customWidth="1"/>
    <col min="11" max="11" width="10.225" style="130" customWidth="1"/>
    <col min="12" max="12" width="10" style="130" customWidth="1"/>
    <col min="13" max="13" width="10.25" style="134" customWidth="1"/>
    <col min="14" max="14" width="9.5" style="130" customWidth="1"/>
    <col min="15" max="15" width="8.375" style="130" customWidth="1"/>
    <col min="16" max="16" width="8.75" style="130" customWidth="1"/>
    <col min="17" max="17" width="9.125" style="130" customWidth="1"/>
    <col min="18" max="18" width="11.9083333333333" style="134" customWidth="1"/>
    <col min="19" max="19" width="11.9083333333333" style="130" customWidth="1"/>
    <col min="20" max="20" width="11.125" style="130" customWidth="1"/>
    <col min="21" max="21" width="9.45" style="130" customWidth="1"/>
    <col min="22" max="22" width="10.6833333333333" style="130" customWidth="1"/>
    <col min="23" max="25" width="9.45" style="130" customWidth="1"/>
    <col min="26" max="26" width="11.9083333333333" style="134" customWidth="1"/>
    <col min="27" max="27" width="10.6833333333333" style="130" customWidth="1"/>
    <col min="28" max="28" width="9.45" style="130" customWidth="1"/>
    <col min="29" max="29" width="9.86666666666667" style="130" customWidth="1"/>
    <col min="30" max="43" width="10.6333333333333" style="130" customWidth="1"/>
    <col min="44" max="44" width="9.375" style="134" customWidth="1"/>
    <col min="45" max="47" width="9.36666666666667" style="130" customWidth="1"/>
    <col min="48" max="49" width="9" style="130" customWidth="1"/>
    <col min="50" max="67" width="9.36666666666667" style="130" customWidth="1"/>
    <col min="68" max="68" width="34.75" style="548" customWidth="1"/>
  </cols>
  <sheetData>
    <row r="1" ht="27" spans="1:68">
      <c r="A1" s="591" t="s">
        <v>177</v>
      </c>
      <c r="B1" s="591"/>
      <c r="C1" s="591"/>
      <c r="D1" s="591"/>
      <c r="E1" s="591"/>
      <c r="F1" s="591"/>
      <c r="G1" s="591"/>
      <c r="H1" s="591"/>
      <c r="I1" s="591"/>
      <c r="J1" s="591"/>
      <c r="K1" s="591"/>
      <c r="L1" s="591"/>
      <c r="M1" s="591"/>
      <c r="N1" s="591"/>
      <c r="O1" s="591"/>
      <c r="P1" s="591"/>
      <c r="Q1" s="591"/>
      <c r="R1" s="591"/>
      <c r="S1" s="591"/>
      <c r="T1" s="591"/>
      <c r="U1" s="591"/>
      <c r="V1" s="591"/>
      <c r="W1" s="591"/>
      <c r="X1" s="591"/>
      <c r="Y1" s="591"/>
      <c r="Z1" s="591"/>
      <c r="AA1" s="591"/>
      <c r="AB1" s="591"/>
      <c r="AC1" s="591"/>
      <c r="AD1" s="591"/>
      <c r="AE1" s="591"/>
      <c r="AF1" s="591"/>
      <c r="AG1" s="591"/>
      <c r="AH1" s="591"/>
      <c r="AI1" s="591"/>
      <c r="AJ1" s="591"/>
      <c r="AK1" s="591"/>
      <c r="AL1" s="591"/>
      <c r="AM1" s="591"/>
      <c r="AN1" s="591"/>
      <c r="AO1" s="591"/>
      <c r="AP1" s="591"/>
      <c r="AQ1" s="591"/>
      <c r="AR1" s="591"/>
      <c r="AS1" s="591"/>
      <c r="AT1" s="591"/>
      <c r="AU1" s="591"/>
      <c r="AV1" s="591"/>
      <c r="AW1" s="591"/>
      <c r="AX1" s="591"/>
      <c r="AY1" s="591"/>
      <c r="AZ1" s="591"/>
      <c r="BA1" s="591"/>
      <c r="BB1" s="591"/>
      <c r="BC1" s="591"/>
      <c r="BD1" s="591"/>
      <c r="BE1" s="591"/>
      <c r="BF1" s="591"/>
      <c r="BG1" s="591"/>
      <c r="BH1" s="591"/>
      <c r="BI1" s="591"/>
      <c r="BJ1" s="591"/>
      <c r="BK1" s="591"/>
      <c r="BL1" s="591"/>
      <c r="BM1" s="591"/>
      <c r="BN1" s="591"/>
      <c r="BO1" s="591"/>
      <c r="BP1" s="644"/>
    </row>
    <row r="2" s="18" customFormat="1" spans="1:68">
      <c r="A2" s="592"/>
      <c r="B2" s="593"/>
      <c r="C2" s="593"/>
      <c r="D2" s="593"/>
      <c r="E2" s="595"/>
      <c r="F2" s="595"/>
      <c r="G2" s="595"/>
      <c r="H2" s="595"/>
      <c r="I2" s="663"/>
      <c r="J2" s="595"/>
      <c r="K2" s="595"/>
      <c r="L2" s="595"/>
      <c r="M2" s="594"/>
      <c r="N2" s="595"/>
      <c r="O2" s="595"/>
      <c r="P2" s="595"/>
      <c r="Q2" s="595"/>
      <c r="R2" s="594"/>
      <c r="S2" s="595"/>
      <c r="T2" s="595"/>
      <c r="U2" s="595"/>
      <c r="V2" s="595"/>
      <c r="W2" s="595"/>
      <c r="X2" s="595"/>
      <c r="Y2" s="595"/>
      <c r="Z2" s="594"/>
      <c r="AA2" s="595"/>
      <c r="AB2" s="595"/>
      <c r="AC2" s="595"/>
      <c r="AD2" s="595"/>
      <c r="AE2" s="595"/>
      <c r="AF2" s="595"/>
      <c r="AG2" s="595"/>
      <c r="AH2" s="595"/>
      <c r="AI2" s="595"/>
      <c r="AJ2" s="595"/>
      <c r="AK2" s="595"/>
      <c r="AL2" s="630">
        <f>AL6+AQ6</f>
        <v>6152.1574</v>
      </c>
      <c r="AM2" s="595"/>
      <c r="AN2" s="595"/>
      <c r="AO2" s="595"/>
      <c r="AP2" s="595"/>
      <c r="AQ2" s="595"/>
      <c r="AR2" s="594"/>
      <c r="AS2" s="595"/>
      <c r="AT2" s="595"/>
      <c r="AU2" s="595"/>
      <c r="AV2" s="595"/>
      <c r="AW2" s="595"/>
      <c r="AX2" s="595"/>
      <c r="AY2" s="595"/>
      <c r="AZ2" s="595"/>
      <c r="BA2" s="595"/>
      <c r="BB2" s="595"/>
      <c r="BC2" s="595"/>
      <c r="BD2" s="595"/>
      <c r="BE2" s="595"/>
      <c r="BF2" s="595"/>
      <c r="BG2" s="595"/>
      <c r="BH2" s="595"/>
      <c r="BI2" s="595"/>
      <c r="BJ2" s="595"/>
      <c r="BK2" s="595"/>
      <c r="BL2" s="595"/>
      <c r="BM2" s="595"/>
      <c r="BN2" s="595"/>
      <c r="BO2" s="595"/>
      <c r="BP2" s="592" t="s">
        <v>2</v>
      </c>
    </row>
    <row r="3" s="132" customFormat="1" spans="1:68">
      <c r="A3" s="601" t="s">
        <v>178</v>
      </c>
      <c r="B3" s="659" t="s">
        <v>179</v>
      </c>
      <c r="C3" s="601" t="s">
        <v>157</v>
      </c>
      <c r="D3" s="601" t="s">
        <v>156</v>
      </c>
      <c r="E3" s="598" t="s">
        <v>114</v>
      </c>
      <c r="F3" s="599"/>
      <c r="G3" s="599"/>
      <c r="H3" s="599"/>
      <c r="I3" s="599"/>
      <c r="J3" s="599"/>
      <c r="K3" s="599"/>
      <c r="L3" s="599"/>
      <c r="M3" s="599"/>
      <c r="N3" s="599"/>
      <c r="O3" s="599"/>
      <c r="P3" s="599"/>
      <c r="Q3" s="626"/>
      <c r="R3" s="627" t="s">
        <v>158</v>
      </c>
      <c r="S3" s="628"/>
      <c r="T3" s="628"/>
      <c r="U3" s="628"/>
      <c r="V3" s="628"/>
      <c r="W3" s="628"/>
      <c r="X3" s="628"/>
      <c r="Y3" s="628"/>
      <c r="Z3" s="628"/>
      <c r="AA3" s="628"/>
      <c r="AB3" s="628"/>
      <c r="AC3" s="628"/>
      <c r="AD3" s="629"/>
      <c r="AE3" s="598" t="s">
        <v>159</v>
      </c>
      <c r="AF3" s="599"/>
      <c r="AG3" s="599"/>
      <c r="AH3" s="599"/>
      <c r="AI3" s="599"/>
      <c r="AJ3" s="599"/>
      <c r="AK3" s="599"/>
      <c r="AL3" s="599"/>
      <c r="AM3" s="599"/>
      <c r="AN3" s="599"/>
      <c r="AO3" s="599"/>
      <c r="AP3" s="599"/>
      <c r="AQ3" s="599"/>
      <c r="AR3" s="631" t="s">
        <v>180</v>
      </c>
      <c r="AS3" s="603"/>
      <c r="AT3" s="603"/>
      <c r="AU3" s="603"/>
      <c r="AV3" s="603"/>
      <c r="AW3" s="603"/>
      <c r="AX3" s="603"/>
      <c r="AY3" s="603"/>
      <c r="AZ3" s="603"/>
      <c r="BA3" s="603"/>
      <c r="BB3" s="603"/>
      <c r="BC3" s="603"/>
      <c r="BD3" s="603"/>
      <c r="BE3" s="603"/>
      <c r="BF3" s="603"/>
      <c r="BG3" s="603"/>
      <c r="BH3" s="603"/>
      <c r="BI3" s="603"/>
      <c r="BJ3" s="603"/>
      <c r="BK3" s="603"/>
      <c r="BL3" s="603"/>
      <c r="BM3" s="603"/>
      <c r="BN3" s="603"/>
      <c r="BO3" s="621"/>
      <c r="BP3" s="596" t="s">
        <v>181</v>
      </c>
    </row>
    <row r="4" s="590" customFormat="1" ht="16" customHeight="1" spans="1:68">
      <c r="A4" s="601"/>
      <c r="B4" s="660"/>
      <c r="C4" s="601"/>
      <c r="D4" s="601"/>
      <c r="E4" s="601" t="s">
        <v>22</v>
      </c>
      <c r="F4" s="602" t="s">
        <v>182</v>
      </c>
      <c r="G4" s="603"/>
      <c r="H4" s="603"/>
      <c r="I4" s="603"/>
      <c r="J4" s="603"/>
      <c r="K4" s="603"/>
      <c r="L4" s="621"/>
      <c r="M4" s="601" t="s">
        <v>183</v>
      </c>
      <c r="N4" s="596"/>
      <c r="O4" s="596"/>
      <c r="P4" s="596"/>
      <c r="Q4" s="596"/>
      <c r="R4" s="601" t="s">
        <v>22</v>
      </c>
      <c r="S4" s="602" t="s">
        <v>182</v>
      </c>
      <c r="T4" s="603"/>
      <c r="U4" s="603"/>
      <c r="V4" s="603"/>
      <c r="W4" s="603"/>
      <c r="X4" s="603"/>
      <c r="Y4" s="621"/>
      <c r="Z4" s="601" t="s">
        <v>183</v>
      </c>
      <c r="AA4" s="596"/>
      <c r="AB4" s="596"/>
      <c r="AC4" s="596"/>
      <c r="AD4" s="596"/>
      <c r="AE4" s="601" t="s">
        <v>22</v>
      </c>
      <c r="AF4" s="602" t="s">
        <v>182</v>
      </c>
      <c r="AG4" s="603"/>
      <c r="AH4" s="603"/>
      <c r="AI4" s="603"/>
      <c r="AJ4" s="603"/>
      <c r="AK4" s="603"/>
      <c r="AL4" s="621"/>
      <c r="AM4" s="601" t="s">
        <v>183</v>
      </c>
      <c r="AN4" s="596"/>
      <c r="AO4" s="596"/>
      <c r="AP4" s="596"/>
      <c r="AQ4" s="665"/>
      <c r="AR4" s="666" t="s">
        <v>114</v>
      </c>
      <c r="AS4" s="601"/>
      <c r="AT4" s="601"/>
      <c r="AU4" s="601"/>
      <c r="AV4" s="601"/>
      <c r="AW4" s="601"/>
      <c r="AX4" s="601"/>
      <c r="AY4" s="601"/>
      <c r="AZ4" s="640" t="s">
        <v>158</v>
      </c>
      <c r="BA4" s="641"/>
      <c r="BB4" s="641"/>
      <c r="BC4" s="641"/>
      <c r="BD4" s="641"/>
      <c r="BE4" s="641"/>
      <c r="BF4" s="641"/>
      <c r="BG4" s="643"/>
      <c r="BH4" s="602" t="s">
        <v>159</v>
      </c>
      <c r="BI4" s="603"/>
      <c r="BJ4" s="603"/>
      <c r="BK4" s="603"/>
      <c r="BL4" s="603"/>
      <c r="BM4" s="603"/>
      <c r="BN4" s="603"/>
      <c r="BO4" s="621"/>
      <c r="BP4" s="596"/>
    </row>
    <row r="5" s="510" customFormat="1" ht="48" customHeight="1" spans="1:68">
      <c r="A5" s="661"/>
      <c r="B5" s="662"/>
      <c r="C5" s="661"/>
      <c r="D5" s="661"/>
      <c r="E5" s="606"/>
      <c r="F5" s="607" t="s">
        <v>184</v>
      </c>
      <c r="G5" s="607" t="s">
        <v>185</v>
      </c>
      <c r="H5" s="607" t="s">
        <v>186</v>
      </c>
      <c r="I5" s="625" t="s">
        <v>187</v>
      </c>
      <c r="J5" s="664" t="s">
        <v>188</v>
      </c>
      <c r="K5" s="607" t="s">
        <v>189</v>
      </c>
      <c r="L5" s="607" t="s">
        <v>190</v>
      </c>
      <c r="M5" s="607" t="s">
        <v>184</v>
      </c>
      <c r="N5" s="607" t="s">
        <v>191</v>
      </c>
      <c r="O5" s="607" t="s">
        <v>192</v>
      </c>
      <c r="P5" s="607" t="s">
        <v>193</v>
      </c>
      <c r="Q5" s="607" t="s">
        <v>194</v>
      </c>
      <c r="R5" s="606"/>
      <c r="S5" s="607" t="s">
        <v>184</v>
      </c>
      <c r="T5" s="607" t="s">
        <v>185</v>
      </c>
      <c r="U5" s="607" t="s">
        <v>186</v>
      </c>
      <c r="V5" s="625" t="s">
        <v>187</v>
      </c>
      <c r="W5" s="664" t="s">
        <v>188</v>
      </c>
      <c r="X5" s="607" t="s">
        <v>189</v>
      </c>
      <c r="Y5" s="607" t="s">
        <v>190</v>
      </c>
      <c r="Z5" s="607" t="s">
        <v>184</v>
      </c>
      <c r="AA5" s="607" t="s">
        <v>191</v>
      </c>
      <c r="AB5" s="607" t="s">
        <v>192</v>
      </c>
      <c r="AC5" s="607" t="s">
        <v>193</v>
      </c>
      <c r="AD5" s="607" t="s">
        <v>194</v>
      </c>
      <c r="AE5" s="606"/>
      <c r="AF5" s="607" t="s">
        <v>184</v>
      </c>
      <c r="AG5" s="607" t="s">
        <v>185</v>
      </c>
      <c r="AH5" s="607" t="s">
        <v>186</v>
      </c>
      <c r="AI5" s="625" t="s">
        <v>187</v>
      </c>
      <c r="AJ5" s="664" t="s">
        <v>188</v>
      </c>
      <c r="AK5" s="607" t="s">
        <v>189</v>
      </c>
      <c r="AL5" s="607" t="s">
        <v>190</v>
      </c>
      <c r="AM5" s="607" t="s">
        <v>184</v>
      </c>
      <c r="AN5" s="607" t="s">
        <v>191</v>
      </c>
      <c r="AO5" s="607" t="s">
        <v>192</v>
      </c>
      <c r="AP5" s="607" t="s">
        <v>193</v>
      </c>
      <c r="AQ5" s="633" t="s">
        <v>194</v>
      </c>
      <c r="AR5" s="634" t="s">
        <v>22</v>
      </c>
      <c r="AS5" s="625" t="s">
        <v>195</v>
      </c>
      <c r="AT5" s="625" t="s">
        <v>196</v>
      </c>
      <c r="AU5" s="625" t="s">
        <v>197</v>
      </c>
      <c r="AV5" s="625" t="s">
        <v>198</v>
      </c>
      <c r="AW5" s="625" t="s">
        <v>199</v>
      </c>
      <c r="AX5" s="625" t="s">
        <v>200</v>
      </c>
      <c r="AY5" s="625" t="s">
        <v>201</v>
      </c>
      <c r="AZ5" s="606" t="s">
        <v>22</v>
      </c>
      <c r="BA5" s="625" t="s">
        <v>195</v>
      </c>
      <c r="BB5" s="625" t="s">
        <v>196</v>
      </c>
      <c r="BC5" s="625" t="s">
        <v>197</v>
      </c>
      <c r="BD5" s="625" t="s">
        <v>198</v>
      </c>
      <c r="BE5" s="625" t="s">
        <v>199</v>
      </c>
      <c r="BF5" s="625" t="s">
        <v>200</v>
      </c>
      <c r="BG5" s="625" t="s">
        <v>201</v>
      </c>
      <c r="BH5" s="606" t="s">
        <v>22</v>
      </c>
      <c r="BI5" s="625" t="s">
        <v>195</v>
      </c>
      <c r="BJ5" s="625" t="s">
        <v>196</v>
      </c>
      <c r="BK5" s="625" t="s">
        <v>197</v>
      </c>
      <c r="BL5" s="625" t="s">
        <v>198</v>
      </c>
      <c r="BM5" s="625" t="s">
        <v>199</v>
      </c>
      <c r="BN5" s="625" t="s">
        <v>200</v>
      </c>
      <c r="BO5" s="625" t="s">
        <v>201</v>
      </c>
      <c r="BP5" s="625"/>
    </row>
    <row r="6" s="508" customFormat="1" ht="17" customHeight="1" spans="1:68">
      <c r="A6" s="608"/>
      <c r="B6" s="609"/>
      <c r="C6" s="610" t="s">
        <v>22</v>
      </c>
      <c r="D6" s="611"/>
      <c r="E6" s="612">
        <f t="shared" ref="E6:P6" si="0">E7+E134+E145+E207+E212+E226+E239+E265+E277+E289+E298+E301+E309</f>
        <v>23287.3916</v>
      </c>
      <c r="F6" s="612">
        <f t="shared" si="0"/>
        <v>18336.5316</v>
      </c>
      <c r="G6" s="612">
        <f t="shared" si="0"/>
        <v>6860.5396</v>
      </c>
      <c r="H6" s="612">
        <f t="shared" si="0"/>
        <v>5139.9032</v>
      </c>
      <c r="I6" s="612">
        <f t="shared" si="0"/>
        <v>578.8424</v>
      </c>
      <c r="J6" s="612">
        <f t="shared" si="0"/>
        <v>140.28</v>
      </c>
      <c r="K6" s="612">
        <f t="shared" si="0"/>
        <v>121.4664</v>
      </c>
      <c r="L6" s="612">
        <f t="shared" si="0"/>
        <v>5495.5</v>
      </c>
      <c r="M6" s="612">
        <f t="shared" si="0"/>
        <v>4950.86</v>
      </c>
      <c r="N6" s="612">
        <f t="shared" si="0"/>
        <v>2594.2</v>
      </c>
      <c r="O6" s="612">
        <f t="shared" si="0"/>
        <v>712.71</v>
      </c>
      <c r="P6" s="612">
        <f t="shared" si="0"/>
        <v>862.45</v>
      </c>
      <c r="Q6" s="612">
        <f t="shared" ref="Q6:AE6" si="1">Q7+Q134+Q145+Q207+Q212+Q226+Q239+Q265+Q277+Q289+Q298+Q301+Q309</f>
        <v>781.5</v>
      </c>
      <c r="R6" s="612">
        <f t="shared" si="1"/>
        <v>-721.0227</v>
      </c>
      <c r="S6" s="612">
        <f t="shared" si="1"/>
        <v>-846.0583</v>
      </c>
      <c r="T6" s="612">
        <f t="shared" si="1"/>
        <v>-581.2236</v>
      </c>
      <c r="U6" s="612">
        <f t="shared" si="1"/>
        <v>-129.2023</v>
      </c>
      <c r="V6" s="612">
        <f t="shared" si="1"/>
        <v>-1.7278</v>
      </c>
      <c r="W6" s="612">
        <f t="shared" si="1"/>
        <v>-1.18</v>
      </c>
      <c r="X6" s="612">
        <f t="shared" si="1"/>
        <v>6.258</v>
      </c>
      <c r="Y6" s="612">
        <f t="shared" si="1"/>
        <v>-138.9826</v>
      </c>
      <c r="Z6" s="612">
        <f t="shared" si="1"/>
        <v>125.0356</v>
      </c>
      <c r="AA6" s="612">
        <f t="shared" si="1"/>
        <v>7.4658</v>
      </c>
      <c r="AB6" s="612">
        <f t="shared" si="1"/>
        <v>59.73</v>
      </c>
      <c r="AC6" s="612">
        <f t="shared" si="1"/>
        <v>43.6998</v>
      </c>
      <c r="AD6" s="612">
        <f t="shared" si="1"/>
        <v>14.14</v>
      </c>
      <c r="AE6" s="612">
        <f t="shared" ref="AE6:AQ6" si="2">AE7+AE134+AE145+AE207+AE212+AE226+AE239+AE265+AE277+AE289+AE298+AE301+AE309</f>
        <v>22566.3689</v>
      </c>
      <c r="AF6" s="612">
        <f t="shared" si="2"/>
        <v>17490.4733</v>
      </c>
      <c r="AG6" s="612">
        <f t="shared" si="2"/>
        <v>6279.316</v>
      </c>
      <c r="AH6" s="612">
        <f t="shared" si="2"/>
        <v>5010.7009</v>
      </c>
      <c r="AI6" s="612">
        <f t="shared" si="2"/>
        <v>577.1146</v>
      </c>
      <c r="AJ6" s="612">
        <f t="shared" si="2"/>
        <v>139.1</v>
      </c>
      <c r="AK6" s="612">
        <f t="shared" si="2"/>
        <v>127.7244</v>
      </c>
      <c r="AL6" s="612">
        <f t="shared" si="2"/>
        <v>5356.5174</v>
      </c>
      <c r="AM6" s="612">
        <f t="shared" si="2"/>
        <v>5075.8956</v>
      </c>
      <c r="AN6" s="612">
        <f t="shared" si="2"/>
        <v>2601.6658</v>
      </c>
      <c r="AO6" s="612">
        <f t="shared" si="2"/>
        <v>772.44</v>
      </c>
      <c r="AP6" s="612">
        <f t="shared" si="2"/>
        <v>906.1498</v>
      </c>
      <c r="AQ6" s="635">
        <f t="shared" si="2"/>
        <v>795.64</v>
      </c>
      <c r="AR6" s="636">
        <f t="shared" ref="AR6:AY6" si="3">AR7+AR134+AR145+AR207+AR212+AR226+AR239+AR265+AR277+AR289+AR298+AR301+AR309</f>
        <v>6108.0843024</v>
      </c>
      <c r="AS6" s="612">
        <f t="shared" si="3"/>
        <v>2891.965632</v>
      </c>
      <c r="AT6" s="612">
        <f t="shared" si="3"/>
        <v>960.035424</v>
      </c>
      <c r="AU6" s="612">
        <f t="shared" si="3"/>
        <v>720.026568</v>
      </c>
      <c r="AV6" s="612">
        <f t="shared" si="3"/>
        <v>24.0008856</v>
      </c>
      <c r="AW6" s="612">
        <f t="shared" si="3"/>
        <v>72.0026568</v>
      </c>
      <c r="AX6" s="612">
        <f t="shared" si="3"/>
        <v>1440.053136</v>
      </c>
      <c r="AY6" s="612">
        <f t="shared" si="3"/>
        <v>0</v>
      </c>
      <c r="AZ6" s="612">
        <f t="shared" ref="AZ6:BO6" si="4">AZ7+AZ134+AZ145+AZ207+AZ212+AZ226+AZ239+AZ265+AZ277+AZ289+AZ298+AZ301+AZ309</f>
        <v>-326.5759492</v>
      </c>
      <c r="BA6" s="612">
        <f t="shared" si="4"/>
        <v>-136.181808</v>
      </c>
      <c r="BB6" s="612">
        <f t="shared" si="4"/>
        <v>-56.834072</v>
      </c>
      <c r="BC6" s="612">
        <f t="shared" si="4"/>
        <v>-42.625554</v>
      </c>
      <c r="BD6" s="612">
        <f t="shared" si="4"/>
        <v>-1.4208518</v>
      </c>
      <c r="BE6" s="612">
        <f t="shared" si="4"/>
        <v>-4.2625554</v>
      </c>
      <c r="BF6" s="612">
        <f t="shared" si="4"/>
        <v>-85.251108</v>
      </c>
      <c r="BG6" s="612">
        <f t="shared" si="4"/>
        <v>0</v>
      </c>
      <c r="BH6" s="612">
        <f t="shared" si="4"/>
        <v>5781.5083532</v>
      </c>
      <c r="BI6" s="612">
        <f t="shared" si="4"/>
        <v>2755.783824</v>
      </c>
      <c r="BJ6" s="612">
        <f t="shared" si="4"/>
        <v>903.201352</v>
      </c>
      <c r="BK6" s="612">
        <f t="shared" si="4"/>
        <v>677.401014</v>
      </c>
      <c r="BL6" s="612">
        <f t="shared" si="4"/>
        <v>22.5800338</v>
      </c>
      <c r="BM6" s="612">
        <f t="shared" si="4"/>
        <v>67.7401014</v>
      </c>
      <c r="BN6" s="612">
        <f t="shared" si="4"/>
        <v>1354.802028</v>
      </c>
      <c r="BO6" s="612">
        <f t="shared" si="4"/>
        <v>0</v>
      </c>
      <c r="BP6" s="608"/>
    </row>
    <row r="7" s="508" customFormat="1" ht="24" customHeight="1" spans="1:68">
      <c r="A7" s="608"/>
      <c r="B7" s="608"/>
      <c r="C7" s="613" t="s">
        <v>126</v>
      </c>
      <c r="D7" s="614">
        <v>201</v>
      </c>
      <c r="E7" s="612">
        <f t="shared" ref="E7:P7" si="5">SUM(E8:E133)</f>
        <v>11332.8867</v>
      </c>
      <c r="F7" s="612">
        <f t="shared" si="5"/>
        <v>9658.5367</v>
      </c>
      <c r="G7" s="612">
        <f t="shared" si="5"/>
        <v>3724.0804</v>
      </c>
      <c r="H7" s="612">
        <f t="shared" si="5"/>
        <v>2440.6532</v>
      </c>
      <c r="I7" s="612">
        <f t="shared" si="5"/>
        <v>312.1691</v>
      </c>
      <c r="J7" s="612">
        <f t="shared" si="5"/>
        <v>124.44</v>
      </c>
      <c r="K7" s="612">
        <f t="shared" si="5"/>
        <v>25.204</v>
      </c>
      <c r="L7" s="612">
        <f t="shared" si="5"/>
        <v>3031.99</v>
      </c>
      <c r="M7" s="612">
        <f t="shared" si="5"/>
        <v>1674.35</v>
      </c>
      <c r="N7" s="612">
        <f t="shared" si="5"/>
        <v>727.699999999999</v>
      </c>
      <c r="O7" s="612">
        <f t="shared" si="5"/>
        <v>30</v>
      </c>
      <c r="P7" s="612">
        <f t="shared" si="5"/>
        <v>480.15</v>
      </c>
      <c r="Q7" s="612">
        <f t="shared" ref="Q7:AE7" si="6">SUM(Q8:Q133)</f>
        <v>436.5</v>
      </c>
      <c r="R7" s="612">
        <f t="shared" si="6"/>
        <v>-441.62796</v>
      </c>
      <c r="S7" s="612">
        <f t="shared" si="6"/>
        <v>-500.40586</v>
      </c>
      <c r="T7" s="612">
        <f t="shared" si="6"/>
        <v>-291.744</v>
      </c>
      <c r="U7" s="612">
        <f t="shared" si="6"/>
        <v>-82.87</v>
      </c>
      <c r="V7" s="612">
        <f t="shared" si="6"/>
        <v>-18.54</v>
      </c>
      <c r="W7" s="612">
        <f t="shared" si="6"/>
        <v>-1.74</v>
      </c>
      <c r="X7" s="612">
        <f t="shared" si="6"/>
        <v>-10.942</v>
      </c>
      <c r="Y7" s="612">
        <f t="shared" si="6"/>
        <v>-94.56986</v>
      </c>
      <c r="Z7" s="612">
        <f t="shared" si="6"/>
        <v>58.7779</v>
      </c>
      <c r="AA7" s="612">
        <f t="shared" si="6"/>
        <v>8.4962</v>
      </c>
      <c r="AB7" s="612">
        <f t="shared" si="6"/>
        <v>48.93</v>
      </c>
      <c r="AC7" s="612">
        <f t="shared" si="6"/>
        <v>-0.639999999999996</v>
      </c>
      <c r="AD7" s="612">
        <f t="shared" si="6"/>
        <v>1.9917</v>
      </c>
      <c r="AE7" s="612">
        <f t="shared" ref="AE7:AQ7" si="7">SUM(AE8:AE133)</f>
        <v>10891.25874</v>
      </c>
      <c r="AF7" s="612">
        <f t="shared" si="7"/>
        <v>9158.13084</v>
      </c>
      <c r="AG7" s="612">
        <f t="shared" si="7"/>
        <v>3432.3364</v>
      </c>
      <c r="AH7" s="612">
        <f t="shared" si="7"/>
        <v>2357.7832</v>
      </c>
      <c r="AI7" s="612">
        <f t="shared" si="7"/>
        <v>293.6291</v>
      </c>
      <c r="AJ7" s="612">
        <f t="shared" si="7"/>
        <v>122.7</v>
      </c>
      <c r="AK7" s="612">
        <f t="shared" si="7"/>
        <v>14.262</v>
      </c>
      <c r="AL7" s="612">
        <f t="shared" si="7"/>
        <v>2937.42014</v>
      </c>
      <c r="AM7" s="612">
        <f t="shared" si="7"/>
        <v>1733.1279</v>
      </c>
      <c r="AN7" s="612">
        <f t="shared" si="7"/>
        <v>736.1962</v>
      </c>
      <c r="AO7" s="612">
        <f t="shared" si="7"/>
        <v>78.93</v>
      </c>
      <c r="AP7" s="612">
        <f t="shared" si="7"/>
        <v>479.51</v>
      </c>
      <c r="AQ7" s="635">
        <f t="shared" si="7"/>
        <v>438.4917</v>
      </c>
      <c r="AR7" s="636">
        <f t="shared" ref="AR7:AY7" si="8">SUM(AR8:AR133)</f>
        <v>3173.5714368</v>
      </c>
      <c r="AS7" s="612">
        <f t="shared" si="8"/>
        <v>1521.422832</v>
      </c>
      <c r="AT7" s="612">
        <f t="shared" si="8"/>
        <v>493.178688</v>
      </c>
      <c r="AU7" s="612">
        <f t="shared" si="8"/>
        <v>369.884016</v>
      </c>
      <c r="AV7" s="612">
        <f t="shared" si="8"/>
        <v>12.3294672</v>
      </c>
      <c r="AW7" s="612">
        <f t="shared" si="8"/>
        <v>36.9884016</v>
      </c>
      <c r="AX7" s="612">
        <f t="shared" si="8"/>
        <v>739.768032</v>
      </c>
      <c r="AY7" s="612">
        <f t="shared" si="8"/>
        <v>0</v>
      </c>
      <c r="AZ7" s="612">
        <f t="shared" ref="AZ7:BO7" si="9">SUM(AZ8:AZ133)</f>
        <v>-178.4323696</v>
      </c>
      <c r="BA7" s="612">
        <f t="shared" si="9"/>
        <v>-78.0358176</v>
      </c>
      <c r="BB7" s="612">
        <f t="shared" si="9"/>
        <v>-29.96912</v>
      </c>
      <c r="BC7" s="612">
        <f t="shared" si="9"/>
        <v>-22.47684</v>
      </c>
      <c r="BD7" s="612">
        <f t="shared" si="9"/>
        <v>-0.749228</v>
      </c>
      <c r="BE7" s="612">
        <f t="shared" si="9"/>
        <v>-2.247684</v>
      </c>
      <c r="BF7" s="612">
        <f t="shared" si="9"/>
        <v>-44.95368</v>
      </c>
      <c r="BG7" s="612">
        <f t="shared" si="9"/>
        <v>0</v>
      </c>
      <c r="BH7" s="612">
        <f t="shared" si="9"/>
        <v>2995.1390672</v>
      </c>
      <c r="BI7" s="612">
        <f t="shared" si="9"/>
        <v>1443.3870144</v>
      </c>
      <c r="BJ7" s="612">
        <f t="shared" si="9"/>
        <v>463.209568</v>
      </c>
      <c r="BK7" s="612">
        <f t="shared" si="9"/>
        <v>347.407176</v>
      </c>
      <c r="BL7" s="612">
        <f t="shared" si="9"/>
        <v>11.5802392</v>
      </c>
      <c r="BM7" s="612">
        <f t="shared" si="9"/>
        <v>34.7407176</v>
      </c>
      <c r="BN7" s="612">
        <f t="shared" si="9"/>
        <v>694.814352</v>
      </c>
      <c r="BO7" s="612">
        <f t="shared" si="9"/>
        <v>0</v>
      </c>
      <c r="BP7" s="608"/>
    </row>
    <row r="8" s="130" customFormat="1" ht="36" spans="1:68">
      <c r="A8" s="497" t="s">
        <v>202</v>
      </c>
      <c r="B8" s="497" t="s">
        <v>203</v>
      </c>
      <c r="C8" s="497" t="s">
        <v>204</v>
      </c>
      <c r="D8" s="497" t="s">
        <v>205</v>
      </c>
      <c r="E8" s="615">
        <f>F8+M8</f>
        <v>416.29</v>
      </c>
      <c r="F8" s="615">
        <f>SUM(G8:L8)</f>
        <v>384.79</v>
      </c>
      <c r="G8" s="616">
        <v>157.09</v>
      </c>
      <c r="H8" s="616">
        <v>92.5</v>
      </c>
      <c r="I8" s="616">
        <v>13.09</v>
      </c>
      <c r="J8" s="616"/>
      <c r="K8" s="616"/>
      <c r="L8" s="616">
        <v>122.11</v>
      </c>
      <c r="M8" s="615">
        <f>SUM(N8:Q8)</f>
        <v>31.5</v>
      </c>
      <c r="N8" s="616"/>
      <c r="O8" s="616"/>
      <c r="P8" s="616">
        <v>16.5</v>
      </c>
      <c r="Q8" s="616">
        <v>15</v>
      </c>
      <c r="R8" s="615">
        <f t="shared" ref="R8:R16" si="10">S8+Z8</f>
        <v>-22.67</v>
      </c>
      <c r="S8" s="615">
        <f>SUM(T8:Y8)</f>
        <v>-26.01</v>
      </c>
      <c r="T8" s="616">
        <v>-19.75</v>
      </c>
      <c r="U8" s="616"/>
      <c r="V8" s="616"/>
      <c r="W8" s="616"/>
      <c r="X8" s="616">
        <v>0.14</v>
      </c>
      <c r="Y8" s="616">
        <v>-6.4</v>
      </c>
      <c r="Z8" s="615">
        <f>SUM(AA8:AD8)</f>
        <v>3.34</v>
      </c>
      <c r="AA8" s="616"/>
      <c r="AB8" s="616">
        <v>1.35</v>
      </c>
      <c r="AC8" s="616">
        <v>3.2</v>
      </c>
      <c r="AD8" s="616">
        <v>-1.21</v>
      </c>
      <c r="AE8" s="615">
        <f>AF8+AM8</f>
        <v>393.62</v>
      </c>
      <c r="AF8" s="615">
        <f>SUM(AG8:AL8)</f>
        <v>358.78</v>
      </c>
      <c r="AG8" s="616">
        <f>G8+T8</f>
        <v>137.34</v>
      </c>
      <c r="AH8" s="616">
        <f>H8+U8</f>
        <v>92.5</v>
      </c>
      <c r="AI8" s="616">
        <f t="shared" ref="AI8:AQ8" si="11">I8+V8</f>
        <v>13.09</v>
      </c>
      <c r="AJ8" s="616">
        <f t="shared" si="11"/>
        <v>0</v>
      </c>
      <c r="AK8" s="616">
        <f t="shared" si="11"/>
        <v>0.14</v>
      </c>
      <c r="AL8" s="616">
        <f t="shared" si="11"/>
        <v>115.71</v>
      </c>
      <c r="AM8" s="615">
        <f>SUM(AN8:AQ8)</f>
        <v>34.84</v>
      </c>
      <c r="AN8" s="616">
        <f t="shared" si="11"/>
        <v>0</v>
      </c>
      <c r="AO8" s="616">
        <f t="shared" si="11"/>
        <v>1.35</v>
      </c>
      <c r="AP8" s="616">
        <f t="shared" si="11"/>
        <v>19.7</v>
      </c>
      <c r="AQ8" s="637">
        <f t="shared" si="11"/>
        <v>13.79</v>
      </c>
      <c r="AR8" s="638">
        <f t="shared" ref="AR8:AR16" si="12">SUM(AS8:AY8)</f>
        <v>128.45652</v>
      </c>
      <c r="AS8" s="616">
        <f>(G8+H8+I8+L8)*0.16</f>
        <v>61.5664</v>
      </c>
      <c r="AT8" s="616">
        <f>(G8+H8)*0.08</f>
        <v>19.9672</v>
      </c>
      <c r="AU8" s="616">
        <f>(G8+H8)*0.06</f>
        <v>14.9754</v>
      </c>
      <c r="AV8" s="616">
        <f>(G8+H8)*0.002</f>
        <v>0.49918</v>
      </c>
      <c r="AW8" s="616">
        <f>(G8+H8)*0.006</f>
        <v>1.49754</v>
      </c>
      <c r="AX8" s="616">
        <f>(G8+H8)*0.12</f>
        <v>29.9508</v>
      </c>
      <c r="AY8" s="616"/>
      <c r="AZ8" s="615">
        <f>SUM(BA8:BG8)</f>
        <v>-9.477</v>
      </c>
      <c r="BA8" s="616">
        <f>(T8+U8+V8+Y8)*0.16</f>
        <v>-4.184</v>
      </c>
      <c r="BB8" s="616">
        <f>(T8+U8)*0.08</f>
        <v>-1.58</v>
      </c>
      <c r="BC8" s="616">
        <f>(T8+U8)*0.06</f>
        <v>-1.185</v>
      </c>
      <c r="BD8" s="616">
        <f>(T8+U8)*0.002</f>
        <v>-0.0395</v>
      </c>
      <c r="BE8" s="616">
        <f>(T8+U8)*0.006</f>
        <v>-0.1185</v>
      </c>
      <c r="BF8" s="616">
        <f>(T8+U8)*0.12</f>
        <v>-2.37</v>
      </c>
      <c r="BG8" s="616"/>
      <c r="BH8" s="615">
        <f>SUM(BI8:BO8)</f>
        <v>118.97952</v>
      </c>
      <c r="BI8" s="616">
        <f>(AG8+AH8+AI8+AL8)*0.16</f>
        <v>57.3824</v>
      </c>
      <c r="BJ8" s="616">
        <f>(AG8+AH8)*0.08</f>
        <v>18.3872</v>
      </c>
      <c r="BK8" s="616">
        <f>(AG8+AH8)*0.06</f>
        <v>13.7904</v>
      </c>
      <c r="BL8" s="616">
        <f>(AG8+AH8)*0.002</f>
        <v>0.45968</v>
      </c>
      <c r="BM8" s="616">
        <f>(AG8+AH8)*0.006</f>
        <v>1.37904</v>
      </c>
      <c r="BN8" s="616">
        <f>(AG8+AH8)*0.12</f>
        <v>27.5808</v>
      </c>
      <c r="BO8" s="616"/>
      <c r="BP8" s="304"/>
    </row>
    <row r="9" s="130" customFormat="1" ht="36" spans="1:68">
      <c r="A9" s="497" t="s">
        <v>202</v>
      </c>
      <c r="B9" s="497" t="s">
        <v>206</v>
      </c>
      <c r="C9" s="497" t="s">
        <v>207</v>
      </c>
      <c r="D9" s="497" t="s">
        <v>208</v>
      </c>
      <c r="E9" s="615">
        <f t="shared" ref="E8:E16" si="13">F9+M9</f>
        <v>0</v>
      </c>
      <c r="F9" s="615">
        <f t="shared" ref="F9:F40" si="14">SUM(G9:L9)</f>
        <v>0</v>
      </c>
      <c r="G9" s="616"/>
      <c r="H9" s="616"/>
      <c r="I9" s="616"/>
      <c r="J9" s="616"/>
      <c r="K9" s="616"/>
      <c r="L9" s="616"/>
      <c r="M9" s="615">
        <f t="shared" ref="M8:M16" si="15">SUM(N9:Q9)</f>
        <v>0</v>
      </c>
      <c r="N9" s="616"/>
      <c r="O9" s="616"/>
      <c r="P9" s="616"/>
      <c r="Q9" s="616"/>
      <c r="R9" s="615">
        <f t="shared" si="10"/>
        <v>0</v>
      </c>
      <c r="S9" s="615">
        <f t="shared" ref="S9:S40" si="16">SUM(T9:Y9)</f>
        <v>0</v>
      </c>
      <c r="T9" s="616"/>
      <c r="U9" s="616"/>
      <c r="V9" s="616"/>
      <c r="W9" s="616"/>
      <c r="X9" s="616"/>
      <c r="Y9" s="616"/>
      <c r="Z9" s="615">
        <f t="shared" ref="Z8:Z16" si="17">SUM(AA9:AD9)</f>
        <v>0</v>
      </c>
      <c r="AA9" s="616"/>
      <c r="AB9" s="616"/>
      <c r="AC9" s="616"/>
      <c r="AD9" s="616"/>
      <c r="AE9" s="615">
        <f t="shared" ref="AE9:AE40" si="18">AF9+AM9</f>
        <v>0</v>
      </c>
      <c r="AF9" s="615">
        <f t="shared" ref="AF9:AF40" si="19">SUM(AG9:AL9)</f>
        <v>0</v>
      </c>
      <c r="AG9" s="616">
        <f t="shared" ref="AG9:AG40" si="20">G9+T9</f>
        <v>0</v>
      </c>
      <c r="AH9" s="616">
        <f t="shared" ref="AH9:AH40" si="21">H9+U9</f>
        <v>0</v>
      </c>
      <c r="AI9" s="616">
        <f t="shared" ref="AI9:AI40" si="22">I9+V9</f>
        <v>0</v>
      </c>
      <c r="AJ9" s="616">
        <f t="shared" ref="AJ9:AJ40" si="23">J9+W9</f>
        <v>0</v>
      </c>
      <c r="AK9" s="616">
        <f t="shared" ref="AK9:AK40" si="24">K9+X9</f>
        <v>0</v>
      </c>
      <c r="AL9" s="616">
        <f t="shared" ref="AL9:AL40" si="25">L9+Y9</f>
        <v>0</v>
      </c>
      <c r="AM9" s="615">
        <f t="shared" ref="AM9:AM40" si="26">SUM(AN9:AQ9)</f>
        <v>0</v>
      </c>
      <c r="AN9" s="616">
        <f t="shared" ref="AN9:AN40" si="27">N9+AA9</f>
        <v>0</v>
      </c>
      <c r="AO9" s="616">
        <f t="shared" ref="AO9:AO40" si="28">O9+AB9</f>
        <v>0</v>
      </c>
      <c r="AP9" s="616">
        <f t="shared" ref="AP9:AP40" si="29">P9+AC9</f>
        <v>0</v>
      </c>
      <c r="AQ9" s="637">
        <f t="shared" ref="AQ9:AQ40" si="30">Q9+AD9</f>
        <v>0</v>
      </c>
      <c r="AR9" s="638">
        <f t="shared" si="12"/>
        <v>0</v>
      </c>
      <c r="AS9" s="616">
        <f t="shared" ref="AS9:AS72" si="31">(G9+H9+I9+L9)*0.16</f>
        <v>0</v>
      </c>
      <c r="AT9" s="616">
        <f t="shared" ref="AT9:AT72" si="32">(G9+H9)*0.08</f>
        <v>0</v>
      </c>
      <c r="AU9" s="616">
        <f t="shared" ref="AU9:AU72" si="33">(G9+H9)*0.06</f>
        <v>0</v>
      </c>
      <c r="AV9" s="616">
        <f t="shared" ref="AV9:AV72" si="34">(G9+H9)*0.002</f>
        <v>0</v>
      </c>
      <c r="AW9" s="616">
        <f t="shared" ref="AW9:AW72" si="35">(G9+H9)*0.006</f>
        <v>0</v>
      </c>
      <c r="AX9" s="616">
        <f t="shared" ref="AX9:AX72" si="36">(G9+H9)*0.12</f>
        <v>0</v>
      </c>
      <c r="AY9" s="616"/>
      <c r="AZ9" s="615">
        <f t="shared" ref="AZ9:AZ72" si="37">SUM(BA9:BG9)</f>
        <v>0</v>
      </c>
      <c r="BA9" s="616">
        <f t="shared" ref="BA9:BA72" si="38">(T9+U9+V9+Y9)*0.16</f>
        <v>0</v>
      </c>
      <c r="BB9" s="616">
        <f t="shared" ref="BB9:BB72" si="39">(T9+U9)*0.08</f>
        <v>0</v>
      </c>
      <c r="BC9" s="616">
        <f t="shared" ref="BC9:BC72" si="40">(T9+U9)*0.06</f>
        <v>0</v>
      </c>
      <c r="BD9" s="616">
        <f t="shared" ref="BD9:BD72" si="41">(T9+U9)*0.002</f>
        <v>0</v>
      </c>
      <c r="BE9" s="616">
        <f t="shared" ref="BE9:BE72" si="42">(T9+U9)*0.006</f>
        <v>0</v>
      </c>
      <c r="BF9" s="616">
        <f t="shared" ref="BF9:BF72" si="43">(T9+U9)*0.12</f>
        <v>0</v>
      </c>
      <c r="BG9" s="616"/>
      <c r="BH9" s="615">
        <f t="shared" ref="BH9:BH72" si="44">SUM(BI9:BO9)</f>
        <v>0</v>
      </c>
      <c r="BI9" s="616">
        <f t="shared" ref="BI9:BI72" si="45">(AG9+AH9+AI9+AL9)*0.16</f>
        <v>0</v>
      </c>
      <c r="BJ9" s="616">
        <f t="shared" ref="BJ9:BJ72" si="46">(AG9+AH9)*0.08</f>
        <v>0</v>
      </c>
      <c r="BK9" s="616">
        <f t="shared" ref="BK9:BK72" si="47">(AG9+AH9)*0.06</f>
        <v>0</v>
      </c>
      <c r="BL9" s="616">
        <f t="shared" ref="BL9:BL72" si="48">(AG9+AH9)*0.002</f>
        <v>0</v>
      </c>
      <c r="BM9" s="616">
        <f t="shared" ref="BM9:BM72" si="49">(AG9+AH9)*0.006</f>
        <v>0</v>
      </c>
      <c r="BN9" s="616">
        <f t="shared" ref="BN9:BN72" si="50">(AG9+AH9)*0.12</f>
        <v>0</v>
      </c>
      <c r="BO9" s="616"/>
      <c r="BP9" s="304"/>
    </row>
    <row r="10" s="130" customFormat="1" ht="36" spans="1:68">
      <c r="A10" s="497" t="s">
        <v>202</v>
      </c>
      <c r="B10" s="497" t="s">
        <v>203</v>
      </c>
      <c r="C10" s="497" t="s">
        <v>209</v>
      </c>
      <c r="D10" s="497" t="s">
        <v>210</v>
      </c>
      <c r="E10" s="615">
        <f t="shared" si="13"/>
        <v>382.4</v>
      </c>
      <c r="F10" s="615">
        <f t="shared" si="14"/>
        <v>340.89</v>
      </c>
      <c r="G10" s="616">
        <v>143.88</v>
      </c>
      <c r="H10" s="616">
        <v>84.14</v>
      </c>
      <c r="I10" s="616">
        <v>11.99</v>
      </c>
      <c r="J10" s="616"/>
      <c r="K10" s="616"/>
      <c r="L10" s="616">
        <v>100.88</v>
      </c>
      <c r="M10" s="615">
        <f t="shared" si="15"/>
        <v>41.51</v>
      </c>
      <c r="N10" s="616">
        <v>15.26</v>
      </c>
      <c r="O10" s="616"/>
      <c r="P10" s="616">
        <v>13.75</v>
      </c>
      <c r="Q10" s="616">
        <v>12.5</v>
      </c>
      <c r="R10" s="615">
        <f t="shared" si="10"/>
        <v>-3.49</v>
      </c>
      <c r="S10" s="615">
        <f t="shared" si="16"/>
        <v>-7.98</v>
      </c>
      <c r="T10" s="616">
        <v>-7.98</v>
      </c>
      <c r="U10" s="616"/>
      <c r="V10" s="616"/>
      <c r="W10" s="616"/>
      <c r="X10" s="616"/>
      <c r="Y10" s="616"/>
      <c r="Z10" s="615">
        <f t="shared" si="17"/>
        <v>4.49</v>
      </c>
      <c r="AA10" s="616">
        <v>0.36</v>
      </c>
      <c r="AB10" s="616">
        <v>0.15</v>
      </c>
      <c r="AC10" s="616">
        <v>3.52</v>
      </c>
      <c r="AD10" s="616">
        <v>0.46</v>
      </c>
      <c r="AE10" s="615">
        <f t="shared" si="18"/>
        <v>378.91</v>
      </c>
      <c r="AF10" s="615">
        <f t="shared" si="19"/>
        <v>332.91</v>
      </c>
      <c r="AG10" s="616">
        <f t="shared" si="20"/>
        <v>135.9</v>
      </c>
      <c r="AH10" s="616">
        <f t="shared" si="21"/>
        <v>84.14</v>
      </c>
      <c r="AI10" s="616">
        <f t="shared" si="22"/>
        <v>11.99</v>
      </c>
      <c r="AJ10" s="616">
        <f t="shared" si="23"/>
        <v>0</v>
      </c>
      <c r="AK10" s="616">
        <f t="shared" si="24"/>
        <v>0</v>
      </c>
      <c r="AL10" s="616">
        <f t="shared" si="25"/>
        <v>100.88</v>
      </c>
      <c r="AM10" s="615">
        <f t="shared" si="26"/>
        <v>46</v>
      </c>
      <c r="AN10" s="616">
        <f t="shared" si="27"/>
        <v>15.62</v>
      </c>
      <c r="AO10" s="616">
        <f t="shared" si="28"/>
        <v>0.15</v>
      </c>
      <c r="AP10" s="616">
        <f t="shared" si="29"/>
        <v>17.27</v>
      </c>
      <c r="AQ10" s="637">
        <f t="shared" si="30"/>
        <v>12.96</v>
      </c>
      <c r="AR10" s="638">
        <f t="shared" si="12"/>
        <v>115.65176</v>
      </c>
      <c r="AS10" s="616">
        <f t="shared" si="31"/>
        <v>54.5424</v>
      </c>
      <c r="AT10" s="616">
        <f t="shared" si="32"/>
        <v>18.2416</v>
      </c>
      <c r="AU10" s="616">
        <f t="shared" si="33"/>
        <v>13.6812</v>
      </c>
      <c r="AV10" s="616">
        <f t="shared" si="34"/>
        <v>0.45604</v>
      </c>
      <c r="AW10" s="616">
        <f t="shared" si="35"/>
        <v>1.36812</v>
      </c>
      <c r="AX10" s="616">
        <f t="shared" si="36"/>
        <v>27.3624</v>
      </c>
      <c r="AY10" s="616"/>
      <c r="AZ10" s="615">
        <f t="shared" si="37"/>
        <v>-3.41544</v>
      </c>
      <c r="BA10" s="616">
        <f t="shared" si="38"/>
        <v>-1.2768</v>
      </c>
      <c r="BB10" s="616">
        <f t="shared" si="39"/>
        <v>-0.6384</v>
      </c>
      <c r="BC10" s="616">
        <f t="shared" si="40"/>
        <v>-0.4788</v>
      </c>
      <c r="BD10" s="616">
        <f t="shared" si="41"/>
        <v>-0.01596</v>
      </c>
      <c r="BE10" s="616">
        <f t="shared" si="42"/>
        <v>-0.04788</v>
      </c>
      <c r="BF10" s="616">
        <f t="shared" si="43"/>
        <v>-0.9576</v>
      </c>
      <c r="BG10" s="616"/>
      <c r="BH10" s="615">
        <f t="shared" si="44"/>
        <v>112.23632</v>
      </c>
      <c r="BI10" s="616">
        <f t="shared" si="45"/>
        <v>53.2656</v>
      </c>
      <c r="BJ10" s="616">
        <f t="shared" si="46"/>
        <v>17.6032</v>
      </c>
      <c r="BK10" s="616">
        <f t="shared" si="47"/>
        <v>13.2024</v>
      </c>
      <c r="BL10" s="616">
        <f t="shared" si="48"/>
        <v>0.44008</v>
      </c>
      <c r="BM10" s="616">
        <f t="shared" si="49"/>
        <v>1.32024</v>
      </c>
      <c r="BN10" s="616">
        <f t="shared" si="50"/>
        <v>26.4048</v>
      </c>
      <c r="BO10" s="616"/>
      <c r="BP10" s="304"/>
    </row>
    <row r="11" s="130" customFormat="1" ht="24" spans="1:68">
      <c r="A11" s="497" t="s">
        <v>202</v>
      </c>
      <c r="B11" s="497" t="s">
        <v>206</v>
      </c>
      <c r="C11" s="497" t="s">
        <v>211</v>
      </c>
      <c r="D11" s="497" t="s">
        <v>212</v>
      </c>
      <c r="E11" s="615">
        <f t="shared" si="13"/>
        <v>0</v>
      </c>
      <c r="F11" s="615">
        <f t="shared" si="14"/>
        <v>0</v>
      </c>
      <c r="G11" s="616"/>
      <c r="H11" s="616"/>
      <c r="I11" s="616"/>
      <c r="J11" s="616"/>
      <c r="K11" s="616"/>
      <c r="L11" s="616"/>
      <c r="M11" s="615">
        <f t="shared" si="15"/>
        <v>0</v>
      </c>
      <c r="N11" s="616"/>
      <c r="O11" s="616"/>
      <c r="P11" s="616"/>
      <c r="Q11" s="616"/>
      <c r="R11" s="615">
        <f t="shared" si="10"/>
        <v>0</v>
      </c>
      <c r="S11" s="615">
        <f t="shared" si="16"/>
        <v>0</v>
      </c>
      <c r="T11" s="616"/>
      <c r="U11" s="616"/>
      <c r="V11" s="616"/>
      <c r="W11" s="616"/>
      <c r="X11" s="616"/>
      <c r="Y11" s="616"/>
      <c r="Z11" s="615">
        <f t="shared" si="17"/>
        <v>0</v>
      </c>
      <c r="AA11" s="616"/>
      <c r="AB11" s="616"/>
      <c r="AC11" s="616"/>
      <c r="AD11" s="616"/>
      <c r="AE11" s="615">
        <f t="shared" si="18"/>
        <v>0</v>
      </c>
      <c r="AF11" s="615">
        <f t="shared" si="19"/>
        <v>0</v>
      </c>
      <c r="AG11" s="616">
        <f t="shared" si="20"/>
        <v>0</v>
      </c>
      <c r="AH11" s="616">
        <f t="shared" si="21"/>
        <v>0</v>
      </c>
      <c r="AI11" s="616">
        <f t="shared" si="22"/>
        <v>0</v>
      </c>
      <c r="AJ11" s="616">
        <f t="shared" si="23"/>
        <v>0</v>
      </c>
      <c r="AK11" s="616">
        <f t="shared" si="24"/>
        <v>0</v>
      </c>
      <c r="AL11" s="616">
        <f t="shared" si="25"/>
        <v>0</v>
      </c>
      <c r="AM11" s="615">
        <f t="shared" si="26"/>
        <v>0</v>
      </c>
      <c r="AN11" s="616">
        <f t="shared" si="27"/>
        <v>0</v>
      </c>
      <c r="AO11" s="616">
        <f t="shared" si="28"/>
        <v>0</v>
      </c>
      <c r="AP11" s="616">
        <f t="shared" si="29"/>
        <v>0</v>
      </c>
      <c r="AQ11" s="637">
        <f t="shared" si="30"/>
        <v>0</v>
      </c>
      <c r="AR11" s="638">
        <f t="shared" si="12"/>
        <v>0</v>
      </c>
      <c r="AS11" s="616">
        <f t="shared" si="31"/>
        <v>0</v>
      </c>
      <c r="AT11" s="616">
        <f t="shared" si="32"/>
        <v>0</v>
      </c>
      <c r="AU11" s="616">
        <f t="shared" si="33"/>
        <v>0</v>
      </c>
      <c r="AV11" s="616">
        <f t="shared" si="34"/>
        <v>0</v>
      </c>
      <c r="AW11" s="616">
        <f t="shared" si="35"/>
        <v>0</v>
      </c>
      <c r="AX11" s="616">
        <f t="shared" si="36"/>
        <v>0</v>
      </c>
      <c r="AY11" s="616"/>
      <c r="AZ11" s="615">
        <f t="shared" si="37"/>
        <v>0</v>
      </c>
      <c r="BA11" s="616">
        <f t="shared" si="38"/>
        <v>0</v>
      </c>
      <c r="BB11" s="616">
        <f t="shared" si="39"/>
        <v>0</v>
      </c>
      <c r="BC11" s="616">
        <f t="shared" si="40"/>
        <v>0</v>
      </c>
      <c r="BD11" s="616">
        <f t="shared" si="41"/>
        <v>0</v>
      </c>
      <c r="BE11" s="616">
        <f t="shared" si="42"/>
        <v>0</v>
      </c>
      <c r="BF11" s="616">
        <f t="shared" si="43"/>
        <v>0</v>
      </c>
      <c r="BG11" s="616"/>
      <c r="BH11" s="615">
        <f t="shared" si="44"/>
        <v>0</v>
      </c>
      <c r="BI11" s="616">
        <f t="shared" si="45"/>
        <v>0</v>
      </c>
      <c r="BJ11" s="616">
        <f t="shared" si="46"/>
        <v>0</v>
      </c>
      <c r="BK11" s="616">
        <f t="shared" si="47"/>
        <v>0</v>
      </c>
      <c r="BL11" s="616">
        <f t="shared" si="48"/>
        <v>0</v>
      </c>
      <c r="BM11" s="616">
        <f t="shared" si="49"/>
        <v>0</v>
      </c>
      <c r="BN11" s="616">
        <f t="shared" si="50"/>
        <v>0</v>
      </c>
      <c r="BO11" s="616"/>
      <c r="BP11" s="304"/>
    </row>
    <row r="12" s="130" customFormat="1" ht="24" spans="1:68">
      <c r="A12" s="497" t="s">
        <v>202</v>
      </c>
      <c r="B12" s="497" t="s">
        <v>203</v>
      </c>
      <c r="C12" s="497" t="s">
        <v>213</v>
      </c>
      <c r="D12" s="497" t="s">
        <v>214</v>
      </c>
      <c r="E12" s="615">
        <f t="shared" si="13"/>
        <v>275.89</v>
      </c>
      <c r="F12" s="615">
        <f t="shared" si="14"/>
        <v>251.74</v>
      </c>
      <c r="G12" s="616">
        <v>97.32</v>
      </c>
      <c r="H12" s="616">
        <v>63.77</v>
      </c>
      <c r="I12" s="616">
        <v>9.23</v>
      </c>
      <c r="J12" s="616"/>
      <c r="K12" s="616"/>
      <c r="L12" s="616">
        <v>81.42</v>
      </c>
      <c r="M12" s="615">
        <f t="shared" si="15"/>
        <v>24.15</v>
      </c>
      <c r="N12" s="616"/>
      <c r="O12" s="616"/>
      <c r="P12" s="616">
        <v>12.65</v>
      </c>
      <c r="Q12" s="616">
        <v>11.5</v>
      </c>
      <c r="R12" s="615">
        <f t="shared" si="10"/>
        <v>19.57</v>
      </c>
      <c r="S12" s="615">
        <f t="shared" si="16"/>
        <v>12.99</v>
      </c>
      <c r="T12" s="616">
        <v>9.07</v>
      </c>
      <c r="U12" s="616"/>
      <c r="V12" s="616">
        <v>-0.11</v>
      </c>
      <c r="W12" s="616"/>
      <c r="X12" s="616"/>
      <c r="Y12" s="616">
        <v>4.03</v>
      </c>
      <c r="Z12" s="615">
        <f t="shared" si="17"/>
        <v>6.58</v>
      </c>
      <c r="AA12" s="616"/>
      <c r="AB12" s="616">
        <f>0.9+1.05</f>
        <v>1.95</v>
      </c>
      <c r="AC12" s="616">
        <v>1.13</v>
      </c>
      <c r="AD12" s="616">
        <v>3.5</v>
      </c>
      <c r="AE12" s="615">
        <f t="shared" si="18"/>
        <v>295.46</v>
      </c>
      <c r="AF12" s="615">
        <f t="shared" si="19"/>
        <v>264.73</v>
      </c>
      <c r="AG12" s="616">
        <f t="shared" si="20"/>
        <v>106.39</v>
      </c>
      <c r="AH12" s="616">
        <f t="shared" si="21"/>
        <v>63.77</v>
      </c>
      <c r="AI12" s="616">
        <f t="shared" si="22"/>
        <v>9.12</v>
      </c>
      <c r="AJ12" s="616">
        <f t="shared" si="23"/>
        <v>0</v>
      </c>
      <c r="AK12" s="616">
        <f t="shared" si="24"/>
        <v>0</v>
      </c>
      <c r="AL12" s="616">
        <f t="shared" si="25"/>
        <v>85.45</v>
      </c>
      <c r="AM12" s="615">
        <f t="shared" si="26"/>
        <v>30.73</v>
      </c>
      <c r="AN12" s="616">
        <f t="shared" si="27"/>
        <v>0</v>
      </c>
      <c r="AO12" s="616">
        <f t="shared" si="28"/>
        <v>1.95</v>
      </c>
      <c r="AP12" s="616">
        <f t="shared" si="29"/>
        <v>13.78</v>
      </c>
      <c r="AQ12" s="637">
        <f t="shared" si="30"/>
        <v>15</v>
      </c>
      <c r="AR12" s="638">
        <f t="shared" si="12"/>
        <v>83.45052</v>
      </c>
      <c r="AS12" s="616">
        <f t="shared" si="31"/>
        <v>40.2784</v>
      </c>
      <c r="AT12" s="616">
        <f t="shared" si="32"/>
        <v>12.8872</v>
      </c>
      <c r="AU12" s="616">
        <f t="shared" si="33"/>
        <v>9.6654</v>
      </c>
      <c r="AV12" s="616">
        <f t="shared" si="34"/>
        <v>0.32218</v>
      </c>
      <c r="AW12" s="616">
        <f t="shared" si="35"/>
        <v>0.96654</v>
      </c>
      <c r="AX12" s="616">
        <f t="shared" si="36"/>
        <v>19.3308</v>
      </c>
      <c r="AY12" s="616"/>
      <c r="AZ12" s="615">
        <f t="shared" si="37"/>
        <v>4.50916</v>
      </c>
      <c r="BA12" s="616">
        <f t="shared" si="38"/>
        <v>2.0784</v>
      </c>
      <c r="BB12" s="616">
        <f t="shared" si="39"/>
        <v>0.7256</v>
      </c>
      <c r="BC12" s="616">
        <f t="shared" si="40"/>
        <v>0.5442</v>
      </c>
      <c r="BD12" s="616">
        <f t="shared" si="41"/>
        <v>0.01814</v>
      </c>
      <c r="BE12" s="616">
        <f t="shared" si="42"/>
        <v>0.05442</v>
      </c>
      <c r="BF12" s="616">
        <f t="shared" si="43"/>
        <v>1.0884</v>
      </c>
      <c r="BG12" s="616"/>
      <c r="BH12" s="615">
        <f t="shared" si="44"/>
        <v>87.95968</v>
      </c>
      <c r="BI12" s="616">
        <f t="shared" si="45"/>
        <v>42.3568</v>
      </c>
      <c r="BJ12" s="616">
        <f t="shared" si="46"/>
        <v>13.6128</v>
      </c>
      <c r="BK12" s="616">
        <f t="shared" si="47"/>
        <v>10.2096</v>
      </c>
      <c r="BL12" s="616">
        <f t="shared" si="48"/>
        <v>0.34032</v>
      </c>
      <c r="BM12" s="616">
        <f t="shared" si="49"/>
        <v>1.02096</v>
      </c>
      <c r="BN12" s="616">
        <f t="shared" si="50"/>
        <v>20.4192</v>
      </c>
      <c r="BO12" s="616"/>
      <c r="BP12" s="304"/>
    </row>
    <row r="13" s="130" customFormat="1" ht="24" spans="1:68">
      <c r="A13" s="497" t="s">
        <v>215</v>
      </c>
      <c r="B13" s="497" t="s">
        <v>203</v>
      </c>
      <c r="C13" s="497" t="s">
        <v>216</v>
      </c>
      <c r="D13" s="497" t="s">
        <v>214</v>
      </c>
      <c r="E13" s="615">
        <f t="shared" si="13"/>
        <v>76.04</v>
      </c>
      <c r="F13" s="615">
        <f t="shared" si="14"/>
        <v>37.29</v>
      </c>
      <c r="G13" s="616">
        <v>14.57</v>
      </c>
      <c r="H13" s="616">
        <v>9.59</v>
      </c>
      <c r="I13" s="616">
        <v>1.21</v>
      </c>
      <c r="J13" s="616"/>
      <c r="K13" s="616"/>
      <c r="L13" s="616">
        <v>11.92</v>
      </c>
      <c r="M13" s="615">
        <f t="shared" si="15"/>
        <v>38.75</v>
      </c>
      <c r="N13" s="616">
        <v>35.6</v>
      </c>
      <c r="O13" s="616"/>
      <c r="P13" s="616">
        <v>1.65</v>
      </c>
      <c r="Q13" s="616">
        <v>1.5</v>
      </c>
      <c r="R13" s="615">
        <f t="shared" si="10"/>
        <v>-6.89736</v>
      </c>
      <c r="S13" s="615">
        <f t="shared" si="16"/>
        <v>-3.00736</v>
      </c>
      <c r="T13" s="616">
        <v>-1.274</v>
      </c>
      <c r="U13" s="616">
        <v>-0.74</v>
      </c>
      <c r="V13" s="616"/>
      <c r="W13" s="616"/>
      <c r="X13" s="616"/>
      <c r="Y13" s="616">
        <v>-0.99336</v>
      </c>
      <c r="Z13" s="615">
        <f t="shared" si="17"/>
        <v>-3.89</v>
      </c>
      <c r="AA13" s="616">
        <v>-3.99</v>
      </c>
      <c r="AB13" s="616"/>
      <c r="AC13" s="616">
        <v>0.31</v>
      </c>
      <c r="AD13" s="616">
        <v>-0.21</v>
      </c>
      <c r="AE13" s="615">
        <f t="shared" si="18"/>
        <v>69.14264</v>
      </c>
      <c r="AF13" s="615">
        <f t="shared" si="19"/>
        <v>34.28264</v>
      </c>
      <c r="AG13" s="616">
        <f t="shared" si="20"/>
        <v>13.296</v>
      </c>
      <c r="AH13" s="616">
        <f t="shared" si="21"/>
        <v>8.85</v>
      </c>
      <c r="AI13" s="616">
        <f t="shared" si="22"/>
        <v>1.21</v>
      </c>
      <c r="AJ13" s="616">
        <f t="shared" si="23"/>
        <v>0</v>
      </c>
      <c r="AK13" s="616">
        <f t="shared" si="24"/>
        <v>0</v>
      </c>
      <c r="AL13" s="616">
        <f t="shared" si="25"/>
        <v>10.92664</v>
      </c>
      <c r="AM13" s="615">
        <f t="shared" si="26"/>
        <v>34.86</v>
      </c>
      <c r="AN13" s="616">
        <f t="shared" si="27"/>
        <v>31.61</v>
      </c>
      <c r="AO13" s="616">
        <f t="shared" si="28"/>
        <v>0</v>
      </c>
      <c r="AP13" s="616">
        <f t="shared" si="29"/>
        <v>1.96</v>
      </c>
      <c r="AQ13" s="637">
        <f t="shared" si="30"/>
        <v>1.29</v>
      </c>
      <c r="AR13" s="638">
        <f t="shared" si="12"/>
        <v>12.44128</v>
      </c>
      <c r="AS13" s="616">
        <f t="shared" si="31"/>
        <v>5.9664</v>
      </c>
      <c r="AT13" s="616">
        <f t="shared" si="32"/>
        <v>1.9328</v>
      </c>
      <c r="AU13" s="616">
        <f t="shared" si="33"/>
        <v>1.4496</v>
      </c>
      <c r="AV13" s="616">
        <f t="shared" si="34"/>
        <v>0.04832</v>
      </c>
      <c r="AW13" s="616">
        <f t="shared" si="35"/>
        <v>0.14496</v>
      </c>
      <c r="AX13" s="616">
        <f t="shared" si="36"/>
        <v>2.8992</v>
      </c>
      <c r="AY13" s="616"/>
      <c r="AZ13" s="615">
        <f t="shared" si="37"/>
        <v>-1.0209296</v>
      </c>
      <c r="BA13" s="616">
        <f t="shared" si="38"/>
        <v>-0.4811776</v>
      </c>
      <c r="BB13" s="616">
        <f t="shared" si="39"/>
        <v>-0.16112</v>
      </c>
      <c r="BC13" s="616">
        <f t="shared" si="40"/>
        <v>-0.12084</v>
      </c>
      <c r="BD13" s="616">
        <f t="shared" si="41"/>
        <v>-0.004028</v>
      </c>
      <c r="BE13" s="616">
        <f t="shared" si="42"/>
        <v>-0.012084</v>
      </c>
      <c r="BF13" s="616">
        <f t="shared" si="43"/>
        <v>-0.24168</v>
      </c>
      <c r="BG13" s="616"/>
      <c r="BH13" s="615">
        <f t="shared" si="44"/>
        <v>11.4203504</v>
      </c>
      <c r="BI13" s="616">
        <f t="shared" si="45"/>
        <v>5.4852224</v>
      </c>
      <c r="BJ13" s="616">
        <f t="shared" si="46"/>
        <v>1.77168</v>
      </c>
      <c r="BK13" s="616">
        <f t="shared" si="47"/>
        <v>1.32876</v>
      </c>
      <c r="BL13" s="616">
        <f t="shared" si="48"/>
        <v>0.044292</v>
      </c>
      <c r="BM13" s="616">
        <f t="shared" si="49"/>
        <v>0.132876</v>
      </c>
      <c r="BN13" s="616">
        <f t="shared" si="50"/>
        <v>2.65752</v>
      </c>
      <c r="BO13" s="616"/>
      <c r="BP13" s="304"/>
    </row>
    <row r="14" s="130" customFormat="1" ht="24" spans="1:68">
      <c r="A14" s="497" t="s">
        <v>202</v>
      </c>
      <c r="B14" s="497" t="s">
        <v>203</v>
      </c>
      <c r="C14" s="497" t="s">
        <v>217</v>
      </c>
      <c r="D14" s="497" t="s">
        <v>218</v>
      </c>
      <c r="E14" s="615">
        <f t="shared" si="13"/>
        <v>82.92</v>
      </c>
      <c r="F14" s="615">
        <f t="shared" si="14"/>
        <v>66.44</v>
      </c>
      <c r="G14" s="616">
        <v>24.8</v>
      </c>
      <c r="H14" s="616">
        <v>16.76</v>
      </c>
      <c r="I14" s="616">
        <v>2.07</v>
      </c>
      <c r="J14" s="616"/>
      <c r="K14" s="616">
        <v>1.69</v>
      </c>
      <c r="L14" s="616">
        <v>21.12</v>
      </c>
      <c r="M14" s="615">
        <f t="shared" si="15"/>
        <v>16.48</v>
      </c>
      <c r="N14" s="616">
        <v>10.18</v>
      </c>
      <c r="O14" s="616"/>
      <c r="P14" s="616">
        <v>3.3</v>
      </c>
      <c r="Q14" s="616">
        <v>3</v>
      </c>
      <c r="R14" s="615">
        <f t="shared" si="10"/>
        <v>-5.24</v>
      </c>
      <c r="S14" s="615">
        <f t="shared" si="16"/>
        <v>-5.33</v>
      </c>
      <c r="T14" s="616">
        <v>-3.19</v>
      </c>
      <c r="U14" s="616"/>
      <c r="V14" s="616">
        <v>-0.31</v>
      </c>
      <c r="W14" s="616"/>
      <c r="X14" s="616">
        <v>-0.14</v>
      </c>
      <c r="Y14" s="616">
        <v>-1.69</v>
      </c>
      <c r="Z14" s="615">
        <f t="shared" si="17"/>
        <v>0.09</v>
      </c>
      <c r="AA14" s="616">
        <v>0.24</v>
      </c>
      <c r="AB14" s="616">
        <v>0.45</v>
      </c>
      <c r="AC14" s="616">
        <v>-0.6</v>
      </c>
      <c r="AD14" s="616"/>
      <c r="AE14" s="615">
        <f t="shared" si="18"/>
        <v>77.68</v>
      </c>
      <c r="AF14" s="615">
        <f t="shared" si="19"/>
        <v>61.11</v>
      </c>
      <c r="AG14" s="616">
        <f t="shared" si="20"/>
        <v>21.61</v>
      </c>
      <c r="AH14" s="616">
        <f t="shared" si="21"/>
        <v>16.76</v>
      </c>
      <c r="AI14" s="616">
        <f t="shared" si="22"/>
        <v>1.76</v>
      </c>
      <c r="AJ14" s="616">
        <f t="shared" si="23"/>
        <v>0</v>
      </c>
      <c r="AK14" s="616">
        <f t="shared" si="24"/>
        <v>1.55</v>
      </c>
      <c r="AL14" s="616">
        <f t="shared" si="25"/>
        <v>19.43</v>
      </c>
      <c r="AM14" s="615">
        <f t="shared" si="26"/>
        <v>16.57</v>
      </c>
      <c r="AN14" s="616">
        <f t="shared" si="27"/>
        <v>10.42</v>
      </c>
      <c r="AO14" s="616">
        <f t="shared" si="28"/>
        <v>0.45</v>
      </c>
      <c r="AP14" s="616">
        <f t="shared" si="29"/>
        <v>2.7</v>
      </c>
      <c r="AQ14" s="637">
        <f t="shared" si="30"/>
        <v>3</v>
      </c>
      <c r="AR14" s="638">
        <f t="shared" si="12"/>
        <v>21.49808</v>
      </c>
      <c r="AS14" s="616">
        <f t="shared" si="31"/>
        <v>10.36</v>
      </c>
      <c r="AT14" s="616">
        <f t="shared" si="32"/>
        <v>3.3248</v>
      </c>
      <c r="AU14" s="616">
        <f t="shared" si="33"/>
        <v>2.4936</v>
      </c>
      <c r="AV14" s="616">
        <f t="shared" si="34"/>
        <v>0.08312</v>
      </c>
      <c r="AW14" s="616">
        <f t="shared" si="35"/>
        <v>0.24936</v>
      </c>
      <c r="AX14" s="616">
        <f t="shared" si="36"/>
        <v>4.9872</v>
      </c>
      <c r="AY14" s="616"/>
      <c r="AZ14" s="615">
        <f t="shared" si="37"/>
        <v>-1.68532</v>
      </c>
      <c r="BA14" s="616">
        <f t="shared" si="38"/>
        <v>-0.8304</v>
      </c>
      <c r="BB14" s="616">
        <f t="shared" si="39"/>
        <v>-0.2552</v>
      </c>
      <c r="BC14" s="616">
        <f t="shared" si="40"/>
        <v>-0.1914</v>
      </c>
      <c r="BD14" s="616">
        <f t="shared" si="41"/>
        <v>-0.00638</v>
      </c>
      <c r="BE14" s="616">
        <f t="shared" si="42"/>
        <v>-0.01914</v>
      </c>
      <c r="BF14" s="616">
        <f t="shared" si="43"/>
        <v>-0.3828</v>
      </c>
      <c r="BG14" s="616"/>
      <c r="BH14" s="615">
        <f t="shared" si="44"/>
        <v>19.81276</v>
      </c>
      <c r="BI14" s="616">
        <f t="shared" si="45"/>
        <v>9.5296</v>
      </c>
      <c r="BJ14" s="616">
        <f t="shared" si="46"/>
        <v>3.0696</v>
      </c>
      <c r="BK14" s="616">
        <f t="shared" si="47"/>
        <v>2.3022</v>
      </c>
      <c r="BL14" s="616">
        <f t="shared" si="48"/>
        <v>0.07674</v>
      </c>
      <c r="BM14" s="616">
        <f t="shared" si="49"/>
        <v>0.23022</v>
      </c>
      <c r="BN14" s="616">
        <f t="shared" si="50"/>
        <v>4.6044</v>
      </c>
      <c r="BO14" s="616"/>
      <c r="BP14" s="304"/>
    </row>
    <row r="15" s="130" customFormat="1" ht="24" spans="1:68">
      <c r="A15" s="497" t="s">
        <v>202</v>
      </c>
      <c r="B15" s="497" t="s">
        <v>206</v>
      </c>
      <c r="C15" s="497" t="s">
        <v>219</v>
      </c>
      <c r="D15" s="497" t="s">
        <v>220</v>
      </c>
      <c r="E15" s="615">
        <f t="shared" si="13"/>
        <v>0</v>
      </c>
      <c r="F15" s="615">
        <f t="shared" si="14"/>
        <v>0</v>
      </c>
      <c r="G15" s="616"/>
      <c r="H15" s="616"/>
      <c r="I15" s="616"/>
      <c r="J15" s="616"/>
      <c r="K15" s="616"/>
      <c r="L15" s="616"/>
      <c r="M15" s="615">
        <f t="shared" si="15"/>
        <v>0</v>
      </c>
      <c r="N15" s="616"/>
      <c r="O15" s="616"/>
      <c r="P15" s="616"/>
      <c r="Q15" s="616"/>
      <c r="R15" s="615">
        <f t="shared" si="10"/>
        <v>0</v>
      </c>
      <c r="S15" s="615">
        <f t="shared" si="16"/>
        <v>0</v>
      </c>
      <c r="T15" s="616"/>
      <c r="U15" s="616"/>
      <c r="V15" s="616"/>
      <c r="W15" s="616"/>
      <c r="X15" s="616"/>
      <c r="Y15" s="616"/>
      <c r="Z15" s="615">
        <f t="shared" si="17"/>
        <v>0</v>
      </c>
      <c r="AA15" s="616"/>
      <c r="AB15" s="616"/>
      <c r="AC15" s="616"/>
      <c r="AD15" s="616"/>
      <c r="AE15" s="615">
        <f t="shared" si="18"/>
        <v>0</v>
      </c>
      <c r="AF15" s="615">
        <f t="shared" si="19"/>
        <v>0</v>
      </c>
      <c r="AG15" s="616">
        <f t="shared" si="20"/>
        <v>0</v>
      </c>
      <c r="AH15" s="616">
        <f t="shared" si="21"/>
        <v>0</v>
      </c>
      <c r="AI15" s="616">
        <f t="shared" si="22"/>
        <v>0</v>
      </c>
      <c r="AJ15" s="616">
        <f t="shared" si="23"/>
        <v>0</v>
      </c>
      <c r="AK15" s="616">
        <f t="shared" si="24"/>
        <v>0</v>
      </c>
      <c r="AL15" s="616">
        <f t="shared" si="25"/>
        <v>0</v>
      </c>
      <c r="AM15" s="615">
        <f t="shared" si="26"/>
        <v>0</v>
      </c>
      <c r="AN15" s="616">
        <f t="shared" si="27"/>
        <v>0</v>
      </c>
      <c r="AO15" s="616">
        <f t="shared" si="28"/>
        <v>0</v>
      </c>
      <c r="AP15" s="616">
        <f t="shared" si="29"/>
        <v>0</v>
      </c>
      <c r="AQ15" s="637">
        <f t="shared" si="30"/>
        <v>0</v>
      </c>
      <c r="AR15" s="638">
        <f t="shared" si="12"/>
        <v>0</v>
      </c>
      <c r="AS15" s="616">
        <f t="shared" si="31"/>
        <v>0</v>
      </c>
      <c r="AT15" s="616">
        <f t="shared" si="32"/>
        <v>0</v>
      </c>
      <c r="AU15" s="616">
        <f t="shared" si="33"/>
        <v>0</v>
      </c>
      <c r="AV15" s="616">
        <f t="shared" si="34"/>
        <v>0</v>
      </c>
      <c r="AW15" s="616">
        <f t="shared" si="35"/>
        <v>0</v>
      </c>
      <c r="AX15" s="616">
        <f t="shared" si="36"/>
        <v>0</v>
      </c>
      <c r="AY15" s="616"/>
      <c r="AZ15" s="615">
        <f t="shared" si="37"/>
        <v>0</v>
      </c>
      <c r="BA15" s="616">
        <f t="shared" si="38"/>
        <v>0</v>
      </c>
      <c r="BB15" s="616">
        <f t="shared" si="39"/>
        <v>0</v>
      </c>
      <c r="BC15" s="616">
        <f t="shared" si="40"/>
        <v>0</v>
      </c>
      <c r="BD15" s="616">
        <f t="shared" si="41"/>
        <v>0</v>
      </c>
      <c r="BE15" s="616">
        <f t="shared" si="42"/>
        <v>0</v>
      </c>
      <c r="BF15" s="616">
        <f t="shared" si="43"/>
        <v>0</v>
      </c>
      <c r="BG15" s="616"/>
      <c r="BH15" s="615">
        <f t="shared" si="44"/>
        <v>0</v>
      </c>
      <c r="BI15" s="616">
        <f t="shared" si="45"/>
        <v>0</v>
      </c>
      <c r="BJ15" s="616">
        <f t="shared" si="46"/>
        <v>0</v>
      </c>
      <c r="BK15" s="616">
        <f t="shared" si="47"/>
        <v>0</v>
      </c>
      <c r="BL15" s="616">
        <f t="shared" si="48"/>
        <v>0</v>
      </c>
      <c r="BM15" s="616">
        <f t="shared" si="49"/>
        <v>0</v>
      </c>
      <c r="BN15" s="616">
        <f t="shared" si="50"/>
        <v>0</v>
      </c>
      <c r="BO15" s="616"/>
      <c r="BP15" s="304"/>
    </row>
    <row r="16" s="130" customFormat="1" ht="24" spans="1:68">
      <c r="A16" s="497" t="s">
        <v>202</v>
      </c>
      <c r="B16" s="497" t="s">
        <v>206</v>
      </c>
      <c r="C16" s="497" t="s">
        <v>221</v>
      </c>
      <c r="D16" s="497" t="s">
        <v>220</v>
      </c>
      <c r="E16" s="615">
        <f t="shared" si="13"/>
        <v>0</v>
      </c>
      <c r="F16" s="615">
        <f t="shared" si="14"/>
        <v>0</v>
      </c>
      <c r="G16" s="616"/>
      <c r="H16" s="616"/>
      <c r="I16" s="616"/>
      <c r="J16" s="616"/>
      <c r="K16" s="616"/>
      <c r="L16" s="616"/>
      <c r="M16" s="615">
        <f t="shared" si="15"/>
        <v>0</v>
      </c>
      <c r="N16" s="616"/>
      <c r="O16" s="616"/>
      <c r="P16" s="616"/>
      <c r="Q16" s="616"/>
      <c r="R16" s="615">
        <f t="shared" si="10"/>
        <v>0</v>
      </c>
      <c r="S16" s="615">
        <f t="shared" si="16"/>
        <v>0</v>
      </c>
      <c r="T16" s="616"/>
      <c r="U16" s="616"/>
      <c r="V16" s="616"/>
      <c r="W16" s="616"/>
      <c r="X16" s="616"/>
      <c r="Y16" s="616"/>
      <c r="Z16" s="615">
        <f t="shared" si="17"/>
        <v>0</v>
      </c>
      <c r="AA16" s="616"/>
      <c r="AB16" s="616"/>
      <c r="AC16" s="616"/>
      <c r="AD16" s="616"/>
      <c r="AE16" s="615">
        <f t="shared" si="18"/>
        <v>0</v>
      </c>
      <c r="AF16" s="615">
        <f t="shared" si="19"/>
        <v>0</v>
      </c>
      <c r="AG16" s="616">
        <f t="shared" si="20"/>
        <v>0</v>
      </c>
      <c r="AH16" s="616">
        <f t="shared" si="21"/>
        <v>0</v>
      </c>
      <c r="AI16" s="616">
        <f t="shared" si="22"/>
        <v>0</v>
      </c>
      <c r="AJ16" s="616">
        <f t="shared" si="23"/>
        <v>0</v>
      </c>
      <c r="AK16" s="616">
        <f t="shared" si="24"/>
        <v>0</v>
      </c>
      <c r="AL16" s="616">
        <f t="shared" si="25"/>
        <v>0</v>
      </c>
      <c r="AM16" s="615">
        <f t="shared" si="26"/>
        <v>0</v>
      </c>
      <c r="AN16" s="616">
        <f t="shared" si="27"/>
        <v>0</v>
      </c>
      <c r="AO16" s="616">
        <f t="shared" si="28"/>
        <v>0</v>
      </c>
      <c r="AP16" s="616">
        <f t="shared" si="29"/>
        <v>0</v>
      </c>
      <c r="AQ16" s="637">
        <f t="shared" si="30"/>
        <v>0</v>
      </c>
      <c r="AR16" s="638">
        <f t="shared" si="12"/>
        <v>0</v>
      </c>
      <c r="AS16" s="616">
        <f t="shared" si="31"/>
        <v>0</v>
      </c>
      <c r="AT16" s="616">
        <f t="shared" si="32"/>
        <v>0</v>
      </c>
      <c r="AU16" s="616">
        <f t="shared" si="33"/>
        <v>0</v>
      </c>
      <c r="AV16" s="616">
        <f t="shared" si="34"/>
        <v>0</v>
      </c>
      <c r="AW16" s="616">
        <f t="shared" si="35"/>
        <v>0</v>
      </c>
      <c r="AX16" s="616">
        <f t="shared" si="36"/>
        <v>0</v>
      </c>
      <c r="AY16" s="616"/>
      <c r="AZ16" s="615">
        <f t="shared" si="37"/>
        <v>0</v>
      </c>
      <c r="BA16" s="616">
        <f t="shared" si="38"/>
        <v>0</v>
      </c>
      <c r="BB16" s="616">
        <f t="shared" si="39"/>
        <v>0</v>
      </c>
      <c r="BC16" s="616">
        <f t="shared" si="40"/>
        <v>0</v>
      </c>
      <c r="BD16" s="616">
        <f t="shared" si="41"/>
        <v>0</v>
      </c>
      <c r="BE16" s="616">
        <f t="shared" si="42"/>
        <v>0</v>
      </c>
      <c r="BF16" s="616">
        <f t="shared" si="43"/>
        <v>0</v>
      </c>
      <c r="BG16" s="616"/>
      <c r="BH16" s="615">
        <f t="shared" si="44"/>
        <v>0</v>
      </c>
      <c r="BI16" s="616">
        <f t="shared" si="45"/>
        <v>0</v>
      </c>
      <c r="BJ16" s="616">
        <f t="shared" si="46"/>
        <v>0</v>
      </c>
      <c r="BK16" s="616">
        <f t="shared" si="47"/>
        <v>0</v>
      </c>
      <c r="BL16" s="616">
        <f t="shared" si="48"/>
        <v>0</v>
      </c>
      <c r="BM16" s="616">
        <f t="shared" si="49"/>
        <v>0</v>
      </c>
      <c r="BN16" s="616">
        <f t="shared" si="50"/>
        <v>0</v>
      </c>
      <c r="BO16" s="616"/>
      <c r="BP16" s="304"/>
    </row>
    <row r="17" s="130" customFormat="1" ht="24" spans="1:68">
      <c r="A17" s="497" t="s">
        <v>202</v>
      </c>
      <c r="B17" s="497" t="s">
        <v>206</v>
      </c>
      <c r="C17" s="497" t="s">
        <v>222</v>
      </c>
      <c r="D17" s="497" t="s">
        <v>220</v>
      </c>
      <c r="E17" s="615">
        <f t="shared" ref="E17:E71" si="51">F17+M17</f>
        <v>0</v>
      </c>
      <c r="F17" s="615">
        <f t="shared" si="14"/>
        <v>0</v>
      </c>
      <c r="G17" s="616"/>
      <c r="H17" s="616"/>
      <c r="I17" s="616"/>
      <c r="J17" s="616"/>
      <c r="K17" s="616"/>
      <c r="L17" s="616"/>
      <c r="M17" s="615">
        <f t="shared" ref="M17:M57" si="52">SUM(N17:Q17)</f>
        <v>0</v>
      </c>
      <c r="N17" s="616"/>
      <c r="O17" s="616"/>
      <c r="P17" s="616"/>
      <c r="Q17" s="616"/>
      <c r="R17" s="615">
        <f t="shared" ref="R17:R71" si="53">S17+Z17</f>
        <v>0</v>
      </c>
      <c r="S17" s="615">
        <f t="shared" si="16"/>
        <v>0</v>
      </c>
      <c r="T17" s="616"/>
      <c r="U17" s="616"/>
      <c r="V17" s="616"/>
      <c r="W17" s="616"/>
      <c r="X17" s="616"/>
      <c r="Y17" s="616"/>
      <c r="Z17" s="615">
        <f t="shared" ref="Z17:Z71" si="54">SUM(AA17:AD17)</f>
        <v>0</v>
      </c>
      <c r="AA17" s="616"/>
      <c r="AB17" s="616"/>
      <c r="AC17" s="616"/>
      <c r="AD17" s="616"/>
      <c r="AE17" s="615">
        <f t="shared" si="18"/>
        <v>0</v>
      </c>
      <c r="AF17" s="615">
        <f t="shared" si="19"/>
        <v>0</v>
      </c>
      <c r="AG17" s="616">
        <f t="shared" si="20"/>
        <v>0</v>
      </c>
      <c r="AH17" s="616">
        <f t="shared" si="21"/>
        <v>0</v>
      </c>
      <c r="AI17" s="616">
        <f t="shared" si="22"/>
        <v>0</v>
      </c>
      <c r="AJ17" s="616">
        <f t="shared" si="23"/>
        <v>0</v>
      </c>
      <c r="AK17" s="616">
        <f t="shared" si="24"/>
        <v>0</v>
      </c>
      <c r="AL17" s="616">
        <f t="shared" si="25"/>
        <v>0</v>
      </c>
      <c r="AM17" s="615">
        <f t="shared" si="26"/>
        <v>0</v>
      </c>
      <c r="AN17" s="616">
        <f t="shared" si="27"/>
        <v>0</v>
      </c>
      <c r="AO17" s="616">
        <f t="shared" si="28"/>
        <v>0</v>
      </c>
      <c r="AP17" s="616">
        <f t="shared" si="29"/>
        <v>0</v>
      </c>
      <c r="AQ17" s="637">
        <f t="shared" si="30"/>
        <v>0</v>
      </c>
      <c r="AR17" s="638">
        <f t="shared" ref="AR17:AR71" si="55">SUM(AS17:AY17)</f>
        <v>0</v>
      </c>
      <c r="AS17" s="616">
        <f t="shared" si="31"/>
        <v>0</v>
      </c>
      <c r="AT17" s="616">
        <f t="shared" si="32"/>
        <v>0</v>
      </c>
      <c r="AU17" s="616">
        <f t="shared" si="33"/>
        <v>0</v>
      </c>
      <c r="AV17" s="616">
        <f t="shared" si="34"/>
        <v>0</v>
      </c>
      <c r="AW17" s="616">
        <f t="shared" si="35"/>
        <v>0</v>
      </c>
      <c r="AX17" s="616">
        <f t="shared" si="36"/>
        <v>0</v>
      </c>
      <c r="AY17" s="616"/>
      <c r="AZ17" s="615">
        <f t="shared" si="37"/>
        <v>0</v>
      </c>
      <c r="BA17" s="616">
        <f t="shared" si="38"/>
        <v>0</v>
      </c>
      <c r="BB17" s="616">
        <f t="shared" si="39"/>
        <v>0</v>
      </c>
      <c r="BC17" s="616">
        <f t="shared" si="40"/>
        <v>0</v>
      </c>
      <c r="BD17" s="616">
        <f t="shared" si="41"/>
        <v>0</v>
      </c>
      <c r="BE17" s="616">
        <f t="shared" si="42"/>
        <v>0</v>
      </c>
      <c r="BF17" s="616">
        <f t="shared" si="43"/>
        <v>0</v>
      </c>
      <c r="BG17" s="616"/>
      <c r="BH17" s="615">
        <f t="shared" si="44"/>
        <v>0</v>
      </c>
      <c r="BI17" s="616">
        <f t="shared" si="45"/>
        <v>0</v>
      </c>
      <c r="BJ17" s="616">
        <f t="shared" si="46"/>
        <v>0</v>
      </c>
      <c r="BK17" s="616">
        <f t="shared" si="47"/>
        <v>0</v>
      </c>
      <c r="BL17" s="616">
        <f t="shared" si="48"/>
        <v>0</v>
      </c>
      <c r="BM17" s="616">
        <f t="shared" si="49"/>
        <v>0</v>
      </c>
      <c r="BN17" s="616">
        <f t="shared" si="50"/>
        <v>0</v>
      </c>
      <c r="BO17" s="616"/>
      <c r="BP17" s="304"/>
    </row>
    <row r="18" s="130" customFormat="1" ht="24" spans="1:68">
      <c r="A18" s="497" t="s">
        <v>202</v>
      </c>
      <c r="B18" s="497" t="s">
        <v>206</v>
      </c>
      <c r="C18" s="497" t="s">
        <v>223</v>
      </c>
      <c r="D18" s="497" t="s">
        <v>220</v>
      </c>
      <c r="E18" s="615">
        <f t="shared" si="51"/>
        <v>0</v>
      </c>
      <c r="F18" s="615">
        <f t="shared" si="14"/>
        <v>0</v>
      </c>
      <c r="G18" s="616"/>
      <c r="H18" s="616"/>
      <c r="I18" s="616"/>
      <c r="J18" s="616"/>
      <c r="K18" s="616"/>
      <c r="L18" s="616"/>
      <c r="M18" s="615">
        <f t="shared" si="52"/>
        <v>0</v>
      </c>
      <c r="N18" s="616"/>
      <c r="O18" s="616"/>
      <c r="P18" s="616"/>
      <c r="Q18" s="616"/>
      <c r="R18" s="615">
        <f t="shared" si="53"/>
        <v>0</v>
      </c>
      <c r="S18" s="615">
        <f t="shared" si="16"/>
        <v>0</v>
      </c>
      <c r="T18" s="616"/>
      <c r="U18" s="616"/>
      <c r="V18" s="616"/>
      <c r="W18" s="616"/>
      <c r="X18" s="616"/>
      <c r="Y18" s="616"/>
      <c r="Z18" s="615">
        <f t="shared" si="54"/>
        <v>0</v>
      </c>
      <c r="AA18" s="616"/>
      <c r="AB18" s="616"/>
      <c r="AC18" s="616"/>
      <c r="AD18" s="616"/>
      <c r="AE18" s="615">
        <f t="shared" si="18"/>
        <v>0</v>
      </c>
      <c r="AF18" s="615">
        <f t="shared" si="19"/>
        <v>0</v>
      </c>
      <c r="AG18" s="616">
        <f t="shared" si="20"/>
        <v>0</v>
      </c>
      <c r="AH18" s="616">
        <f t="shared" si="21"/>
        <v>0</v>
      </c>
      <c r="AI18" s="616">
        <f t="shared" si="22"/>
        <v>0</v>
      </c>
      <c r="AJ18" s="616">
        <f t="shared" si="23"/>
        <v>0</v>
      </c>
      <c r="AK18" s="616">
        <f t="shared" si="24"/>
        <v>0</v>
      </c>
      <c r="AL18" s="616">
        <f t="shared" si="25"/>
        <v>0</v>
      </c>
      <c r="AM18" s="615">
        <f t="shared" si="26"/>
        <v>0</v>
      </c>
      <c r="AN18" s="616">
        <f t="shared" si="27"/>
        <v>0</v>
      </c>
      <c r="AO18" s="616">
        <f t="shared" si="28"/>
        <v>0</v>
      </c>
      <c r="AP18" s="616">
        <f t="shared" si="29"/>
        <v>0</v>
      </c>
      <c r="AQ18" s="637">
        <f t="shared" si="30"/>
        <v>0</v>
      </c>
      <c r="AR18" s="638">
        <f t="shared" si="55"/>
        <v>0</v>
      </c>
      <c r="AS18" s="616">
        <f t="shared" si="31"/>
        <v>0</v>
      </c>
      <c r="AT18" s="616">
        <f t="shared" si="32"/>
        <v>0</v>
      </c>
      <c r="AU18" s="616">
        <f t="shared" si="33"/>
        <v>0</v>
      </c>
      <c r="AV18" s="616">
        <f t="shared" si="34"/>
        <v>0</v>
      </c>
      <c r="AW18" s="616">
        <f t="shared" si="35"/>
        <v>0</v>
      </c>
      <c r="AX18" s="616">
        <f t="shared" si="36"/>
        <v>0</v>
      </c>
      <c r="AY18" s="616"/>
      <c r="AZ18" s="615">
        <f t="shared" si="37"/>
        <v>0</v>
      </c>
      <c r="BA18" s="616">
        <f t="shared" si="38"/>
        <v>0</v>
      </c>
      <c r="BB18" s="616">
        <f t="shared" si="39"/>
        <v>0</v>
      </c>
      <c r="BC18" s="616">
        <f t="shared" si="40"/>
        <v>0</v>
      </c>
      <c r="BD18" s="616">
        <f t="shared" si="41"/>
        <v>0</v>
      </c>
      <c r="BE18" s="616">
        <f t="shared" si="42"/>
        <v>0</v>
      </c>
      <c r="BF18" s="616">
        <f t="shared" si="43"/>
        <v>0</v>
      </c>
      <c r="BG18" s="616"/>
      <c r="BH18" s="615">
        <f t="shared" si="44"/>
        <v>0</v>
      </c>
      <c r="BI18" s="616">
        <f t="shared" si="45"/>
        <v>0</v>
      </c>
      <c r="BJ18" s="616">
        <f t="shared" si="46"/>
        <v>0</v>
      </c>
      <c r="BK18" s="616">
        <f t="shared" si="47"/>
        <v>0</v>
      </c>
      <c r="BL18" s="616">
        <f t="shared" si="48"/>
        <v>0</v>
      </c>
      <c r="BM18" s="616">
        <f t="shared" si="49"/>
        <v>0</v>
      </c>
      <c r="BN18" s="616">
        <f t="shared" si="50"/>
        <v>0</v>
      </c>
      <c r="BO18" s="616"/>
      <c r="BP18" s="304"/>
    </row>
    <row r="19" s="130" customFormat="1" ht="24" spans="1:68">
      <c r="A19" s="497" t="s">
        <v>202</v>
      </c>
      <c r="B19" s="497" t="s">
        <v>206</v>
      </c>
      <c r="C19" s="497" t="s">
        <v>224</v>
      </c>
      <c r="D19" s="497" t="s">
        <v>220</v>
      </c>
      <c r="E19" s="615">
        <f t="shared" si="51"/>
        <v>0</v>
      </c>
      <c r="F19" s="615">
        <f t="shared" si="14"/>
        <v>0</v>
      </c>
      <c r="G19" s="616"/>
      <c r="H19" s="616"/>
      <c r="I19" s="616"/>
      <c r="J19" s="616"/>
      <c r="K19" s="616"/>
      <c r="L19" s="616"/>
      <c r="M19" s="615">
        <f t="shared" si="52"/>
        <v>0</v>
      </c>
      <c r="N19" s="616"/>
      <c r="O19" s="616"/>
      <c r="P19" s="616"/>
      <c r="Q19" s="616"/>
      <c r="R19" s="615">
        <f t="shared" si="53"/>
        <v>0</v>
      </c>
      <c r="S19" s="615">
        <f t="shared" si="16"/>
        <v>0</v>
      </c>
      <c r="T19" s="616"/>
      <c r="U19" s="616"/>
      <c r="V19" s="616"/>
      <c r="W19" s="616"/>
      <c r="X19" s="616"/>
      <c r="Y19" s="616"/>
      <c r="Z19" s="615">
        <f t="shared" si="54"/>
        <v>0</v>
      </c>
      <c r="AA19" s="616"/>
      <c r="AB19" s="616"/>
      <c r="AC19" s="616"/>
      <c r="AD19" s="616"/>
      <c r="AE19" s="615">
        <f t="shared" si="18"/>
        <v>0</v>
      </c>
      <c r="AF19" s="615">
        <f t="shared" si="19"/>
        <v>0</v>
      </c>
      <c r="AG19" s="616">
        <f t="shared" si="20"/>
        <v>0</v>
      </c>
      <c r="AH19" s="616">
        <f t="shared" si="21"/>
        <v>0</v>
      </c>
      <c r="AI19" s="616">
        <f t="shared" si="22"/>
        <v>0</v>
      </c>
      <c r="AJ19" s="616">
        <f t="shared" si="23"/>
        <v>0</v>
      </c>
      <c r="AK19" s="616">
        <f t="shared" si="24"/>
        <v>0</v>
      </c>
      <c r="AL19" s="616">
        <f t="shared" si="25"/>
        <v>0</v>
      </c>
      <c r="AM19" s="615">
        <f t="shared" si="26"/>
        <v>0</v>
      </c>
      <c r="AN19" s="616">
        <f t="shared" si="27"/>
        <v>0</v>
      </c>
      <c r="AO19" s="616">
        <f t="shared" si="28"/>
        <v>0</v>
      </c>
      <c r="AP19" s="616">
        <f t="shared" si="29"/>
        <v>0</v>
      </c>
      <c r="AQ19" s="637">
        <f t="shared" si="30"/>
        <v>0</v>
      </c>
      <c r="AR19" s="638">
        <f t="shared" si="55"/>
        <v>0</v>
      </c>
      <c r="AS19" s="616">
        <f t="shared" si="31"/>
        <v>0</v>
      </c>
      <c r="AT19" s="616">
        <f t="shared" si="32"/>
        <v>0</v>
      </c>
      <c r="AU19" s="616">
        <f t="shared" si="33"/>
        <v>0</v>
      </c>
      <c r="AV19" s="616">
        <f t="shared" si="34"/>
        <v>0</v>
      </c>
      <c r="AW19" s="616">
        <f t="shared" si="35"/>
        <v>0</v>
      </c>
      <c r="AX19" s="616">
        <f t="shared" si="36"/>
        <v>0</v>
      </c>
      <c r="AY19" s="616"/>
      <c r="AZ19" s="615">
        <f t="shared" si="37"/>
        <v>0</v>
      </c>
      <c r="BA19" s="616">
        <f t="shared" si="38"/>
        <v>0</v>
      </c>
      <c r="BB19" s="616">
        <f t="shared" si="39"/>
        <v>0</v>
      </c>
      <c r="BC19" s="616">
        <f t="shared" si="40"/>
        <v>0</v>
      </c>
      <c r="BD19" s="616">
        <f t="shared" si="41"/>
        <v>0</v>
      </c>
      <c r="BE19" s="616">
        <f t="shared" si="42"/>
        <v>0</v>
      </c>
      <c r="BF19" s="616">
        <f t="shared" si="43"/>
        <v>0</v>
      </c>
      <c r="BG19" s="616"/>
      <c r="BH19" s="615">
        <f t="shared" si="44"/>
        <v>0</v>
      </c>
      <c r="BI19" s="616">
        <f t="shared" si="45"/>
        <v>0</v>
      </c>
      <c r="BJ19" s="616">
        <f t="shared" si="46"/>
        <v>0</v>
      </c>
      <c r="BK19" s="616">
        <f t="shared" si="47"/>
        <v>0</v>
      </c>
      <c r="BL19" s="616">
        <f t="shared" si="48"/>
        <v>0</v>
      </c>
      <c r="BM19" s="616">
        <f t="shared" si="49"/>
        <v>0</v>
      </c>
      <c r="BN19" s="616">
        <f t="shared" si="50"/>
        <v>0</v>
      </c>
      <c r="BO19" s="616"/>
      <c r="BP19" s="304"/>
    </row>
    <row r="20" s="130" customFormat="1" ht="24" spans="1:68">
      <c r="A20" s="497" t="s">
        <v>215</v>
      </c>
      <c r="B20" s="497" t="s">
        <v>206</v>
      </c>
      <c r="C20" s="497" t="s">
        <v>225</v>
      </c>
      <c r="D20" s="497" t="s">
        <v>220</v>
      </c>
      <c r="E20" s="615">
        <f t="shared" si="51"/>
        <v>0</v>
      </c>
      <c r="F20" s="615">
        <f t="shared" si="14"/>
        <v>0</v>
      </c>
      <c r="G20" s="616"/>
      <c r="H20" s="616"/>
      <c r="I20" s="616"/>
      <c r="J20" s="616"/>
      <c r="K20" s="616"/>
      <c r="L20" s="616"/>
      <c r="M20" s="615">
        <f t="shared" si="52"/>
        <v>0</v>
      </c>
      <c r="N20" s="616"/>
      <c r="O20" s="616"/>
      <c r="P20" s="616"/>
      <c r="Q20" s="616"/>
      <c r="R20" s="615">
        <f t="shared" si="53"/>
        <v>0</v>
      </c>
      <c r="S20" s="615">
        <f t="shared" si="16"/>
        <v>0</v>
      </c>
      <c r="T20" s="616"/>
      <c r="U20" s="616"/>
      <c r="V20" s="616"/>
      <c r="W20" s="616"/>
      <c r="X20" s="616"/>
      <c r="Y20" s="616"/>
      <c r="Z20" s="615">
        <f t="shared" si="54"/>
        <v>0</v>
      </c>
      <c r="AA20" s="616"/>
      <c r="AB20" s="616"/>
      <c r="AC20" s="616"/>
      <c r="AD20" s="616"/>
      <c r="AE20" s="615">
        <f t="shared" si="18"/>
        <v>0</v>
      </c>
      <c r="AF20" s="615">
        <f t="shared" si="19"/>
        <v>0</v>
      </c>
      <c r="AG20" s="616">
        <f t="shared" si="20"/>
        <v>0</v>
      </c>
      <c r="AH20" s="616">
        <f t="shared" si="21"/>
        <v>0</v>
      </c>
      <c r="AI20" s="616">
        <f t="shared" si="22"/>
        <v>0</v>
      </c>
      <c r="AJ20" s="616">
        <f t="shared" si="23"/>
        <v>0</v>
      </c>
      <c r="AK20" s="616">
        <f t="shared" si="24"/>
        <v>0</v>
      </c>
      <c r="AL20" s="616">
        <f t="shared" si="25"/>
        <v>0</v>
      </c>
      <c r="AM20" s="615">
        <f t="shared" si="26"/>
        <v>0</v>
      </c>
      <c r="AN20" s="616">
        <f t="shared" si="27"/>
        <v>0</v>
      </c>
      <c r="AO20" s="616">
        <f t="shared" si="28"/>
        <v>0</v>
      </c>
      <c r="AP20" s="616">
        <f t="shared" si="29"/>
        <v>0</v>
      </c>
      <c r="AQ20" s="637">
        <f t="shared" si="30"/>
        <v>0</v>
      </c>
      <c r="AR20" s="638">
        <f t="shared" si="55"/>
        <v>0</v>
      </c>
      <c r="AS20" s="616">
        <f t="shared" si="31"/>
        <v>0</v>
      </c>
      <c r="AT20" s="616">
        <f t="shared" si="32"/>
        <v>0</v>
      </c>
      <c r="AU20" s="616">
        <f t="shared" si="33"/>
        <v>0</v>
      </c>
      <c r="AV20" s="616">
        <f t="shared" si="34"/>
        <v>0</v>
      </c>
      <c r="AW20" s="616">
        <f t="shared" si="35"/>
        <v>0</v>
      </c>
      <c r="AX20" s="616">
        <f t="shared" si="36"/>
        <v>0</v>
      </c>
      <c r="AY20" s="616"/>
      <c r="AZ20" s="615">
        <f t="shared" si="37"/>
        <v>0</v>
      </c>
      <c r="BA20" s="616">
        <f t="shared" si="38"/>
        <v>0</v>
      </c>
      <c r="BB20" s="616">
        <f t="shared" si="39"/>
        <v>0</v>
      </c>
      <c r="BC20" s="616">
        <f t="shared" si="40"/>
        <v>0</v>
      </c>
      <c r="BD20" s="616">
        <f t="shared" si="41"/>
        <v>0</v>
      </c>
      <c r="BE20" s="616">
        <f t="shared" si="42"/>
        <v>0</v>
      </c>
      <c r="BF20" s="616">
        <f t="shared" si="43"/>
        <v>0</v>
      </c>
      <c r="BG20" s="616"/>
      <c r="BH20" s="615">
        <f t="shared" si="44"/>
        <v>0</v>
      </c>
      <c r="BI20" s="616">
        <f t="shared" si="45"/>
        <v>0</v>
      </c>
      <c r="BJ20" s="616">
        <f t="shared" si="46"/>
        <v>0</v>
      </c>
      <c r="BK20" s="616">
        <f t="shared" si="47"/>
        <v>0</v>
      </c>
      <c r="BL20" s="616">
        <f t="shared" si="48"/>
        <v>0</v>
      </c>
      <c r="BM20" s="616">
        <f t="shared" si="49"/>
        <v>0</v>
      </c>
      <c r="BN20" s="616">
        <f t="shared" si="50"/>
        <v>0</v>
      </c>
      <c r="BO20" s="616"/>
      <c r="BP20" s="304"/>
    </row>
    <row r="21" s="130" customFormat="1" ht="24" spans="1:68">
      <c r="A21" s="497" t="s">
        <v>226</v>
      </c>
      <c r="B21" s="497" t="s">
        <v>203</v>
      </c>
      <c r="C21" s="497" t="s">
        <v>227</v>
      </c>
      <c r="D21" s="497" t="s">
        <v>214</v>
      </c>
      <c r="E21" s="615">
        <f t="shared" si="51"/>
        <v>458.51</v>
      </c>
      <c r="F21" s="615">
        <f t="shared" si="14"/>
        <v>264.68</v>
      </c>
      <c r="G21" s="616">
        <v>103.4</v>
      </c>
      <c r="H21" s="616">
        <v>67.79</v>
      </c>
      <c r="I21" s="616">
        <v>8.62</v>
      </c>
      <c r="J21" s="616"/>
      <c r="K21" s="616">
        <v>0.26</v>
      </c>
      <c r="L21" s="616">
        <v>84.61</v>
      </c>
      <c r="M21" s="615">
        <f t="shared" si="52"/>
        <v>193.83</v>
      </c>
      <c r="N21" s="616">
        <f>5.79+162.84</f>
        <v>168.63</v>
      </c>
      <c r="O21" s="616"/>
      <c r="P21" s="616">
        <v>13.2</v>
      </c>
      <c r="Q21" s="616">
        <v>12</v>
      </c>
      <c r="R21" s="615">
        <f t="shared" si="53"/>
        <v>-40.12</v>
      </c>
      <c r="S21" s="615">
        <f t="shared" si="16"/>
        <v>-43.1</v>
      </c>
      <c r="T21" s="616">
        <v>-17.12</v>
      </c>
      <c r="U21" s="616">
        <v>-11.29</v>
      </c>
      <c r="V21" s="616">
        <v>-0.91</v>
      </c>
      <c r="W21" s="616"/>
      <c r="X21" s="616"/>
      <c r="Y21" s="616">
        <v>-13.78</v>
      </c>
      <c r="Z21" s="615">
        <f t="shared" si="54"/>
        <v>2.98</v>
      </c>
      <c r="AA21" s="616">
        <v>0.42</v>
      </c>
      <c r="AB21" s="616">
        <v>2.1</v>
      </c>
      <c r="AC21" s="616">
        <v>0.12</v>
      </c>
      <c r="AD21" s="616">
        <v>0.34</v>
      </c>
      <c r="AE21" s="615">
        <f t="shared" si="18"/>
        <v>418.39</v>
      </c>
      <c r="AF21" s="615">
        <f t="shared" si="19"/>
        <v>221.58</v>
      </c>
      <c r="AG21" s="616">
        <f t="shared" si="20"/>
        <v>86.28</v>
      </c>
      <c r="AH21" s="616">
        <f t="shared" si="21"/>
        <v>56.5</v>
      </c>
      <c r="AI21" s="616">
        <f t="shared" si="22"/>
        <v>7.71</v>
      </c>
      <c r="AJ21" s="616">
        <f t="shared" si="23"/>
        <v>0</v>
      </c>
      <c r="AK21" s="616">
        <f t="shared" si="24"/>
        <v>0.26</v>
      </c>
      <c r="AL21" s="616">
        <f t="shared" si="25"/>
        <v>70.83</v>
      </c>
      <c r="AM21" s="615">
        <f t="shared" si="26"/>
        <v>196.81</v>
      </c>
      <c r="AN21" s="616">
        <f t="shared" si="27"/>
        <v>169.05</v>
      </c>
      <c r="AO21" s="616">
        <f t="shared" si="28"/>
        <v>2.1</v>
      </c>
      <c r="AP21" s="616">
        <f t="shared" si="29"/>
        <v>13.32</v>
      </c>
      <c r="AQ21" s="637">
        <f t="shared" si="30"/>
        <v>12.34</v>
      </c>
      <c r="AR21" s="638">
        <f t="shared" si="55"/>
        <v>88.18612</v>
      </c>
      <c r="AS21" s="616">
        <f t="shared" si="31"/>
        <v>42.3072</v>
      </c>
      <c r="AT21" s="616">
        <f t="shared" si="32"/>
        <v>13.6952</v>
      </c>
      <c r="AU21" s="616">
        <f t="shared" si="33"/>
        <v>10.2714</v>
      </c>
      <c r="AV21" s="616">
        <f t="shared" si="34"/>
        <v>0.34238</v>
      </c>
      <c r="AW21" s="616">
        <f t="shared" si="35"/>
        <v>1.02714</v>
      </c>
      <c r="AX21" s="616">
        <f t="shared" si="36"/>
        <v>20.5428</v>
      </c>
      <c r="AY21" s="616"/>
      <c r="AZ21" s="615">
        <f t="shared" si="37"/>
        <v>-14.50988</v>
      </c>
      <c r="BA21" s="616">
        <f t="shared" si="38"/>
        <v>-6.896</v>
      </c>
      <c r="BB21" s="616">
        <f t="shared" si="39"/>
        <v>-2.2728</v>
      </c>
      <c r="BC21" s="616">
        <f t="shared" si="40"/>
        <v>-1.7046</v>
      </c>
      <c r="BD21" s="616">
        <f t="shared" si="41"/>
        <v>-0.05682</v>
      </c>
      <c r="BE21" s="616">
        <f t="shared" si="42"/>
        <v>-0.17046</v>
      </c>
      <c r="BF21" s="616">
        <f t="shared" si="43"/>
        <v>-3.4092</v>
      </c>
      <c r="BG21" s="616"/>
      <c r="BH21" s="615">
        <f t="shared" si="44"/>
        <v>73.67624</v>
      </c>
      <c r="BI21" s="616">
        <f t="shared" si="45"/>
        <v>35.4112</v>
      </c>
      <c r="BJ21" s="616">
        <f t="shared" si="46"/>
        <v>11.4224</v>
      </c>
      <c r="BK21" s="616">
        <f t="shared" si="47"/>
        <v>8.5668</v>
      </c>
      <c r="BL21" s="616">
        <f t="shared" si="48"/>
        <v>0.28556</v>
      </c>
      <c r="BM21" s="616">
        <f t="shared" si="49"/>
        <v>0.85668</v>
      </c>
      <c r="BN21" s="616">
        <f t="shared" si="50"/>
        <v>17.1336</v>
      </c>
      <c r="BO21" s="616"/>
      <c r="BP21" s="304"/>
    </row>
    <row r="22" s="130" customFormat="1" ht="36" spans="1:68">
      <c r="A22" s="497" t="s">
        <v>226</v>
      </c>
      <c r="B22" s="497" t="s">
        <v>206</v>
      </c>
      <c r="C22" s="497" t="s">
        <v>228</v>
      </c>
      <c r="D22" s="497" t="s">
        <v>220</v>
      </c>
      <c r="E22" s="615">
        <f t="shared" si="51"/>
        <v>0</v>
      </c>
      <c r="F22" s="615">
        <f t="shared" si="14"/>
        <v>0</v>
      </c>
      <c r="G22" s="616"/>
      <c r="H22" s="616"/>
      <c r="I22" s="616"/>
      <c r="J22" s="616"/>
      <c r="K22" s="616"/>
      <c r="L22" s="616"/>
      <c r="M22" s="615">
        <f t="shared" si="52"/>
        <v>0</v>
      </c>
      <c r="N22" s="616"/>
      <c r="O22" s="616"/>
      <c r="P22" s="616"/>
      <c r="Q22" s="616"/>
      <c r="R22" s="615">
        <f t="shared" si="53"/>
        <v>0</v>
      </c>
      <c r="S22" s="615">
        <f t="shared" si="16"/>
        <v>0</v>
      </c>
      <c r="T22" s="616"/>
      <c r="U22" s="616"/>
      <c r="V22" s="616"/>
      <c r="W22" s="616"/>
      <c r="X22" s="616"/>
      <c r="Y22" s="616"/>
      <c r="Z22" s="615">
        <f t="shared" si="54"/>
        <v>0</v>
      </c>
      <c r="AA22" s="616"/>
      <c r="AB22" s="616"/>
      <c r="AC22" s="616"/>
      <c r="AD22" s="616"/>
      <c r="AE22" s="615">
        <f t="shared" si="18"/>
        <v>0</v>
      </c>
      <c r="AF22" s="615">
        <f t="shared" si="19"/>
        <v>0</v>
      </c>
      <c r="AG22" s="616">
        <f t="shared" si="20"/>
        <v>0</v>
      </c>
      <c r="AH22" s="616">
        <f t="shared" si="21"/>
        <v>0</v>
      </c>
      <c r="AI22" s="616">
        <f t="shared" si="22"/>
        <v>0</v>
      </c>
      <c r="AJ22" s="616">
        <f t="shared" si="23"/>
        <v>0</v>
      </c>
      <c r="AK22" s="616">
        <f t="shared" si="24"/>
        <v>0</v>
      </c>
      <c r="AL22" s="616">
        <f t="shared" si="25"/>
        <v>0</v>
      </c>
      <c r="AM22" s="615">
        <f t="shared" si="26"/>
        <v>0</v>
      </c>
      <c r="AN22" s="616">
        <f t="shared" si="27"/>
        <v>0</v>
      </c>
      <c r="AO22" s="616">
        <f t="shared" si="28"/>
        <v>0</v>
      </c>
      <c r="AP22" s="616">
        <f t="shared" si="29"/>
        <v>0</v>
      </c>
      <c r="AQ22" s="637">
        <f t="shared" si="30"/>
        <v>0</v>
      </c>
      <c r="AR22" s="638">
        <f t="shared" si="55"/>
        <v>0</v>
      </c>
      <c r="AS22" s="616">
        <f t="shared" si="31"/>
        <v>0</v>
      </c>
      <c r="AT22" s="616">
        <f t="shared" si="32"/>
        <v>0</v>
      </c>
      <c r="AU22" s="616">
        <f t="shared" si="33"/>
        <v>0</v>
      </c>
      <c r="AV22" s="616">
        <f t="shared" si="34"/>
        <v>0</v>
      </c>
      <c r="AW22" s="616">
        <f t="shared" si="35"/>
        <v>0</v>
      </c>
      <c r="AX22" s="616">
        <f t="shared" si="36"/>
        <v>0</v>
      </c>
      <c r="AY22" s="616"/>
      <c r="AZ22" s="615">
        <f t="shared" si="37"/>
        <v>0</v>
      </c>
      <c r="BA22" s="616">
        <f t="shared" si="38"/>
        <v>0</v>
      </c>
      <c r="BB22" s="616">
        <f t="shared" si="39"/>
        <v>0</v>
      </c>
      <c r="BC22" s="616">
        <f t="shared" si="40"/>
        <v>0</v>
      </c>
      <c r="BD22" s="616">
        <f t="shared" si="41"/>
        <v>0</v>
      </c>
      <c r="BE22" s="616">
        <f t="shared" si="42"/>
        <v>0</v>
      </c>
      <c r="BF22" s="616">
        <f t="shared" si="43"/>
        <v>0</v>
      </c>
      <c r="BG22" s="616"/>
      <c r="BH22" s="615">
        <f t="shared" si="44"/>
        <v>0</v>
      </c>
      <c r="BI22" s="616">
        <f t="shared" si="45"/>
        <v>0</v>
      </c>
      <c r="BJ22" s="616">
        <f t="shared" si="46"/>
        <v>0</v>
      </c>
      <c r="BK22" s="616">
        <f t="shared" si="47"/>
        <v>0</v>
      </c>
      <c r="BL22" s="616">
        <f t="shared" si="48"/>
        <v>0</v>
      </c>
      <c r="BM22" s="616">
        <f t="shared" si="49"/>
        <v>0</v>
      </c>
      <c r="BN22" s="616">
        <f t="shared" si="50"/>
        <v>0</v>
      </c>
      <c r="BO22" s="616"/>
      <c r="BP22" s="304"/>
    </row>
    <row r="23" s="130" customFormat="1" ht="24" spans="1:68">
      <c r="A23" s="497" t="s">
        <v>226</v>
      </c>
      <c r="B23" s="497" t="s">
        <v>203</v>
      </c>
      <c r="C23" s="497" t="s">
        <v>229</v>
      </c>
      <c r="D23" s="497" t="s">
        <v>214</v>
      </c>
      <c r="E23" s="615">
        <f t="shared" si="51"/>
        <v>399.7003</v>
      </c>
      <c r="F23" s="615">
        <f t="shared" si="14"/>
        <v>305.0303</v>
      </c>
      <c r="G23" s="616">
        <v>116.4708</v>
      </c>
      <c r="H23" s="616">
        <v>75.7956</v>
      </c>
      <c r="I23" s="616">
        <v>9.7059</v>
      </c>
      <c r="J23" s="616">
        <v>6.72</v>
      </c>
      <c r="K23" s="616">
        <v>0.528</v>
      </c>
      <c r="L23" s="616">
        <v>95.81</v>
      </c>
      <c r="M23" s="615">
        <f t="shared" si="52"/>
        <v>94.67</v>
      </c>
      <c r="N23" s="616">
        <v>65.27</v>
      </c>
      <c r="O23" s="616"/>
      <c r="P23" s="616">
        <v>15.4</v>
      </c>
      <c r="Q23" s="616">
        <v>14</v>
      </c>
      <c r="R23" s="615">
        <f t="shared" si="53"/>
        <v>-31.19</v>
      </c>
      <c r="S23" s="615">
        <f t="shared" si="16"/>
        <v>-32.17</v>
      </c>
      <c r="T23" s="616">
        <v>-12.83</v>
      </c>
      <c r="U23" s="616">
        <v>-7.78</v>
      </c>
      <c r="V23" s="616">
        <v>-0.56</v>
      </c>
      <c r="W23" s="616">
        <v>-0.77</v>
      </c>
      <c r="X23" s="616">
        <v>-0.26</v>
      </c>
      <c r="Y23" s="616">
        <v>-9.97</v>
      </c>
      <c r="Z23" s="615">
        <f t="shared" si="54"/>
        <v>0.98</v>
      </c>
      <c r="AA23" s="616"/>
      <c r="AB23" s="616">
        <v>0.75</v>
      </c>
      <c r="AC23" s="616">
        <v>-0.52</v>
      </c>
      <c r="AD23" s="616">
        <v>0.75</v>
      </c>
      <c r="AE23" s="615">
        <f t="shared" si="18"/>
        <v>368.5103</v>
      </c>
      <c r="AF23" s="615">
        <f t="shared" si="19"/>
        <v>272.8603</v>
      </c>
      <c r="AG23" s="616">
        <f t="shared" si="20"/>
        <v>103.6408</v>
      </c>
      <c r="AH23" s="616">
        <f t="shared" si="21"/>
        <v>68.0156</v>
      </c>
      <c r="AI23" s="616">
        <f t="shared" si="22"/>
        <v>9.1459</v>
      </c>
      <c r="AJ23" s="616">
        <f t="shared" si="23"/>
        <v>5.95</v>
      </c>
      <c r="AK23" s="616">
        <f t="shared" si="24"/>
        <v>0.268</v>
      </c>
      <c r="AL23" s="616">
        <f t="shared" si="25"/>
        <v>85.84</v>
      </c>
      <c r="AM23" s="615">
        <f t="shared" si="26"/>
        <v>95.65</v>
      </c>
      <c r="AN23" s="616">
        <f t="shared" si="27"/>
        <v>65.27</v>
      </c>
      <c r="AO23" s="616">
        <f t="shared" si="28"/>
        <v>0.75</v>
      </c>
      <c r="AP23" s="616">
        <f t="shared" si="29"/>
        <v>14.88</v>
      </c>
      <c r="AQ23" s="637">
        <f t="shared" si="30"/>
        <v>14.75</v>
      </c>
      <c r="AR23" s="638">
        <f t="shared" si="55"/>
        <v>99.1725632</v>
      </c>
      <c r="AS23" s="616">
        <f t="shared" si="31"/>
        <v>47.645168</v>
      </c>
      <c r="AT23" s="616">
        <f t="shared" si="32"/>
        <v>15.381312</v>
      </c>
      <c r="AU23" s="616">
        <f t="shared" si="33"/>
        <v>11.535984</v>
      </c>
      <c r="AV23" s="616">
        <f t="shared" si="34"/>
        <v>0.3845328</v>
      </c>
      <c r="AW23" s="616">
        <f t="shared" si="35"/>
        <v>1.1535984</v>
      </c>
      <c r="AX23" s="616">
        <f t="shared" si="36"/>
        <v>23.071968</v>
      </c>
      <c r="AY23" s="616"/>
      <c r="AZ23" s="615">
        <f t="shared" si="37"/>
        <v>-10.50588</v>
      </c>
      <c r="BA23" s="616">
        <f t="shared" si="38"/>
        <v>-4.9824</v>
      </c>
      <c r="BB23" s="616">
        <f t="shared" si="39"/>
        <v>-1.6488</v>
      </c>
      <c r="BC23" s="616">
        <f t="shared" si="40"/>
        <v>-1.2366</v>
      </c>
      <c r="BD23" s="616">
        <f t="shared" si="41"/>
        <v>-0.04122</v>
      </c>
      <c r="BE23" s="616">
        <f t="shared" si="42"/>
        <v>-0.12366</v>
      </c>
      <c r="BF23" s="616">
        <f t="shared" si="43"/>
        <v>-2.4732</v>
      </c>
      <c r="BG23" s="616"/>
      <c r="BH23" s="615">
        <f t="shared" si="44"/>
        <v>88.6666832</v>
      </c>
      <c r="BI23" s="616">
        <f t="shared" si="45"/>
        <v>42.662768</v>
      </c>
      <c r="BJ23" s="616">
        <f t="shared" si="46"/>
        <v>13.732512</v>
      </c>
      <c r="BK23" s="616">
        <f t="shared" si="47"/>
        <v>10.299384</v>
      </c>
      <c r="BL23" s="616">
        <f t="shared" si="48"/>
        <v>0.3433128</v>
      </c>
      <c r="BM23" s="616">
        <f t="shared" si="49"/>
        <v>1.0299384</v>
      </c>
      <c r="BN23" s="616">
        <f t="shared" si="50"/>
        <v>20.598768</v>
      </c>
      <c r="BO23" s="616"/>
      <c r="BP23" s="304"/>
    </row>
    <row r="24" s="130" customFormat="1" ht="24" spans="1:68">
      <c r="A24" s="497" t="s">
        <v>226</v>
      </c>
      <c r="B24" s="497" t="s">
        <v>206</v>
      </c>
      <c r="C24" s="497" t="s">
        <v>230</v>
      </c>
      <c r="D24" s="497" t="s">
        <v>220</v>
      </c>
      <c r="E24" s="615">
        <f t="shared" si="51"/>
        <v>0</v>
      </c>
      <c r="F24" s="615">
        <f t="shared" si="14"/>
        <v>0</v>
      </c>
      <c r="G24" s="616"/>
      <c r="H24" s="616"/>
      <c r="I24" s="616"/>
      <c r="J24" s="616"/>
      <c r="K24" s="616"/>
      <c r="L24" s="616"/>
      <c r="M24" s="615">
        <f t="shared" si="52"/>
        <v>0</v>
      </c>
      <c r="N24" s="616"/>
      <c r="O24" s="616"/>
      <c r="P24" s="616"/>
      <c r="Q24" s="616"/>
      <c r="R24" s="615">
        <f t="shared" si="53"/>
        <v>0</v>
      </c>
      <c r="S24" s="615">
        <f t="shared" si="16"/>
        <v>0</v>
      </c>
      <c r="T24" s="616"/>
      <c r="U24" s="616"/>
      <c r="V24" s="616"/>
      <c r="W24" s="616"/>
      <c r="X24" s="616"/>
      <c r="Y24" s="616"/>
      <c r="Z24" s="615">
        <f t="shared" si="54"/>
        <v>0</v>
      </c>
      <c r="AA24" s="616"/>
      <c r="AB24" s="616"/>
      <c r="AC24" s="616"/>
      <c r="AD24" s="616"/>
      <c r="AE24" s="615">
        <f t="shared" si="18"/>
        <v>0</v>
      </c>
      <c r="AF24" s="615">
        <f t="shared" si="19"/>
        <v>0</v>
      </c>
      <c r="AG24" s="616">
        <f t="shared" si="20"/>
        <v>0</v>
      </c>
      <c r="AH24" s="616">
        <f t="shared" si="21"/>
        <v>0</v>
      </c>
      <c r="AI24" s="616">
        <f t="shared" si="22"/>
        <v>0</v>
      </c>
      <c r="AJ24" s="616">
        <f t="shared" si="23"/>
        <v>0</v>
      </c>
      <c r="AK24" s="616">
        <f t="shared" si="24"/>
        <v>0</v>
      </c>
      <c r="AL24" s="616">
        <f t="shared" si="25"/>
        <v>0</v>
      </c>
      <c r="AM24" s="615">
        <f t="shared" si="26"/>
        <v>0</v>
      </c>
      <c r="AN24" s="616">
        <f t="shared" si="27"/>
        <v>0</v>
      </c>
      <c r="AO24" s="616">
        <f t="shared" si="28"/>
        <v>0</v>
      </c>
      <c r="AP24" s="616">
        <f t="shared" si="29"/>
        <v>0</v>
      </c>
      <c r="AQ24" s="637">
        <f t="shared" si="30"/>
        <v>0</v>
      </c>
      <c r="AR24" s="638">
        <f t="shared" si="55"/>
        <v>0</v>
      </c>
      <c r="AS24" s="616">
        <f t="shared" si="31"/>
        <v>0</v>
      </c>
      <c r="AT24" s="616">
        <f t="shared" si="32"/>
        <v>0</v>
      </c>
      <c r="AU24" s="616">
        <f t="shared" si="33"/>
        <v>0</v>
      </c>
      <c r="AV24" s="616">
        <f t="shared" si="34"/>
        <v>0</v>
      </c>
      <c r="AW24" s="616">
        <f t="shared" si="35"/>
        <v>0</v>
      </c>
      <c r="AX24" s="616">
        <f t="shared" si="36"/>
        <v>0</v>
      </c>
      <c r="AY24" s="616"/>
      <c r="AZ24" s="615">
        <f t="shared" si="37"/>
        <v>0</v>
      </c>
      <c r="BA24" s="616">
        <f t="shared" si="38"/>
        <v>0</v>
      </c>
      <c r="BB24" s="616">
        <f t="shared" si="39"/>
        <v>0</v>
      </c>
      <c r="BC24" s="616">
        <f t="shared" si="40"/>
        <v>0</v>
      </c>
      <c r="BD24" s="616">
        <f t="shared" si="41"/>
        <v>0</v>
      </c>
      <c r="BE24" s="616">
        <f t="shared" si="42"/>
        <v>0</v>
      </c>
      <c r="BF24" s="616">
        <f t="shared" si="43"/>
        <v>0</v>
      </c>
      <c r="BG24" s="616"/>
      <c r="BH24" s="615">
        <f t="shared" si="44"/>
        <v>0</v>
      </c>
      <c r="BI24" s="616">
        <f t="shared" si="45"/>
        <v>0</v>
      </c>
      <c r="BJ24" s="616">
        <f t="shared" si="46"/>
        <v>0</v>
      </c>
      <c r="BK24" s="616">
        <f t="shared" si="47"/>
        <v>0</v>
      </c>
      <c r="BL24" s="616">
        <f t="shared" si="48"/>
        <v>0</v>
      </c>
      <c r="BM24" s="616">
        <f t="shared" si="49"/>
        <v>0</v>
      </c>
      <c r="BN24" s="616">
        <f t="shared" si="50"/>
        <v>0</v>
      </c>
      <c r="BO24" s="616"/>
      <c r="BP24" s="304"/>
    </row>
    <row r="25" s="130" customFormat="1" ht="24" spans="1:68">
      <c r="A25" s="497" t="s">
        <v>226</v>
      </c>
      <c r="B25" s="497" t="s">
        <v>203</v>
      </c>
      <c r="C25" s="497" t="s">
        <v>231</v>
      </c>
      <c r="D25" s="497" t="s">
        <v>214</v>
      </c>
      <c r="E25" s="615">
        <f t="shared" si="51"/>
        <v>212.81</v>
      </c>
      <c r="F25" s="615">
        <f t="shared" si="14"/>
        <v>186.25</v>
      </c>
      <c r="G25" s="616">
        <v>71.18</v>
      </c>
      <c r="H25" s="616">
        <v>46.48</v>
      </c>
      <c r="I25" s="616">
        <v>5.93</v>
      </c>
      <c r="J25" s="616">
        <v>3.84</v>
      </c>
      <c r="K25" s="616">
        <v>0.26</v>
      </c>
      <c r="L25" s="616">
        <v>58.56</v>
      </c>
      <c r="M25" s="615">
        <f t="shared" si="52"/>
        <v>26.56</v>
      </c>
      <c r="N25" s="616">
        <v>8.71</v>
      </c>
      <c r="O25" s="616"/>
      <c r="P25" s="616">
        <v>9.35</v>
      </c>
      <c r="Q25" s="616">
        <v>8.5</v>
      </c>
      <c r="R25" s="615">
        <f t="shared" si="53"/>
        <v>-36.478</v>
      </c>
      <c r="S25" s="615">
        <f t="shared" si="16"/>
        <v>-36.718</v>
      </c>
      <c r="T25" s="616">
        <v>-14.61</v>
      </c>
      <c r="U25" s="616">
        <v>-9.38</v>
      </c>
      <c r="V25" s="616">
        <v>-0.33</v>
      </c>
      <c r="W25" s="616">
        <v>-0.74</v>
      </c>
      <c r="X25" s="616"/>
      <c r="Y25" s="616">
        <v>-11.658</v>
      </c>
      <c r="Z25" s="615">
        <f t="shared" si="54"/>
        <v>0.24</v>
      </c>
      <c r="AA25" s="616"/>
      <c r="AB25" s="618">
        <v>0.3</v>
      </c>
      <c r="AC25" s="616">
        <v>-0.02</v>
      </c>
      <c r="AD25" s="616">
        <v>-0.04</v>
      </c>
      <c r="AE25" s="615">
        <f t="shared" si="18"/>
        <v>176.332</v>
      </c>
      <c r="AF25" s="615">
        <f t="shared" si="19"/>
        <v>149.532</v>
      </c>
      <c r="AG25" s="616">
        <f t="shared" si="20"/>
        <v>56.57</v>
      </c>
      <c r="AH25" s="616">
        <f t="shared" si="21"/>
        <v>37.1</v>
      </c>
      <c r="AI25" s="616">
        <f t="shared" si="22"/>
        <v>5.6</v>
      </c>
      <c r="AJ25" s="616">
        <f t="shared" si="23"/>
        <v>3.1</v>
      </c>
      <c r="AK25" s="616">
        <f t="shared" si="24"/>
        <v>0.26</v>
      </c>
      <c r="AL25" s="616">
        <f t="shared" si="25"/>
        <v>46.902</v>
      </c>
      <c r="AM25" s="615">
        <f t="shared" si="26"/>
        <v>26.8</v>
      </c>
      <c r="AN25" s="616">
        <f t="shared" si="27"/>
        <v>8.71</v>
      </c>
      <c r="AO25" s="616">
        <f t="shared" si="28"/>
        <v>0.3</v>
      </c>
      <c r="AP25" s="616">
        <f t="shared" si="29"/>
        <v>9.33</v>
      </c>
      <c r="AQ25" s="637">
        <f t="shared" si="30"/>
        <v>8.46</v>
      </c>
      <c r="AR25" s="638">
        <f t="shared" si="55"/>
        <v>60.67688</v>
      </c>
      <c r="AS25" s="616">
        <f t="shared" si="31"/>
        <v>29.144</v>
      </c>
      <c r="AT25" s="616">
        <f t="shared" si="32"/>
        <v>9.4128</v>
      </c>
      <c r="AU25" s="616">
        <f t="shared" si="33"/>
        <v>7.0596</v>
      </c>
      <c r="AV25" s="616">
        <f t="shared" si="34"/>
        <v>0.23532</v>
      </c>
      <c r="AW25" s="616">
        <f t="shared" si="35"/>
        <v>0.70596</v>
      </c>
      <c r="AX25" s="616">
        <f t="shared" si="36"/>
        <v>14.1192</v>
      </c>
      <c r="AY25" s="616"/>
      <c r="AZ25" s="615">
        <f t="shared" si="37"/>
        <v>-12.1858</v>
      </c>
      <c r="BA25" s="616">
        <f t="shared" si="38"/>
        <v>-5.75648</v>
      </c>
      <c r="BB25" s="616">
        <f t="shared" si="39"/>
        <v>-1.9192</v>
      </c>
      <c r="BC25" s="616">
        <f t="shared" si="40"/>
        <v>-1.4394</v>
      </c>
      <c r="BD25" s="616">
        <f t="shared" si="41"/>
        <v>-0.04798</v>
      </c>
      <c r="BE25" s="616">
        <f t="shared" si="42"/>
        <v>-0.14394</v>
      </c>
      <c r="BF25" s="616">
        <f t="shared" si="43"/>
        <v>-2.8788</v>
      </c>
      <c r="BG25" s="616"/>
      <c r="BH25" s="615">
        <f t="shared" si="44"/>
        <v>48.49108</v>
      </c>
      <c r="BI25" s="616">
        <f t="shared" si="45"/>
        <v>23.38752</v>
      </c>
      <c r="BJ25" s="616">
        <f t="shared" si="46"/>
        <v>7.4936</v>
      </c>
      <c r="BK25" s="616">
        <f t="shared" si="47"/>
        <v>5.6202</v>
      </c>
      <c r="BL25" s="616">
        <f t="shared" si="48"/>
        <v>0.18734</v>
      </c>
      <c r="BM25" s="616">
        <f t="shared" si="49"/>
        <v>0.56202</v>
      </c>
      <c r="BN25" s="616">
        <f t="shared" si="50"/>
        <v>11.2404</v>
      </c>
      <c r="BO25" s="616"/>
      <c r="BP25" s="304"/>
    </row>
    <row r="26" s="130" customFormat="1" ht="24" spans="1:68">
      <c r="A26" s="497" t="s">
        <v>226</v>
      </c>
      <c r="B26" s="497" t="s">
        <v>206</v>
      </c>
      <c r="C26" s="497" t="s">
        <v>232</v>
      </c>
      <c r="D26" s="497" t="s">
        <v>220</v>
      </c>
      <c r="E26" s="615">
        <f t="shared" si="51"/>
        <v>0</v>
      </c>
      <c r="F26" s="615">
        <f t="shared" si="14"/>
        <v>0</v>
      </c>
      <c r="G26" s="616"/>
      <c r="H26" s="616"/>
      <c r="I26" s="616"/>
      <c r="J26" s="616"/>
      <c r="K26" s="616"/>
      <c r="L26" s="616"/>
      <c r="M26" s="615">
        <f t="shared" si="52"/>
        <v>0</v>
      </c>
      <c r="N26" s="616"/>
      <c r="O26" s="616"/>
      <c r="P26" s="616"/>
      <c r="Q26" s="616"/>
      <c r="R26" s="615">
        <f t="shared" si="53"/>
        <v>0</v>
      </c>
      <c r="S26" s="615">
        <f t="shared" si="16"/>
        <v>0</v>
      </c>
      <c r="T26" s="616"/>
      <c r="U26" s="616"/>
      <c r="V26" s="616"/>
      <c r="W26" s="616"/>
      <c r="X26" s="616"/>
      <c r="Y26" s="616"/>
      <c r="Z26" s="615">
        <f t="shared" si="54"/>
        <v>0</v>
      </c>
      <c r="AA26" s="616"/>
      <c r="AB26" s="616"/>
      <c r="AC26" s="616"/>
      <c r="AD26" s="616"/>
      <c r="AE26" s="615">
        <f t="shared" si="18"/>
        <v>0</v>
      </c>
      <c r="AF26" s="615">
        <f t="shared" si="19"/>
        <v>0</v>
      </c>
      <c r="AG26" s="616">
        <f t="shared" si="20"/>
        <v>0</v>
      </c>
      <c r="AH26" s="616">
        <f t="shared" si="21"/>
        <v>0</v>
      </c>
      <c r="AI26" s="616">
        <f t="shared" si="22"/>
        <v>0</v>
      </c>
      <c r="AJ26" s="616">
        <f t="shared" si="23"/>
        <v>0</v>
      </c>
      <c r="AK26" s="616">
        <f t="shared" si="24"/>
        <v>0</v>
      </c>
      <c r="AL26" s="616">
        <f t="shared" si="25"/>
        <v>0</v>
      </c>
      <c r="AM26" s="615">
        <f t="shared" si="26"/>
        <v>0</v>
      </c>
      <c r="AN26" s="616">
        <f t="shared" si="27"/>
        <v>0</v>
      </c>
      <c r="AO26" s="616">
        <f t="shared" si="28"/>
        <v>0</v>
      </c>
      <c r="AP26" s="616">
        <f t="shared" si="29"/>
        <v>0</v>
      </c>
      <c r="AQ26" s="637">
        <f t="shared" si="30"/>
        <v>0</v>
      </c>
      <c r="AR26" s="638">
        <f t="shared" si="55"/>
        <v>0</v>
      </c>
      <c r="AS26" s="616">
        <f t="shared" si="31"/>
        <v>0</v>
      </c>
      <c r="AT26" s="616">
        <f t="shared" si="32"/>
        <v>0</v>
      </c>
      <c r="AU26" s="616">
        <f t="shared" si="33"/>
        <v>0</v>
      </c>
      <c r="AV26" s="616">
        <f t="shared" si="34"/>
        <v>0</v>
      </c>
      <c r="AW26" s="616">
        <f t="shared" si="35"/>
        <v>0</v>
      </c>
      <c r="AX26" s="616">
        <f t="shared" si="36"/>
        <v>0</v>
      </c>
      <c r="AY26" s="616"/>
      <c r="AZ26" s="615">
        <f t="shared" si="37"/>
        <v>0</v>
      </c>
      <c r="BA26" s="616">
        <f t="shared" si="38"/>
        <v>0</v>
      </c>
      <c r="BB26" s="616">
        <f t="shared" si="39"/>
        <v>0</v>
      </c>
      <c r="BC26" s="616">
        <f t="shared" si="40"/>
        <v>0</v>
      </c>
      <c r="BD26" s="616">
        <f t="shared" si="41"/>
        <v>0</v>
      </c>
      <c r="BE26" s="616">
        <f t="shared" si="42"/>
        <v>0</v>
      </c>
      <c r="BF26" s="616">
        <f t="shared" si="43"/>
        <v>0</v>
      </c>
      <c r="BG26" s="616"/>
      <c r="BH26" s="615">
        <f t="shared" si="44"/>
        <v>0</v>
      </c>
      <c r="BI26" s="616">
        <f t="shared" si="45"/>
        <v>0</v>
      </c>
      <c r="BJ26" s="616">
        <f t="shared" si="46"/>
        <v>0</v>
      </c>
      <c r="BK26" s="616">
        <f t="shared" si="47"/>
        <v>0</v>
      </c>
      <c r="BL26" s="616">
        <f t="shared" si="48"/>
        <v>0</v>
      </c>
      <c r="BM26" s="616">
        <f t="shared" si="49"/>
        <v>0</v>
      </c>
      <c r="BN26" s="616">
        <f t="shared" si="50"/>
        <v>0</v>
      </c>
      <c r="BO26" s="616"/>
      <c r="BP26" s="304"/>
    </row>
    <row r="27" s="130" customFormat="1" ht="24" spans="1:68">
      <c r="A27" s="497" t="s">
        <v>226</v>
      </c>
      <c r="B27" s="497" t="s">
        <v>203</v>
      </c>
      <c r="C27" s="497" t="s">
        <v>233</v>
      </c>
      <c r="D27" s="497" t="s">
        <v>214</v>
      </c>
      <c r="E27" s="615">
        <f t="shared" si="51"/>
        <v>251.7</v>
      </c>
      <c r="F27" s="615">
        <f t="shared" si="14"/>
        <v>220.94</v>
      </c>
      <c r="G27" s="616">
        <v>81.89</v>
      </c>
      <c r="H27" s="616">
        <v>54.68</v>
      </c>
      <c r="I27" s="616">
        <v>6.81</v>
      </c>
      <c r="J27" s="616">
        <v>6.84</v>
      </c>
      <c r="K27" s="616">
        <v>0.53</v>
      </c>
      <c r="L27" s="616">
        <v>70.19</v>
      </c>
      <c r="M27" s="615">
        <f t="shared" si="52"/>
        <v>30.76</v>
      </c>
      <c r="N27" s="616">
        <v>8.71</v>
      </c>
      <c r="O27" s="616"/>
      <c r="P27" s="616">
        <v>11.55</v>
      </c>
      <c r="Q27" s="616">
        <v>10.5</v>
      </c>
      <c r="R27" s="615">
        <f t="shared" si="53"/>
        <v>11.13</v>
      </c>
      <c r="S27" s="615">
        <f t="shared" si="16"/>
        <v>10.79</v>
      </c>
      <c r="T27" s="616">
        <v>4.15</v>
      </c>
      <c r="U27" s="616">
        <v>3.4</v>
      </c>
      <c r="V27" s="616">
        <v>-0.43</v>
      </c>
      <c r="W27" s="616">
        <v>1.29</v>
      </c>
      <c r="X27" s="616"/>
      <c r="Y27" s="616">
        <v>2.38</v>
      </c>
      <c r="Z27" s="615">
        <f t="shared" si="54"/>
        <v>0.34</v>
      </c>
      <c r="AA27" s="616"/>
      <c r="AB27" s="616">
        <v>1.5</v>
      </c>
      <c r="AC27" s="616">
        <v>-0.78</v>
      </c>
      <c r="AD27" s="616">
        <v>-0.38</v>
      </c>
      <c r="AE27" s="615">
        <f t="shared" si="18"/>
        <v>262.83</v>
      </c>
      <c r="AF27" s="615">
        <f t="shared" si="19"/>
        <v>231.73</v>
      </c>
      <c r="AG27" s="616">
        <f t="shared" si="20"/>
        <v>86.04</v>
      </c>
      <c r="AH27" s="616">
        <f t="shared" si="21"/>
        <v>58.08</v>
      </c>
      <c r="AI27" s="616">
        <f t="shared" si="22"/>
        <v>6.38</v>
      </c>
      <c r="AJ27" s="616">
        <f t="shared" si="23"/>
        <v>8.13</v>
      </c>
      <c r="AK27" s="616">
        <f t="shared" si="24"/>
        <v>0.53</v>
      </c>
      <c r="AL27" s="616">
        <f t="shared" si="25"/>
        <v>72.57</v>
      </c>
      <c r="AM27" s="615">
        <f t="shared" si="26"/>
        <v>31.1</v>
      </c>
      <c r="AN27" s="616">
        <f t="shared" si="27"/>
        <v>8.71</v>
      </c>
      <c r="AO27" s="616">
        <f t="shared" si="28"/>
        <v>1.5</v>
      </c>
      <c r="AP27" s="616">
        <f t="shared" si="29"/>
        <v>10.77</v>
      </c>
      <c r="AQ27" s="637">
        <f t="shared" si="30"/>
        <v>10.12</v>
      </c>
      <c r="AR27" s="638">
        <f t="shared" si="55"/>
        <v>70.77196</v>
      </c>
      <c r="AS27" s="616">
        <f t="shared" si="31"/>
        <v>34.1712</v>
      </c>
      <c r="AT27" s="616">
        <f t="shared" si="32"/>
        <v>10.9256</v>
      </c>
      <c r="AU27" s="616">
        <f t="shared" si="33"/>
        <v>8.1942</v>
      </c>
      <c r="AV27" s="616">
        <f t="shared" si="34"/>
        <v>0.27314</v>
      </c>
      <c r="AW27" s="616">
        <f t="shared" si="35"/>
        <v>0.81942</v>
      </c>
      <c r="AX27" s="616">
        <f t="shared" si="36"/>
        <v>16.3884</v>
      </c>
      <c r="AY27" s="616"/>
      <c r="AZ27" s="615">
        <f t="shared" si="37"/>
        <v>3.5434</v>
      </c>
      <c r="BA27" s="616">
        <f t="shared" si="38"/>
        <v>1.52</v>
      </c>
      <c r="BB27" s="616">
        <f t="shared" si="39"/>
        <v>0.604</v>
      </c>
      <c r="BC27" s="616">
        <f t="shared" si="40"/>
        <v>0.453</v>
      </c>
      <c r="BD27" s="616">
        <f t="shared" si="41"/>
        <v>0.0151</v>
      </c>
      <c r="BE27" s="616">
        <f t="shared" si="42"/>
        <v>0.0453</v>
      </c>
      <c r="BF27" s="616">
        <f t="shared" si="43"/>
        <v>0.906</v>
      </c>
      <c r="BG27" s="616"/>
      <c r="BH27" s="615">
        <f t="shared" si="44"/>
        <v>74.31536</v>
      </c>
      <c r="BI27" s="616">
        <f t="shared" si="45"/>
        <v>35.6912</v>
      </c>
      <c r="BJ27" s="616">
        <f t="shared" si="46"/>
        <v>11.5296</v>
      </c>
      <c r="BK27" s="616">
        <f t="shared" si="47"/>
        <v>8.6472</v>
      </c>
      <c r="BL27" s="616">
        <f t="shared" si="48"/>
        <v>0.28824</v>
      </c>
      <c r="BM27" s="616">
        <f t="shared" si="49"/>
        <v>0.86472</v>
      </c>
      <c r="BN27" s="616">
        <f t="shared" si="50"/>
        <v>17.2944</v>
      </c>
      <c r="BO27" s="616"/>
      <c r="BP27" s="304"/>
    </row>
    <row r="28" s="130" customFormat="1" ht="24" spans="1:68">
      <c r="A28" s="497" t="s">
        <v>226</v>
      </c>
      <c r="B28" s="497" t="s">
        <v>206</v>
      </c>
      <c r="C28" s="497" t="s">
        <v>234</v>
      </c>
      <c r="D28" s="497" t="s">
        <v>220</v>
      </c>
      <c r="E28" s="615">
        <f t="shared" si="51"/>
        <v>0</v>
      </c>
      <c r="F28" s="615">
        <f t="shared" si="14"/>
        <v>0</v>
      </c>
      <c r="G28" s="616"/>
      <c r="H28" s="616"/>
      <c r="I28" s="616"/>
      <c r="J28" s="616"/>
      <c r="K28" s="616"/>
      <c r="L28" s="616"/>
      <c r="M28" s="615">
        <f t="shared" si="52"/>
        <v>0</v>
      </c>
      <c r="N28" s="616"/>
      <c r="O28" s="616"/>
      <c r="P28" s="616"/>
      <c r="Q28" s="616"/>
      <c r="R28" s="615">
        <f t="shared" si="53"/>
        <v>0</v>
      </c>
      <c r="S28" s="615">
        <f t="shared" si="16"/>
        <v>0</v>
      </c>
      <c r="T28" s="616"/>
      <c r="U28" s="616"/>
      <c r="V28" s="616"/>
      <c r="W28" s="616"/>
      <c r="X28" s="616"/>
      <c r="Y28" s="616"/>
      <c r="Z28" s="615">
        <f t="shared" si="54"/>
        <v>0</v>
      </c>
      <c r="AA28" s="616"/>
      <c r="AB28" s="616"/>
      <c r="AC28" s="616"/>
      <c r="AD28" s="616"/>
      <c r="AE28" s="615">
        <f t="shared" si="18"/>
        <v>0</v>
      </c>
      <c r="AF28" s="615">
        <f t="shared" si="19"/>
        <v>0</v>
      </c>
      <c r="AG28" s="616">
        <f t="shared" si="20"/>
        <v>0</v>
      </c>
      <c r="AH28" s="616">
        <f t="shared" si="21"/>
        <v>0</v>
      </c>
      <c r="AI28" s="616">
        <f t="shared" si="22"/>
        <v>0</v>
      </c>
      <c r="AJ28" s="616">
        <f t="shared" si="23"/>
        <v>0</v>
      </c>
      <c r="AK28" s="616">
        <f t="shared" si="24"/>
        <v>0</v>
      </c>
      <c r="AL28" s="616">
        <f t="shared" si="25"/>
        <v>0</v>
      </c>
      <c r="AM28" s="615">
        <f t="shared" si="26"/>
        <v>0</v>
      </c>
      <c r="AN28" s="616">
        <f t="shared" si="27"/>
        <v>0</v>
      </c>
      <c r="AO28" s="616">
        <f t="shared" si="28"/>
        <v>0</v>
      </c>
      <c r="AP28" s="616">
        <f t="shared" si="29"/>
        <v>0</v>
      </c>
      <c r="AQ28" s="637">
        <f t="shared" si="30"/>
        <v>0</v>
      </c>
      <c r="AR28" s="638">
        <f t="shared" si="55"/>
        <v>0</v>
      </c>
      <c r="AS28" s="616">
        <f t="shared" si="31"/>
        <v>0</v>
      </c>
      <c r="AT28" s="616">
        <f t="shared" si="32"/>
        <v>0</v>
      </c>
      <c r="AU28" s="616">
        <f t="shared" si="33"/>
        <v>0</v>
      </c>
      <c r="AV28" s="616">
        <f t="shared" si="34"/>
        <v>0</v>
      </c>
      <c r="AW28" s="616">
        <f t="shared" si="35"/>
        <v>0</v>
      </c>
      <c r="AX28" s="616">
        <f t="shared" si="36"/>
        <v>0</v>
      </c>
      <c r="AY28" s="616"/>
      <c r="AZ28" s="615">
        <f t="shared" si="37"/>
        <v>0</v>
      </c>
      <c r="BA28" s="616">
        <f t="shared" si="38"/>
        <v>0</v>
      </c>
      <c r="BB28" s="616">
        <f t="shared" si="39"/>
        <v>0</v>
      </c>
      <c r="BC28" s="616">
        <f t="shared" si="40"/>
        <v>0</v>
      </c>
      <c r="BD28" s="616">
        <f t="shared" si="41"/>
        <v>0</v>
      </c>
      <c r="BE28" s="616">
        <f t="shared" si="42"/>
        <v>0</v>
      </c>
      <c r="BF28" s="616">
        <f t="shared" si="43"/>
        <v>0</v>
      </c>
      <c r="BG28" s="616"/>
      <c r="BH28" s="615">
        <f t="shared" si="44"/>
        <v>0</v>
      </c>
      <c r="BI28" s="616">
        <f t="shared" si="45"/>
        <v>0</v>
      </c>
      <c r="BJ28" s="616">
        <f t="shared" si="46"/>
        <v>0</v>
      </c>
      <c r="BK28" s="616">
        <f t="shared" si="47"/>
        <v>0</v>
      </c>
      <c r="BL28" s="616">
        <f t="shared" si="48"/>
        <v>0</v>
      </c>
      <c r="BM28" s="616">
        <f t="shared" si="49"/>
        <v>0</v>
      </c>
      <c r="BN28" s="616">
        <f t="shared" si="50"/>
        <v>0</v>
      </c>
      <c r="BO28" s="616"/>
      <c r="BP28" s="304"/>
    </row>
    <row r="29" s="131" customFormat="1" ht="24" spans="1:68">
      <c r="A29" s="497" t="s">
        <v>226</v>
      </c>
      <c r="B29" s="497" t="s">
        <v>203</v>
      </c>
      <c r="C29" s="497" t="s">
        <v>235</v>
      </c>
      <c r="D29" s="497" t="s">
        <v>214</v>
      </c>
      <c r="E29" s="617">
        <f t="shared" si="51"/>
        <v>275.8</v>
      </c>
      <c r="F29" s="617">
        <f t="shared" si="14"/>
        <v>243.99</v>
      </c>
      <c r="G29" s="618">
        <v>93.4</v>
      </c>
      <c r="H29" s="618">
        <v>60.7</v>
      </c>
      <c r="I29" s="618">
        <v>7.78</v>
      </c>
      <c r="J29" s="618">
        <v>5.04</v>
      </c>
      <c r="K29" s="618">
        <v>0.53</v>
      </c>
      <c r="L29" s="618">
        <v>76.54</v>
      </c>
      <c r="M29" s="617">
        <f t="shared" si="52"/>
        <v>31.81</v>
      </c>
      <c r="N29" s="618">
        <v>8.71</v>
      </c>
      <c r="O29" s="618"/>
      <c r="P29" s="618">
        <v>12.1</v>
      </c>
      <c r="Q29" s="618">
        <v>11</v>
      </c>
      <c r="R29" s="617">
        <f t="shared" si="53"/>
        <v>-24.83</v>
      </c>
      <c r="S29" s="615">
        <f t="shared" si="16"/>
        <v>-27.17</v>
      </c>
      <c r="T29" s="618">
        <v>-12.27</v>
      </c>
      <c r="U29" s="618">
        <v>-6.03</v>
      </c>
      <c r="V29" s="618">
        <v>-1.15</v>
      </c>
      <c r="W29" s="618">
        <v>-0.49</v>
      </c>
      <c r="X29" s="618"/>
      <c r="Y29" s="618">
        <v>-7.23</v>
      </c>
      <c r="Z29" s="617">
        <f t="shared" si="54"/>
        <v>2.34</v>
      </c>
      <c r="AA29" s="618">
        <v>1.65</v>
      </c>
      <c r="AB29" s="618">
        <v>0.45</v>
      </c>
      <c r="AC29" s="618">
        <v>-0.45</v>
      </c>
      <c r="AD29" s="618">
        <v>0.69</v>
      </c>
      <c r="AE29" s="615">
        <f t="shared" si="18"/>
        <v>250.97</v>
      </c>
      <c r="AF29" s="615">
        <f t="shared" si="19"/>
        <v>216.82</v>
      </c>
      <c r="AG29" s="616">
        <f t="shared" si="20"/>
        <v>81.13</v>
      </c>
      <c r="AH29" s="616">
        <f t="shared" si="21"/>
        <v>54.67</v>
      </c>
      <c r="AI29" s="616">
        <f t="shared" si="22"/>
        <v>6.63</v>
      </c>
      <c r="AJ29" s="616">
        <f t="shared" si="23"/>
        <v>4.55</v>
      </c>
      <c r="AK29" s="616">
        <f t="shared" si="24"/>
        <v>0.53</v>
      </c>
      <c r="AL29" s="616">
        <f t="shared" si="25"/>
        <v>69.31</v>
      </c>
      <c r="AM29" s="615">
        <f t="shared" si="26"/>
        <v>34.15</v>
      </c>
      <c r="AN29" s="616">
        <f t="shared" si="27"/>
        <v>10.36</v>
      </c>
      <c r="AO29" s="616">
        <f t="shared" si="28"/>
        <v>0.45</v>
      </c>
      <c r="AP29" s="616">
        <f t="shared" si="29"/>
        <v>11.65</v>
      </c>
      <c r="AQ29" s="637">
        <f t="shared" si="30"/>
        <v>11.69</v>
      </c>
      <c r="AR29" s="639">
        <f t="shared" si="55"/>
        <v>79.446</v>
      </c>
      <c r="AS29" s="616">
        <f t="shared" si="31"/>
        <v>38.1472</v>
      </c>
      <c r="AT29" s="616">
        <f t="shared" si="32"/>
        <v>12.328</v>
      </c>
      <c r="AU29" s="616">
        <f t="shared" si="33"/>
        <v>9.246</v>
      </c>
      <c r="AV29" s="616">
        <f t="shared" si="34"/>
        <v>0.3082</v>
      </c>
      <c r="AW29" s="616">
        <f t="shared" si="35"/>
        <v>0.9246</v>
      </c>
      <c r="AX29" s="616">
        <f t="shared" si="36"/>
        <v>18.492</v>
      </c>
      <c r="AY29" s="618"/>
      <c r="AZ29" s="615">
        <f t="shared" si="37"/>
        <v>-9.1732</v>
      </c>
      <c r="BA29" s="616">
        <f t="shared" si="38"/>
        <v>-4.2688</v>
      </c>
      <c r="BB29" s="616">
        <f t="shared" si="39"/>
        <v>-1.464</v>
      </c>
      <c r="BC29" s="616">
        <f t="shared" si="40"/>
        <v>-1.098</v>
      </c>
      <c r="BD29" s="616">
        <f t="shared" si="41"/>
        <v>-0.0366</v>
      </c>
      <c r="BE29" s="616">
        <f t="shared" si="42"/>
        <v>-0.1098</v>
      </c>
      <c r="BF29" s="616">
        <f t="shared" si="43"/>
        <v>-2.196</v>
      </c>
      <c r="BG29" s="616"/>
      <c r="BH29" s="615">
        <f t="shared" si="44"/>
        <v>70.2728</v>
      </c>
      <c r="BI29" s="616">
        <f t="shared" si="45"/>
        <v>33.8784</v>
      </c>
      <c r="BJ29" s="616">
        <f t="shared" si="46"/>
        <v>10.864</v>
      </c>
      <c r="BK29" s="616">
        <f t="shared" si="47"/>
        <v>8.148</v>
      </c>
      <c r="BL29" s="616">
        <f t="shared" si="48"/>
        <v>0.2716</v>
      </c>
      <c r="BM29" s="616">
        <f t="shared" si="49"/>
        <v>0.8148</v>
      </c>
      <c r="BN29" s="616">
        <f t="shared" si="50"/>
        <v>16.296</v>
      </c>
      <c r="BO29" s="616"/>
      <c r="BP29" s="304"/>
    </row>
    <row r="30" s="131" customFormat="1" ht="24" spans="1:68">
      <c r="A30" s="497" t="s">
        <v>226</v>
      </c>
      <c r="B30" s="497" t="s">
        <v>206</v>
      </c>
      <c r="C30" s="497" t="s">
        <v>236</v>
      </c>
      <c r="D30" s="497" t="s">
        <v>220</v>
      </c>
      <c r="E30" s="617">
        <f t="shared" si="51"/>
        <v>0</v>
      </c>
      <c r="F30" s="617">
        <f t="shared" si="14"/>
        <v>0</v>
      </c>
      <c r="G30" s="618"/>
      <c r="H30" s="618"/>
      <c r="I30" s="618"/>
      <c r="J30" s="618"/>
      <c r="K30" s="618"/>
      <c r="L30" s="618"/>
      <c r="M30" s="617">
        <f t="shared" si="52"/>
        <v>0</v>
      </c>
      <c r="N30" s="618"/>
      <c r="O30" s="618"/>
      <c r="P30" s="618"/>
      <c r="Q30" s="618"/>
      <c r="R30" s="617">
        <f t="shared" si="53"/>
        <v>0</v>
      </c>
      <c r="S30" s="615">
        <f t="shared" si="16"/>
        <v>0</v>
      </c>
      <c r="T30" s="618"/>
      <c r="U30" s="618"/>
      <c r="V30" s="618"/>
      <c r="W30" s="618"/>
      <c r="X30" s="618"/>
      <c r="Y30" s="618"/>
      <c r="Z30" s="617">
        <f t="shared" si="54"/>
        <v>0</v>
      </c>
      <c r="AA30" s="618"/>
      <c r="AB30" s="618"/>
      <c r="AC30" s="618"/>
      <c r="AD30" s="618"/>
      <c r="AE30" s="615">
        <f t="shared" si="18"/>
        <v>0</v>
      </c>
      <c r="AF30" s="615">
        <f t="shared" si="19"/>
        <v>0</v>
      </c>
      <c r="AG30" s="616">
        <f t="shared" si="20"/>
        <v>0</v>
      </c>
      <c r="AH30" s="616">
        <f t="shared" si="21"/>
        <v>0</v>
      </c>
      <c r="AI30" s="616">
        <f t="shared" si="22"/>
        <v>0</v>
      </c>
      <c r="AJ30" s="616">
        <f t="shared" si="23"/>
        <v>0</v>
      </c>
      <c r="AK30" s="616">
        <f t="shared" si="24"/>
        <v>0</v>
      </c>
      <c r="AL30" s="616">
        <f t="shared" si="25"/>
        <v>0</v>
      </c>
      <c r="AM30" s="615">
        <f t="shared" si="26"/>
        <v>0</v>
      </c>
      <c r="AN30" s="616">
        <f t="shared" si="27"/>
        <v>0</v>
      </c>
      <c r="AO30" s="616">
        <f t="shared" si="28"/>
        <v>0</v>
      </c>
      <c r="AP30" s="616">
        <f t="shared" si="29"/>
        <v>0</v>
      </c>
      <c r="AQ30" s="637">
        <f t="shared" si="30"/>
        <v>0</v>
      </c>
      <c r="AR30" s="639">
        <f t="shared" si="55"/>
        <v>0</v>
      </c>
      <c r="AS30" s="616">
        <f t="shared" si="31"/>
        <v>0</v>
      </c>
      <c r="AT30" s="616">
        <f t="shared" si="32"/>
        <v>0</v>
      </c>
      <c r="AU30" s="616">
        <f t="shared" si="33"/>
        <v>0</v>
      </c>
      <c r="AV30" s="616">
        <f t="shared" si="34"/>
        <v>0</v>
      </c>
      <c r="AW30" s="616">
        <f t="shared" si="35"/>
        <v>0</v>
      </c>
      <c r="AX30" s="616">
        <f t="shared" si="36"/>
        <v>0</v>
      </c>
      <c r="AY30" s="618"/>
      <c r="AZ30" s="615">
        <f t="shared" si="37"/>
        <v>0</v>
      </c>
      <c r="BA30" s="616">
        <f t="shared" si="38"/>
        <v>0</v>
      </c>
      <c r="BB30" s="616">
        <f t="shared" si="39"/>
        <v>0</v>
      </c>
      <c r="BC30" s="616">
        <f t="shared" si="40"/>
        <v>0</v>
      </c>
      <c r="BD30" s="616">
        <f t="shared" si="41"/>
        <v>0</v>
      </c>
      <c r="BE30" s="616">
        <f t="shared" si="42"/>
        <v>0</v>
      </c>
      <c r="BF30" s="616">
        <f t="shared" si="43"/>
        <v>0</v>
      </c>
      <c r="BG30" s="616"/>
      <c r="BH30" s="615">
        <f t="shared" si="44"/>
        <v>0</v>
      </c>
      <c r="BI30" s="616">
        <f t="shared" si="45"/>
        <v>0</v>
      </c>
      <c r="BJ30" s="616">
        <f t="shared" si="46"/>
        <v>0</v>
      </c>
      <c r="BK30" s="616">
        <f t="shared" si="47"/>
        <v>0</v>
      </c>
      <c r="BL30" s="616">
        <f t="shared" si="48"/>
        <v>0</v>
      </c>
      <c r="BM30" s="616">
        <f t="shared" si="49"/>
        <v>0</v>
      </c>
      <c r="BN30" s="616">
        <f t="shared" si="50"/>
        <v>0</v>
      </c>
      <c r="BO30" s="616"/>
      <c r="BP30" s="304"/>
    </row>
    <row r="31" s="130" customFormat="1" ht="24" spans="1:68">
      <c r="A31" s="497" t="s">
        <v>226</v>
      </c>
      <c r="B31" s="497" t="s">
        <v>203</v>
      </c>
      <c r="C31" s="497" t="s">
        <v>237</v>
      </c>
      <c r="D31" s="497" t="s">
        <v>214</v>
      </c>
      <c r="E31" s="615">
        <f t="shared" si="51"/>
        <v>185.8594</v>
      </c>
      <c r="F31" s="615">
        <f t="shared" si="14"/>
        <v>156.6394</v>
      </c>
      <c r="G31" s="616">
        <v>57.4392</v>
      </c>
      <c r="H31" s="616">
        <v>38.4996</v>
      </c>
      <c r="I31" s="616">
        <v>4.7866</v>
      </c>
      <c r="J31" s="616">
        <v>6.72</v>
      </c>
      <c r="K31" s="616">
        <v>0.264</v>
      </c>
      <c r="L31" s="616">
        <v>48.93</v>
      </c>
      <c r="M31" s="615">
        <f t="shared" si="52"/>
        <v>29.22</v>
      </c>
      <c r="N31" s="616">
        <v>14.52</v>
      </c>
      <c r="O31" s="616"/>
      <c r="P31" s="616">
        <v>7.7</v>
      </c>
      <c r="Q31" s="616">
        <v>7</v>
      </c>
      <c r="R31" s="615">
        <f t="shared" si="53"/>
        <v>2.26</v>
      </c>
      <c r="S31" s="615">
        <f t="shared" si="16"/>
        <v>0.92</v>
      </c>
      <c r="T31" s="616">
        <v>0.38</v>
      </c>
      <c r="U31" s="616">
        <v>-0.11</v>
      </c>
      <c r="V31" s="616">
        <v>0.08</v>
      </c>
      <c r="W31" s="616">
        <v>0.04</v>
      </c>
      <c r="X31" s="616"/>
      <c r="Y31" s="616">
        <v>0.53</v>
      </c>
      <c r="Z31" s="615">
        <f t="shared" si="54"/>
        <v>1.34</v>
      </c>
      <c r="AA31" s="616"/>
      <c r="AB31" s="616">
        <v>1.05</v>
      </c>
      <c r="AC31" s="616">
        <v>0.29</v>
      </c>
      <c r="AD31" s="616">
        <v>0</v>
      </c>
      <c r="AE31" s="615">
        <f t="shared" si="18"/>
        <v>188.1194</v>
      </c>
      <c r="AF31" s="615">
        <f t="shared" si="19"/>
        <v>157.5594</v>
      </c>
      <c r="AG31" s="616">
        <f t="shared" si="20"/>
        <v>57.8192</v>
      </c>
      <c r="AH31" s="616">
        <f t="shared" si="21"/>
        <v>38.3896</v>
      </c>
      <c r="AI31" s="616">
        <f t="shared" si="22"/>
        <v>4.8666</v>
      </c>
      <c r="AJ31" s="616">
        <f t="shared" si="23"/>
        <v>6.76</v>
      </c>
      <c r="AK31" s="616">
        <f t="shared" si="24"/>
        <v>0.264</v>
      </c>
      <c r="AL31" s="616">
        <f t="shared" si="25"/>
        <v>49.46</v>
      </c>
      <c r="AM31" s="615">
        <f t="shared" si="26"/>
        <v>30.56</v>
      </c>
      <c r="AN31" s="616">
        <f t="shared" si="27"/>
        <v>14.52</v>
      </c>
      <c r="AO31" s="616">
        <f t="shared" si="28"/>
        <v>1.05</v>
      </c>
      <c r="AP31" s="616">
        <f t="shared" si="29"/>
        <v>7.99</v>
      </c>
      <c r="AQ31" s="637">
        <f t="shared" si="30"/>
        <v>7</v>
      </c>
      <c r="AR31" s="638">
        <f t="shared" si="55"/>
        <v>49.6564624</v>
      </c>
      <c r="AS31" s="616">
        <f t="shared" si="31"/>
        <v>23.944864</v>
      </c>
      <c r="AT31" s="616">
        <f t="shared" si="32"/>
        <v>7.675104</v>
      </c>
      <c r="AU31" s="616">
        <f t="shared" si="33"/>
        <v>5.756328</v>
      </c>
      <c r="AV31" s="616">
        <f t="shared" si="34"/>
        <v>0.1918776</v>
      </c>
      <c r="AW31" s="616">
        <f t="shared" si="35"/>
        <v>0.5756328</v>
      </c>
      <c r="AX31" s="616">
        <f t="shared" si="36"/>
        <v>11.512656</v>
      </c>
      <c r="AY31" s="616"/>
      <c r="AZ31" s="615">
        <f t="shared" si="37"/>
        <v>0.21316</v>
      </c>
      <c r="BA31" s="616">
        <f t="shared" si="38"/>
        <v>0.1408</v>
      </c>
      <c r="BB31" s="616">
        <f t="shared" si="39"/>
        <v>0.0216</v>
      </c>
      <c r="BC31" s="616">
        <f t="shared" si="40"/>
        <v>0.0162</v>
      </c>
      <c r="BD31" s="616">
        <f t="shared" si="41"/>
        <v>0.00054</v>
      </c>
      <c r="BE31" s="616">
        <f t="shared" si="42"/>
        <v>0.00162</v>
      </c>
      <c r="BF31" s="616">
        <f t="shared" si="43"/>
        <v>0.0324</v>
      </c>
      <c r="BG31" s="616"/>
      <c r="BH31" s="615">
        <f t="shared" si="44"/>
        <v>49.8696224</v>
      </c>
      <c r="BI31" s="616">
        <f t="shared" si="45"/>
        <v>24.085664</v>
      </c>
      <c r="BJ31" s="616">
        <f t="shared" si="46"/>
        <v>7.696704</v>
      </c>
      <c r="BK31" s="616">
        <f t="shared" si="47"/>
        <v>5.772528</v>
      </c>
      <c r="BL31" s="616">
        <f t="shared" si="48"/>
        <v>0.1924176</v>
      </c>
      <c r="BM31" s="616">
        <f t="shared" si="49"/>
        <v>0.5772528</v>
      </c>
      <c r="BN31" s="616">
        <f t="shared" si="50"/>
        <v>11.545056</v>
      </c>
      <c r="BO31" s="616"/>
      <c r="BP31" s="304"/>
    </row>
    <row r="32" s="130" customFormat="1" ht="24" spans="1:68">
      <c r="A32" s="497" t="s">
        <v>226</v>
      </c>
      <c r="B32" s="497" t="s">
        <v>206</v>
      </c>
      <c r="C32" s="497" t="s">
        <v>238</v>
      </c>
      <c r="D32" s="497" t="s">
        <v>220</v>
      </c>
      <c r="E32" s="615">
        <f t="shared" si="51"/>
        <v>0</v>
      </c>
      <c r="F32" s="615">
        <f t="shared" si="14"/>
        <v>0</v>
      </c>
      <c r="G32" s="616"/>
      <c r="H32" s="616"/>
      <c r="I32" s="616"/>
      <c r="J32" s="616"/>
      <c r="K32" s="616"/>
      <c r="L32" s="616"/>
      <c r="M32" s="615">
        <f t="shared" si="52"/>
        <v>0</v>
      </c>
      <c r="N32" s="616"/>
      <c r="O32" s="616"/>
      <c r="P32" s="616"/>
      <c r="Q32" s="616"/>
      <c r="R32" s="615">
        <f t="shared" si="53"/>
        <v>0</v>
      </c>
      <c r="S32" s="615">
        <f t="shared" si="16"/>
        <v>0</v>
      </c>
      <c r="T32" s="616"/>
      <c r="U32" s="616"/>
      <c r="V32" s="616"/>
      <c r="W32" s="616"/>
      <c r="X32" s="616"/>
      <c r="Y32" s="616"/>
      <c r="Z32" s="615">
        <f t="shared" si="54"/>
        <v>0</v>
      </c>
      <c r="AA32" s="616"/>
      <c r="AB32" s="616"/>
      <c r="AC32" s="616"/>
      <c r="AD32" s="616"/>
      <c r="AE32" s="615">
        <f t="shared" si="18"/>
        <v>0</v>
      </c>
      <c r="AF32" s="615">
        <f t="shared" si="19"/>
        <v>0</v>
      </c>
      <c r="AG32" s="616">
        <f t="shared" si="20"/>
        <v>0</v>
      </c>
      <c r="AH32" s="616">
        <f t="shared" si="21"/>
        <v>0</v>
      </c>
      <c r="AI32" s="616">
        <f t="shared" si="22"/>
        <v>0</v>
      </c>
      <c r="AJ32" s="616">
        <f t="shared" si="23"/>
        <v>0</v>
      </c>
      <c r="AK32" s="616">
        <f t="shared" si="24"/>
        <v>0</v>
      </c>
      <c r="AL32" s="616">
        <f t="shared" si="25"/>
        <v>0</v>
      </c>
      <c r="AM32" s="615">
        <f t="shared" si="26"/>
        <v>0</v>
      </c>
      <c r="AN32" s="616">
        <f t="shared" si="27"/>
        <v>0</v>
      </c>
      <c r="AO32" s="616">
        <f t="shared" si="28"/>
        <v>0</v>
      </c>
      <c r="AP32" s="616">
        <f t="shared" si="29"/>
        <v>0</v>
      </c>
      <c r="AQ32" s="637">
        <f t="shared" si="30"/>
        <v>0</v>
      </c>
      <c r="AR32" s="638">
        <f t="shared" si="55"/>
        <v>0</v>
      </c>
      <c r="AS32" s="616">
        <f t="shared" si="31"/>
        <v>0</v>
      </c>
      <c r="AT32" s="616">
        <f t="shared" si="32"/>
        <v>0</v>
      </c>
      <c r="AU32" s="616">
        <f t="shared" si="33"/>
        <v>0</v>
      </c>
      <c r="AV32" s="616">
        <f t="shared" si="34"/>
        <v>0</v>
      </c>
      <c r="AW32" s="616">
        <f t="shared" si="35"/>
        <v>0</v>
      </c>
      <c r="AX32" s="616">
        <f t="shared" si="36"/>
        <v>0</v>
      </c>
      <c r="AY32" s="616"/>
      <c r="AZ32" s="615">
        <f t="shared" si="37"/>
        <v>0</v>
      </c>
      <c r="BA32" s="616">
        <f t="shared" si="38"/>
        <v>0</v>
      </c>
      <c r="BB32" s="616">
        <f t="shared" si="39"/>
        <v>0</v>
      </c>
      <c r="BC32" s="616">
        <f t="shared" si="40"/>
        <v>0</v>
      </c>
      <c r="BD32" s="616">
        <f t="shared" si="41"/>
        <v>0</v>
      </c>
      <c r="BE32" s="616">
        <f t="shared" si="42"/>
        <v>0</v>
      </c>
      <c r="BF32" s="616">
        <f t="shared" si="43"/>
        <v>0</v>
      </c>
      <c r="BG32" s="616"/>
      <c r="BH32" s="615">
        <f t="shared" si="44"/>
        <v>0</v>
      </c>
      <c r="BI32" s="616">
        <f t="shared" si="45"/>
        <v>0</v>
      </c>
      <c r="BJ32" s="616">
        <f t="shared" si="46"/>
        <v>0</v>
      </c>
      <c r="BK32" s="616">
        <f t="shared" si="47"/>
        <v>0</v>
      </c>
      <c r="BL32" s="616">
        <f t="shared" si="48"/>
        <v>0</v>
      </c>
      <c r="BM32" s="616">
        <f t="shared" si="49"/>
        <v>0</v>
      </c>
      <c r="BN32" s="616">
        <f t="shared" si="50"/>
        <v>0</v>
      </c>
      <c r="BO32" s="616"/>
      <c r="BP32" s="304"/>
    </row>
    <row r="33" s="130" customFormat="1" ht="24" spans="1:68">
      <c r="A33" s="497" t="s">
        <v>226</v>
      </c>
      <c r="B33" s="497" t="s">
        <v>203</v>
      </c>
      <c r="C33" s="497" t="s">
        <v>239</v>
      </c>
      <c r="D33" s="497" t="s">
        <v>214</v>
      </c>
      <c r="E33" s="615">
        <f t="shared" si="51"/>
        <v>184.31</v>
      </c>
      <c r="F33" s="615">
        <f t="shared" si="14"/>
        <v>152.58</v>
      </c>
      <c r="G33" s="616">
        <v>55.21</v>
      </c>
      <c r="H33" s="616">
        <v>37.48</v>
      </c>
      <c r="I33" s="616">
        <v>4.6</v>
      </c>
      <c r="J33" s="616">
        <v>6.72</v>
      </c>
      <c r="K33" s="616">
        <v>0.53</v>
      </c>
      <c r="L33" s="616">
        <v>48.04</v>
      </c>
      <c r="M33" s="615">
        <f t="shared" si="52"/>
        <v>31.73</v>
      </c>
      <c r="N33" s="616">
        <f>5.42+11.61</f>
        <v>17.03</v>
      </c>
      <c r="O33" s="616"/>
      <c r="P33" s="616">
        <v>7.7</v>
      </c>
      <c r="Q33" s="616">
        <v>7</v>
      </c>
      <c r="R33" s="615">
        <f t="shared" si="53"/>
        <v>13.88</v>
      </c>
      <c r="S33" s="615">
        <f t="shared" si="16"/>
        <v>1.73</v>
      </c>
      <c r="T33" s="616">
        <v>0.03</v>
      </c>
      <c r="U33" s="616">
        <v>0.77</v>
      </c>
      <c r="V33" s="616">
        <v>-0.08</v>
      </c>
      <c r="W33" s="616">
        <v>0.12</v>
      </c>
      <c r="X33" s="616"/>
      <c r="Y33" s="616">
        <v>0.89</v>
      </c>
      <c r="Z33" s="615">
        <f t="shared" si="54"/>
        <v>12.15</v>
      </c>
      <c r="AA33" s="618">
        <v>9.66</v>
      </c>
      <c r="AB33" s="616">
        <v>1.25</v>
      </c>
      <c r="AC33" s="616">
        <v>0.61</v>
      </c>
      <c r="AD33" s="616">
        <v>0.63</v>
      </c>
      <c r="AE33" s="615">
        <f t="shared" si="18"/>
        <v>198.19</v>
      </c>
      <c r="AF33" s="615">
        <f t="shared" si="19"/>
        <v>154.31</v>
      </c>
      <c r="AG33" s="616">
        <f t="shared" si="20"/>
        <v>55.24</v>
      </c>
      <c r="AH33" s="616">
        <f t="shared" si="21"/>
        <v>38.25</v>
      </c>
      <c r="AI33" s="616">
        <f t="shared" si="22"/>
        <v>4.52</v>
      </c>
      <c r="AJ33" s="616">
        <f t="shared" si="23"/>
        <v>6.84</v>
      </c>
      <c r="AK33" s="616">
        <f t="shared" si="24"/>
        <v>0.53</v>
      </c>
      <c r="AL33" s="616">
        <f t="shared" si="25"/>
        <v>48.93</v>
      </c>
      <c r="AM33" s="615">
        <f t="shared" si="26"/>
        <v>43.88</v>
      </c>
      <c r="AN33" s="616">
        <f t="shared" si="27"/>
        <v>26.69</v>
      </c>
      <c r="AO33" s="616">
        <f t="shared" si="28"/>
        <v>1.25</v>
      </c>
      <c r="AP33" s="616">
        <f t="shared" si="29"/>
        <v>8.31</v>
      </c>
      <c r="AQ33" s="637">
        <f t="shared" si="30"/>
        <v>7.63</v>
      </c>
      <c r="AR33" s="638">
        <f t="shared" si="55"/>
        <v>48.09372</v>
      </c>
      <c r="AS33" s="616">
        <f t="shared" si="31"/>
        <v>23.2528</v>
      </c>
      <c r="AT33" s="616">
        <f t="shared" si="32"/>
        <v>7.4152</v>
      </c>
      <c r="AU33" s="616">
        <f t="shared" si="33"/>
        <v>5.5614</v>
      </c>
      <c r="AV33" s="616">
        <f t="shared" si="34"/>
        <v>0.18538</v>
      </c>
      <c r="AW33" s="616">
        <f t="shared" si="35"/>
        <v>0.55614</v>
      </c>
      <c r="AX33" s="616">
        <f t="shared" si="36"/>
        <v>11.1228</v>
      </c>
      <c r="AY33" s="616"/>
      <c r="AZ33" s="615">
        <f t="shared" si="37"/>
        <v>0.472</v>
      </c>
      <c r="BA33" s="616">
        <f t="shared" si="38"/>
        <v>0.2576</v>
      </c>
      <c r="BB33" s="616">
        <f t="shared" si="39"/>
        <v>0.064</v>
      </c>
      <c r="BC33" s="616">
        <f t="shared" si="40"/>
        <v>0.048</v>
      </c>
      <c r="BD33" s="616">
        <f t="shared" si="41"/>
        <v>0.0016</v>
      </c>
      <c r="BE33" s="616">
        <f t="shared" si="42"/>
        <v>0.0048</v>
      </c>
      <c r="BF33" s="616">
        <f t="shared" si="43"/>
        <v>0.096</v>
      </c>
      <c r="BG33" s="616"/>
      <c r="BH33" s="615">
        <f t="shared" si="44"/>
        <v>48.56572</v>
      </c>
      <c r="BI33" s="616">
        <f t="shared" si="45"/>
        <v>23.5104</v>
      </c>
      <c r="BJ33" s="616">
        <f t="shared" si="46"/>
        <v>7.4792</v>
      </c>
      <c r="BK33" s="616">
        <f t="shared" si="47"/>
        <v>5.6094</v>
      </c>
      <c r="BL33" s="616">
        <f t="shared" si="48"/>
        <v>0.18698</v>
      </c>
      <c r="BM33" s="616">
        <f t="shared" si="49"/>
        <v>0.56094</v>
      </c>
      <c r="BN33" s="616">
        <f t="shared" si="50"/>
        <v>11.2188</v>
      </c>
      <c r="BO33" s="616"/>
      <c r="BP33" s="304"/>
    </row>
    <row r="34" s="130" customFormat="1" ht="24" spans="1:68">
      <c r="A34" s="497" t="s">
        <v>226</v>
      </c>
      <c r="B34" s="497" t="s">
        <v>206</v>
      </c>
      <c r="C34" s="497" t="s">
        <v>240</v>
      </c>
      <c r="D34" s="497" t="s">
        <v>220</v>
      </c>
      <c r="E34" s="615">
        <f t="shared" si="51"/>
        <v>0</v>
      </c>
      <c r="F34" s="615">
        <f t="shared" si="14"/>
        <v>0</v>
      </c>
      <c r="G34" s="616"/>
      <c r="H34" s="616"/>
      <c r="I34" s="616"/>
      <c r="J34" s="616"/>
      <c r="K34" s="616"/>
      <c r="L34" s="616"/>
      <c r="M34" s="615">
        <f t="shared" si="52"/>
        <v>0</v>
      </c>
      <c r="N34" s="616"/>
      <c r="O34" s="616"/>
      <c r="P34" s="616"/>
      <c r="Q34" s="616"/>
      <c r="R34" s="615">
        <f t="shared" si="53"/>
        <v>0</v>
      </c>
      <c r="S34" s="615">
        <f t="shared" si="16"/>
        <v>0</v>
      </c>
      <c r="T34" s="616"/>
      <c r="U34" s="616"/>
      <c r="V34" s="616"/>
      <c r="W34" s="616"/>
      <c r="X34" s="616"/>
      <c r="Y34" s="616"/>
      <c r="Z34" s="615">
        <f t="shared" si="54"/>
        <v>0</v>
      </c>
      <c r="AA34" s="616"/>
      <c r="AB34" s="616"/>
      <c r="AC34" s="616"/>
      <c r="AD34" s="616"/>
      <c r="AE34" s="615">
        <f t="shared" si="18"/>
        <v>0</v>
      </c>
      <c r="AF34" s="615">
        <f t="shared" si="19"/>
        <v>0</v>
      </c>
      <c r="AG34" s="616">
        <f t="shared" si="20"/>
        <v>0</v>
      </c>
      <c r="AH34" s="616">
        <f t="shared" si="21"/>
        <v>0</v>
      </c>
      <c r="AI34" s="616">
        <f t="shared" si="22"/>
        <v>0</v>
      </c>
      <c r="AJ34" s="616">
        <f t="shared" si="23"/>
        <v>0</v>
      </c>
      <c r="AK34" s="616">
        <f t="shared" si="24"/>
        <v>0</v>
      </c>
      <c r="AL34" s="616">
        <f t="shared" si="25"/>
        <v>0</v>
      </c>
      <c r="AM34" s="615">
        <f t="shared" si="26"/>
        <v>0</v>
      </c>
      <c r="AN34" s="616">
        <f t="shared" si="27"/>
        <v>0</v>
      </c>
      <c r="AO34" s="616">
        <f t="shared" si="28"/>
        <v>0</v>
      </c>
      <c r="AP34" s="616">
        <f t="shared" si="29"/>
        <v>0</v>
      </c>
      <c r="AQ34" s="637">
        <f t="shared" si="30"/>
        <v>0</v>
      </c>
      <c r="AR34" s="638">
        <f t="shared" si="55"/>
        <v>0</v>
      </c>
      <c r="AS34" s="616">
        <f t="shared" si="31"/>
        <v>0</v>
      </c>
      <c r="AT34" s="616">
        <f t="shared" si="32"/>
        <v>0</v>
      </c>
      <c r="AU34" s="616">
        <f t="shared" si="33"/>
        <v>0</v>
      </c>
      <c r="AV34" s="616">
        <f t="shared" si="34"/>
        <v>0</v>
      </c>
      <c r="AW34" s="616">
        <f t="shared" si="35"/>
        <v>0</v>
      </c>
      <c r="AX34" s="616">
        <f t="shared" si="36"/>
        <v>0</v>
      </c>
      <c r="AY34" s="616"/>
      <c r="AZ34" s="615">
        <f t="shared" si="37"/>
        <v>0</v>
      </c>
      <c r="BA34" s="616">
        <f t="shared" si="38"/>
        <v>0</v>
      </c>
      <c r="BB34" s="616">
        <f t="shared" si="39"/>
        <v>0</v>
      </c>
      <c r="BC34" s="616">
        <f t="shared" si="40"/>
        <v>0</v>
      </c>
      <c r="BD34" s="616">
        <f t="shared" si="41"/>
        <v>0</v>
      </c>
      <c r="BE34" s="616">
        <f t="shared" si="42"/>
        <v>0</v>
      </c>
      <c r="BF34" s="616">
        <f t="shared" si="43"/>
        <v>0</v>
      </c>
      <c r="BG34" s="616"/>
      <c r="BH34" s="615">
        <f t="shared" si="44"/>
        <v>0</v>
      </c>
      <c r="BI34" s="616">
        <f t="shared" si="45"/>
        <v>0</v>
      </c>
      <c r="BJ34" s="616">
        <f t="shared" si="46"/>
        <v>0</v>
      </c>
      <c r="BK34" s="616">
        <f t="shared" si="47"/>
        <v>0</v>
      </c>
      <c r="BL34" s="616">
        <f t="shared" si="48"/>
        <v>0</v>
      </c>
      <c r="BM34" s="616">
        <f t="shared" si="49"/>
        <v>0</v>
      </c>
      <c r="BN34" s="616">
        <f t="shared" si="50"/>
        <v>0</v>
      </c>
      <c r="BO34" s="616"/>
      <c r="BP34" s="304"/>
    </row>
    <row r="35" s="130" customFormat="1" ht="24" spans="1:68">
      <c r="A35" s="497" t="s">
        <v>226</v>
      </c>
      <c r="B35" s="497" t="s">
        <v>203</v>
      </c>
      <c r="C35" s="497" t="s">
        <v>241</v>
      </c>
      <c r="D35" s="497" t="s">
        <v>214</v>
      </c>
      <c r="E35" s="615">
        <f t="shared" si="51"/>
        <v>192.1113</v>
      </c>
      <c r="F35" s="615">
        <f t="shared" si="14"/>
        <v>161.8413</v>
      </c>
      <c r="G35" s="616">
        <v>58.5804</v>
      </c>
      <c r="H35" s="616">
        <v>39.8448</v>
      </c>
      <c r="I35" s="616">
        <v>5.0721</v>
      </c>
      <c r="J35" s="616">
        <v>7.2</v>
      </c>
      <c r="K35" s="616">
        <v>0.264</v>
      </c>
      <c r="L35" s="616">
        <v>50.88</v>
      </c>
      <c r="M35" s="615">
        <f t="shared" si="52"/>
        <v>30.27</v>
      </c>
      <c r="N35" s="616">
        <v>14.52</v>
      </c>
      <c r="O35" s="616"/>
      <c r="P35" s="616">
        <v>8.25</v>
      </c>
      <c r="Q35" s="616">
        <v>7.5</v>
      </c>
      <c r="R35" s="615">
        <f t="shared" si="53"/>
        <v>2.24</v>
      </c>
      <c r="S35" s="615">
        <f t="shared" si="16"/>
        <v>0.25</v>
      </c>
      <c r="T35" s="616">
        <v>-1.23</v>
      </c>
      <c r="U35" s="616">
        <v>-0.75</v>
      </c>
      <c r="V35" s="616">
        <v>0.24</v>
      </c>
      <c r="W35" s="616">
        <v>0.04</v>
      </c>
      <c r="X35" s="616">
        <v>0.26</v>
      </c>
      <c r="Y35" s="616">
        <v>1.69</v>
      </c>
      <c r="Z35" s="615">
        <f t="shared" si="54"/>
        <v>1.99</v>
      </c>
      <c r="AA35" s="616"/>
      <c r="AB35" s="616">
        <v>1.2</v>
      </c>
      <c r="AC35" s="616">
        <v>0.29</v>
      </c>
      <c r="AD35" s="616">
        <v>0.5</v>
      </c>
      <c r="AE35" s="615">
        <f t="shared" si="18"/>
        <v>194.3513</v>
      </c>
      <c r="AF35" s="615">
        <f t="shared" si="19"/>
        <v>162.0913</v>
      </c>
      <c r="AG35" s="616">
        <f t="shared" si="20"/>
        <v>57.3504</v>
      </c>
      <c r="AH35" s="616">
        <f t="shared" si="21"/>
        <v>39.0948</v>
      </c>
      <c r="AI35" s="616">
        <f t="shared" si="22"/>
        <v>5.3121</v>
      </c>
      <c r="AJ35" s="616">
        <f t="shared" si="23"/>
        <v>7.24</v>
      </c>
      <c r="AK35" s="616">
        <f t="shared" si="24"/>
        <v>0.524</v>
      </c>
      <c r="AL35" s="616">
        <f t="shared" si="25"/>
        <v>52.57</v>
      </c>
      <c r="AM35" s="615">
        <f t="shared" si="26"/>
        <v>32.26</v>
      </c>
      <c r="AN35" s="616">
        <f t="shared" si="27"/>
        <v>14.52</v>
      </c>
      <c r="AO35" s="616">
        <f t="shared" si="28"/>
        <v>1.2</v>
      </c>
      <c r="AP35" s="616">
        <f t="shared" si="29"/>
        <v>8.54</v>
      </c>
      <c r="AQ35" s="637">
        <f t="shared" si="30"/>
        <v>8</v>
      </c>
      <c r="AR35" s="638">
        <f t="shared" si="55"/>
        <v>51.0783216</v>
      </c>
      <c r="AS35" s="616">
        <f t="shared" si="31"/>
        <v>24.700368</v>
      </c>
      <c r="AT35" s="616">
        <f t="shared" si="32"/>
        <v>7.874016</v>
      </c>
      <c r="AU35" s="616">
        <f t="shared" si="33"/>
        <v>5.905512</v>
      </c>
      <c r="AV35" s="616">
        <f t="shared" si="34"/>
        <v>0.1968504</v>
      </c>
      <c r="AW35" s="616">
        <f t="shared" si="35"/>
        <v>0.5905512</v>
      </c>
      <c r="AX35" s="616">
        <f t="shared" si="36"/>
        <v>11.811024</v>
      </c>
      <c r="AY35" s="616"/>
      <c r="AZ35" s="615">
        <f t="shared" si="37"/>
        <v>-0.53864</v>
      </c>
      <c r="BA35" s="616">
        <f t="shared" si="38"/>
        <v>-0.00800000000000001</v>
      </c>
      <c r="BB35" s="616">
        <f t="shared" si="39"/>
        <v>-0.1584</v>
      </c>
      <c r="BC35" s="616">
        <f t="shared" si="40"/>
        <v>-0.1188</v>
      </c>
      <c r="BD35" s="616">
        <f t="shared" si="41"/>
        <v>-0.00396</v>
      </c>
      <c r="BE35" s="616">
        <f t="shared" si="42"/>
        <v>-0.01188</v>
      </c>
      <c r="BF35" s="616">
        <f t="shared" si="43"/>
        <v>-0.2376</v>
      </c>
      <c r="BG35" s="616"/>
      <c r="BH35" s="615">
        <f t="shared" si="44"/>
        <v>50.5396816</v>
      </c>
      <c r="BI35" s="616">
        <f t="shared" si="45"/>
        <v>24.692368</v>
      </c>
      <c r="BJ35" s="616">
        <f t="shared" si="46"/>
        <v>7.715616</v>
      </c>
      <c r="BK35" s="616">
        <f t="shared" si="47"/>
        <v>5.786712</v>
      </c>
      <c r="BL35" s="616">
        <f t="shared" si="48"/>
        <v>0.1928904</v>
      </c>
      <c r="BM35" s="616">
        <f t="shared" si="49"/>
        <v>0.5786712</v>
      </c>
      <c r="BN35" s="616">
        <f t="shared" si="50"/>
        <v>11.573424</v>
      </c>
      <c r="BO35" s="616"/>
      <c r="BP35" s="304"/>
    </row>
    <row r="36" s="130" customFormat="1" ht="24" spans="1:68">
      <c r="A36" s="497" t="s">
        <v>226</v>
      </c>
      <c r="B36" s="497" t="s">
        <v>206</v>
      </c>
      <c r="C36" s="497" t="s">
        <v>242</v>
      </c>
      <c r="D36" s="497" t="s">
        <v>220</v>
      </c>
      <c r="E36" s="615">
        <f t="shared" si="51"/>
        <v>0</v>
      </c>
      <c r="F36" s="615">
        <f t="shared" si="14"/>
        <v>0</v>
      </c>
      <c r="G36" s="616"/>
      <c r="H36" s="616"/>
      <c r="I36" s="616"/>
      <c r="J36" s="616"/>
      <c r="K36" s="616"/>
      <c r="L36" s="616"/>
      <c r="M36" s="615">
        <f t="shared" si="52"/>
        <v>0</v>
      </c>
      <c r="N36" s="616"/>
      <c r="O36" s="616"/>
      <c r="P36" s="616"/>
      <c r="Q36" s="616"/>
      <c r="R36" s="615">
        <f t="shared" si="53"/>
        <v>0</v>
      </c>
      <c r="S36" s="615">
        <f t="shared" si="16"/>
        <v>0</v>
      </c>
      <c r="T36" s="616"/>
      <c r="U36" s="616"/>
      <c r="V36" s="616"/>
      <c r="W36" s="616"/>
      <c r="X36" s="616"/>
      <c r="Y36" s="616"/>
      <c r="Z36" s="615">
        <f t="shared" si="54"/>
        <v>0</v>
      </c>
      <c r="AA36" s="616"/>
      <c r="AB36" s="616"/>
      <c r="AC36" s="616"/>
      <c r="AD36" s="616"/>
      <c r="AE36" s="615">
        <f t="shared" si="18"/>
        <v>0</v>
      </c>
      <c r="AF36" s="615">
        <f t="shared" si="19"/>
        <v>0</v>
      </c>
      <c r="AG36" s="616">
        <f t="shared" si="20"/>
        <v>0</v>
      </c>
      <c r="AH36" s="616">
        <f t="shared" si="21"/>
        <v>0</v>
      </c>
      <c r="AI36" s="616">
        <f t="shared" si="22"/>
        <v>0</v>
      </c>
      <c r="AJ36" s="616">
        <f t="shared" si="23"/>
        <v>0</v>
      </c>
      <c r="AK36" s="616">
        <f t="shared" si="24"/>
        <v>0</v>
      </c>
      <c r="AL36" s="616">
        <f t="shared" si="25"/>
        <v>0</v>
      </c>
      <c r="AM36" s="615">
        <f t="shared" si="26"/>
        <v>0</v>
      </c>
      <c r="AN36" s="616">
        <f t="shared" si="27"/>
        <v>0</v>
      </c>
      <c r="AO36" s="616">
        <f t="shared" si="28"/>
        <v>0</v>
      </c>
      <c r="AP36" s="616">
        <f t="shared" si="29"/>
        <v>0</v>
      </c>
      <c r="AQ36" s="637">
        <f t="shared" si="30"/>
        <v>0</v>
      </c>
      <c r="AR36" s="638">
        <f t="shared" si="55"/>
        <v>0</v>
      </c>
      <c r="AS36" s="616">
        <f t="shared" si="31"/>
        <v>0</v>
      </c>
      <c r="AT36" s="616">
        <f t="shared" si="32"/>
        <v>0</v>
      </c>
      <c r="AU36" s="616">
        <f t="shared" si="33"/>
        <v>0</v>
      </c>
      <c r="AV36" s="616">
        <f t="shared" si="34"/>
        <v>0</v>
      </c>
      <c r="AW36" s="616">
        <f t="shared" si="35"/>
        <v>0</v>
      </c>
      <c r="AX36" s="616">
        <f t="shared" si="36"/>
        <v>0</v>
      </c>
      <c r="AY36" s="616"/>
      <c r="AZ36" s="615">
        <f t="shared" si="37"/>
        <v>0</v>
      </c>
      <c r="BA36" s="616">
        <f t="shared" si="38"/>
        <v>0</v>
      </c>
      <c r="BB36" s="616">
        <f t="shared" si="39"/>
        <v>0</v>
      </c>
      <c r="BC36" s="616">
        <f t="shared" si="40"/>
        <v>0</v>
      </c>
      <c r="BD36" s="616">
        <f t="shared" si="41"/>
        <v>0</v>
      </c>
      <c r="BE36" s="616">
        <f t="shared" si="42"/>
        <v>0</v>
      </c>
      <c r="BF36" s="616">
        <f t="shared" si="43"/>
        <v>0</v>
      </c>
      <c r="BG36" s="616"/>
      <c r="BH36" s="615">
        <f t="shared" si="44"/>
        <v>0</v>
      </c>
      <c r="BI36" s="616">
        <f t="shared" si="45"/>
        <v>0</v>
      </c>
      <c r="BJ36" s="616">
        <f t="shared" si="46"/>
        <v>0</v>
      </c>
      <c r="BK36" s="616">
        <f t="shared" si="47"/>
        <v>0</v>
      </c>
      <c r="BL36" s="616">
        <f t="shared" si="48"/>
        <v>0</v>
      </c>
      <c r="BM36" s="616">
        <f t="shared" si="49"/>
        <v>0</v>
      </c>
      <c r="BN36" s="616">
        <f t="shared" si="50"/>
        <v>0</v>
      </c>
      <c r="BO36" s="616"/>
      <c r="BP36" s="304"/>
    </row>
    <row r="37" s="130" customFormat="1" ht="24" spans="1:68">
      <c r="A37" s="497" t="s">
        <v>226</v>
      </c>
      <c r="B37" s="497" t="s">
        <v>203</v>
      </c>
      <c r="C37" s="497" t="s">
        <v>243</v>
      </c>
      <c r="D37" s="497" t="s">
        <v>214</v>
      </c>
      <c r="E37" s="615">
        <f t="shared" si="51"/>
        <v>419.2</v>
      </c>
      <c r="F37" s="615">
        <f t="shared" si="14"/>
        <v>357.77</v>
      </c>
      <c r="G37" s="616">
        <v>135.47</v>
      </c>
      <c r="H37" s="616">
        <v>87.22</v>
      </c>
      <c r="I37" s="616">
        <v>11.29</v>
      </c>
      <c r="J37" s="616">
        <v>7.2</v>
      </c>
      <c r="K37" s="616">
        <v>0.53</v>
      </c>
      <c r="L37" s="616">
        <v>116.06</v>
      </c>
      <c r="M37" s="615">
        <f t="shared" si="52"/>
        <v>61.43</v>
      </c>
      <c r="N37" s="616">
        <v>24.68</v>
      </c>
      <c r="O37" s="616"/>
      <c r="P37" s="616">
        <v>19.25</v>
      </c>
      <c r="Q37" s="616">
        <v>17.5</v>
      </c>
      <c r="R37" s="615">
        <f t="shared" si="53"/>
        <v>16.14</v>
      </c>
      <c r="S37" s="615">
        <f t="shared" si="16"/>
        <v>12.38</v>
      </c>
      <c r="T37" s="616">
        <v>4.98</v>
      </c>
      <c r="U37" s="616">
        <v>5.21</v>
      </c>
      <c r="V37" s="616">
        <v>-0.32</v>
      </c>
      <c r="W37" s="616">
        <v>0.92</v>
      </c>
      <c r="X37" s="616"/>
      <c r="Y37" s="616">
        <v>1.59</v>
      </c>
      <c r="Z37" s="615">
        <f t="shared" si="54"/>
        <v>3.76</v>
      </c>
      <c r="AA37" s="616">
        <v>3.48</v>
      </c>
      <c r="AB37" s="616">
        <v>1.65</v>
      </c>
      <c r="AC37" s="616">
        <v>-1.66</v>
      </c>
      <c r="AD37" s="616">
        <v>0.29</v>
      </c>
      <c r="AE37" s="615">
        <f t="shared" si="18"/>
        <v>435.34</v>
      </c>
      <c r="AF37" s="615">
        <f t="shared" si="19"/>
        <v>370.15</v>
      </c>
      <c r="AG37" s="616">
        <f t="shared" si="20"/>
        <v>140.45</v>
      </c>
      <c r="AH37" s="616">
        <f t="shared" si="21"/>
        <v>92.43</v>
      </c>
      <c r="AI37" s="616">
        <f t="shared" si="22"/>
        <v>10.97</v>
      </c>
      <c r="AJ37" s="616">
        <f t="shared" si="23"/>
        <v>8.12</v>
      </c>
      <c r="AK37" s="616">
        <f t="shared" si="24"/>
        <v>0.53</v>
      </c>
      <c r="AL37" s="616">
        <f t="shared" si="25"/>
        <v>117.65</v>
      </c>
      <c r="AM37" s="615">
        <f t="shared" si="26"/>
        <v>65.19</v>
      </c>
      <c r="AN37" s="616">
        <f t="shared" si="27"/>
        <v>28.16</v>
      </c>
      <c r="AO37" s="616">
        <f t="shared" si="28"/>
        <v>1.65</v>
      </c>
      <c r="AP37" s="616">
        <f t="shared" si="29"/>
        <v>17.59</v>
      </c>
      <c r="AQ37" s="637">
        <f t="shared" si="30"/>
        <v>17.79</v>
      </c>
      <c r="AR37" s="638">
        <f t="shared" si="55"/>
        <v>115.68732</v>
      </c>
      <c r="AS37" s="616">
        <f t="shared" si="31"/>
        <v>56.0064</v>
      </c>
      <c r="AT37" s="616">
        <f t="shared" si="32"/>
        <v>17.8152</v>
      </c>
      <c r="AU37" s="616">
        <f t="shared" si="33"/>
        <v>13.3614</v>
      </c>
      <c r="AV37" s="616">
        <f t="shared" si="34"/>
        <v>0.44538</v>
      </c>
      <c r="AW37" s="616">
        <f t="shared" si="35"/>
        <v>1.33614</v>
      </c>
      <c r="AX37" s="616">
        <f t="shared" si="36"/>
        <v>26.7228</v>
      </c>
      <c r="AY37" s="616"/>
      <c r="AZ37" s="615">
        <f t="shared" si="37"/>
        <v>4.56452</v>
      </c>
      <c r="BA37" s="616">
        <f t="shared" si="38"/>
        <v>1.8336</v>
      </c>
      <c r="BB37" s="616">
        <f t="shared" si="39"/>
        <v>0.8152</v>
      </c>
      <c r="BC37" s="616">
        <f t="shared" si="40"/>
        <v>0.6114</v>
      </c>
      <c r="BD37" s="616">
        <f t="shared" si="41"/>
        <v>0.02038</v>
      </c>
      <c r="BE37" s="616">
        <f t="shared" si="42"/>
        <v>0.06114</v>
      </c>
      <c r="BF37" s="616">
        <f t="shared" si="43"/>
        <v>1.2228</v>
      </c>
      <c r="BG37" s="616"/>
      <c r="BH37" s="615">
        <f t="shared" si="44"/>
        <v>120.25184</v>
      </c>
      <c r="BI37" s="616">
        <f t="shared" si="45"/>
        <v>57.84</v>
      </c>
      <c r="BJ37" s="616">
        <f t="shared" si="46"/>
        <v>18.6304</v>
      </c>
      <c r="BK37" s="616">
        <f t="shared" si="47"/>
        <v>13.9728</v>
      </c>
      <c r="BL37" s="616">
        <f t="shared" si="48"/>
        <v>0.46576</v>
      </c>
      <c r="BM37" s="616">
        <f t="shared" si="49"/>
        <v>1.39728</v>
      </c>
      <c r="BN37" s="616">
        <f t="shared" si="50"/>
        <v>27.9456</v>
      </c>
      <c r="BO37" s="616"/>
      <c r="BP37" s="304"/>
    </row>
    <row r="38" s="130" customFormat="1" ht="24" spans="1:68">
      <c r="A38" s="497" t="s">
        <v>226</v>
      </c>
      <c r="B38" s="497" t="s">
        <v>206</v>
      </c>
      <c r="C38" s="497" t="s">
        <v>244</v>
      </c>
      <c r="D38" s="497" t="s">
        <v>220</v>
      </c>
      <c r="E38" s="615">
        <f t="shared" si="51"/>
        <v>0</v>
      </c>
      <c r="F38" s="615">
        <f t="shared" si="14"/>
        <v>0</v>
      </c>
      <c r="G38" s="616"/>
      <c r="H38" s="616"/>
      <c r="I38" s="616"/>
      <c r="J38" s="616"/>
      <c r="K38" s="616"/>
      <c r="L38" s="616"/>
      <c r="M38" s="615">
        <f t="shared" si="52"/>
        <v>0</v>
      </c>
      <c r="N38" s="616"/>
      <c r="O38" s="616"/>
      <c r="P38" s="616"/>
      <c r="Q38" s="616"/>
      <c r="R38" s="615">
        <f t="shared" si="53"/>
        <v>0</v>
      </c>
      <c r="S38" s="615">
        <f t="shared" si="16"/>
        <v>0</v>
      </c>
      <c r="T38" s="616"/>
      <c r="U38" s="616"/>
      <c r="V38" s="616"/>
      <c r="W38" s="616"/>
      <c r="X38" s="616"/>
      <c r="Y38" s="616"/>
      <c r="Z38" s="615">
        <f t="shared" si="54"/>
        <v>0</v>
      </c>
      <c r="AA38" s="616"/>
      <c r="AB38" s="616"/>
      <c r="AC38" s="616"/>
      <c r="AD38" s="616"/>
      <c r="AE38" s="615">
        <f t="shared" si="18"/>
        <v>0</v>
      </c>
      <c r="AF38" s="615">
        <f t="shared" si="19"/>
        <v>0</v>
      </c>
      <c r="AG38" s="616">
        <f t="shared" si="20"/>
        <v>0</v>
      </c>
      <c r="AH38" s="616">
        <f t="shared" si="21"/>
        <v>0</v>
      </c>
      <c r="AI38" s="616">
        <f t="shared" si="22"/>
        <v>0</v>
      </c>
      <c r="AJ38" s="616">
        <f t="shared" si="23"/>
        <v>0</v>
      </c>
      <c r="AK38" s="616">
        <f t="shared" si="24"/>
        <v>0</v>
      </c>
      <c r="AL38" s="616">
        <f t="shared" si="25"/>
        <v>0</v>
      </c>
      <c r="AM38" s="615">
        <f t="shared" si="26"/>
        <v>0</v>
      </c>
      <c r="AN38" s="616">
        <f t="shared" si="27"/>
        <v>0</v>
      </c>
      <c r="AO38" s="616">
        <f t="shared" si="28"/>
        <v>0</v>
      </c>
      <c r="AP38" s="616">
        <f t="shared" si="29"/>
        <v>0</v>
      </c>
      <c r="AQ38" s="637">
        <f t="shared" si="30"/>
        <v>0</v>
      </c>
      <c r="AR38" s="638">
        <f t="shared" si="55"/>
        <v>0</v>
      </c>
      <c r="AS38" s="616">
        <f t="shared" si="31"/>
        <v>0</v>
      </c>
      <c r="AT38" s="616">
        <f t="shared" si="32"/>
        <v>0</v>
      </c>
      <c r="AU38" s="616">
        <f t="shared" si="33"/>
        <v>0</v>
      </c>
      <c r="AV38" s="616">
        <f t="shared" si="34"/>
        <v>0</v>
      </c>
      <c r="AW38" s="616">
        <f t="shared" si="35"/>
        <v>0</v>
      </c>
      <c r="AX38" s="616">
        <f t="shared" si="36"/>
        <v>0</v>
      </c>
      <c r="AY38" s="616"/>
      <c r="AZ38" s="615">
        <f t="shared" si="37"/>
        <v>0</v>
      </c>
      <c r="BA38" s="616">
        <f t="shared" si="38"/>
        <v>0</v>
      </c>
      <c r="BB38" s="616">
        <f t="shared" si="39"/>
        <v>0</v>
      </c>
      <c r="BC38" s="616">
        <f t="shared" si="40"/>
        <v>0</v>
      </c>
      <c r="BD38" s="616">
        <f t="shared" si="41"/>
        <v>0</v>
      </c>
      <c r="BE38" s="616">
        <f t="shared" si="42"/>
        <v>0</v>
      </c>
      <c r="BF38" s="616">
        <f t="shared" si="43"/>
        <v>0</v>
      </c>
      <c r="BG38" s="616"/>
      <c r="BH38" s="615">
        <f t="shared" si="44"/>
        <v>0</v>
      </c>
      <c r="BI38" s="616">
        <f t="shared" si="45"/>
        <v>0</v>
      </c>
      <c r="BJ38" s="616">
        <f t="shared" si="46"/>
        <v>0</v>
      </c>
      <c r="BK38" s="616">
        <f t="shared" si="47"/>
        <v>0</v>
      </c>
      <c r="BL38" s="616">
        <f t="shared" si="48"/>
        <v>0</v>
      </c>
      <c r="BM38" s="616">
        <f t="shared" si="49"/>
        <v>0</v>
      </c>
      <c r="BN38" s="616">
        <f t="shared" si="50"/>
        <v>0</v>
      </c>
      <c r="BO38" s="616"/>
      <c r="BP38" s="304"/>
    </row>
    <row r="39" s="130" customFormat="1" ht="24" spans="1:68">
      <c r="A39" s="497" t="s">
        <v>226</v>
      </c>
      <c r="B39" s="497" t="s">
        <v>203</v>
      </c>
      <c r="C39" s="497" t="s">
        <v>245</v>
      </c>
      <c r="D39" s="497" t="s">
        <v>214</v>
      </c>
      <c r="E39" s="615">
        <f t="shared" si="51"/>
        <v>240.39</v>
      </c>
      <c r="F39" s="615">
        <f t="shared" si="14"/>
        <v>210.68</v>
      </c>
      <c r="G39" s="616">
        <v>76.65</v>
      </c>
      <c r="H39" s="616">
        <v>52.67</v>
      </c>
      <c r="I39" s="616">
        <v>6.39</v>
      </c>
      <c r="J39" s="616">
        <v>7.2</v>
      </c>
      <c r="K39" s="616">
        <v>0.26</v>
      </c>
      <c r="L39" s="616">
        <v>67.51</v>
      </c>
      <c r="M39" s="615">
        <f t="shared" si="52"/>
        <v>29.71</v>
      </c>
      <c r="N39" s="616">
        <v>8.71</v>
      </c>
      <c r="O39" s="616"/>
      <c r="P39" s="616">
        <v>11</v>
      </c>
      <c r="Q39" s="616">
        <v>10</v>
      </c>
      <c r="R39" s="615">
        <f t="shared" si="53"/>
        <v>2.27</v>
      </c>
      <c r="S39" s="615">
        <f t="shared" si="16"/>
        <v>0.51</v>
      </c>
      <c r="T39" s="616">
        <v>-0.41</v>
      </c>
      <c r="U39" s="616">
        <v>0.28</v>
      </c>
      <c r="V39" s="616"/>
      <c r="W39" s="616">
        <v>-0.08</v>
      </c>
      <c r="X39" s="616"/>
      <c r="Y39" s="616">
        <v>0.72</v>
      </c>
      <c r="Z39" s="615">
        <f t="shared" si="54"/>
        <v>1.76</v>
      </c>
      <c r="AA39" s="616"/>
      <c r="AB39" s="616">
        <v>2.1</v>
      </c>
      <c r="AC39" s="616">
        <v>-0.13</v>
      </c>
      <c r="AD39" s="616">
        <v>-0.21</v>
      </c>
      <c r="AE39" s="615">
        <f t="shared" si="18"/>
        <v>242.66</v>
      </c>
      <c r="AF39" s="615">
        <f t="shared" si="19"/>
        <v>211.19</v>
      </c>
      <c r="AG39" s="616">
        <f t="shared" si="20"/>
        <v>76.24</v>
      </c>
      <c r="AH39" s="616">
        <f t="shared" si="21"/>
        <v>52.95</v>
      </c>
      <c r="AI39" s="616">
        <f t="shared" si="22"/>
        <v>6.39</v>
      </c>
      <c r="AJ39" s="616">
        <f t="shared" si="23"/>
        <v>7.12</v>
      </c>
      <c r="AK39" s="616">
        <f t="shared" si="24"/>
        <v>0.26</v>
      </c>
      <c r="AL39" s="616">
        <f t="shared" si="25"/>
        <v>68.23</v>
      </c>
      <c r="AM39" s="615">
        <f t="shared" si="26"/>
        <v>31.47</v>
      </c>
      <c r="AN39" s="616">
        <f t="shared" si="27"/>
        <v>8.71</v>
      </c>
      <c r="AO39" s="616">
        <f t="shared" si="28"/>
        <v>2.1</v>
      </c>
      <c r="AP39" s="616">
        <f t="shared" si="29"/>
        <v>10.87</v>
      </c>
      <c r="AQ39" s="637">
        <f t="shared" si="30"/>
        <v>9.79</v>
      </c>
      <c r="AR39" s="638">
        <f t="shared" si="55"/>
        <v>67.17296</v>
      </c>
      <c r="AS39" s="616">
        <f t="shared" si="31"/>
        <v>32.5152</v>
      </c>
      <c r="AT39" s="616">
        <f t="shared" si="32"/>
        <v>10.3456</v>
      </c>
      <c r="AU39" s="616">
        <f t="shared" si="33"/>
        <v>7.7592</v>
      </c>
      <c r="AV39" s="616">
        <f t="shared" si="34"/>
        <v>0.25864</v>
      </c>
      <c r="AW39" s="616">
        <f t="shared" si="35"/>
        <v>0.77592</v>
      </c>
      <c r="AX39" s="616">
        <f t="shared" si="36"/>
        <v>15.5184</v>
      </c>
      <c r="AY39" s="616"/>
      <c r="AZ39" s="615">
        <f t="shared" si="37"/>
        <v>0.05956</v>
      </c>
      <c r="BA39" s="616">
        <f t="shared" si="38"/>
        <v>0.0944</v>
      </c>
      <c r="BB39" s="616">
        <f t="shared" si="39"/>
        <v>-0.0104</v>
      </c>
      <c r="BC39" s="616">
        <f t="shared" si="40"/>
        <v>-0.0078</v>
      </c>
      <c r="BD39" s="616">
        <f t="shared" si="41"/>
        <v>-0.00026</v>
      </c>
      <c r="BE39" s="616">
        <f t="shared" si="42"/>
        <v>-0.00078</v>
      </c>
      <c r="BF39" s="616">
        <f t="shared" si="43"/>
        <v>-0.0156</v>
      </c>
      <c r="BG39" s="616"/>
      <c r="BH39" s="615">
        <f t="shared" si="44"/>
        <v>67.23252</v>
      </c>
      <c r="BI39" s="616">
        <f t="shared" si="45"/>
        <v>32.6096</v>
      </c>
      <c r="BJ39" s="616">
        <f t="shared" si="46"/>
        <v>10.3352</v>
      </c>
      <c r="BK39" s="616">
        <f t="shared" si="47"/>
        <v>7.7514</v>
      </c>
      <c r="BL39" s="616">
        <f t="shared" si="48"/>
        <v>0.25838</v>
      </c>
      <c r="BM39" s="616">
        <f t="shared" si="49"/>
        <v>0.77514</v>
      </c>
      <c r="BN39" s="616">
        <f t="shared" si="50"/>
        <v>15.5028</v>
      </c>
      <c r="BO39" s="616"/>
      <c r="BP39" s="304"/>
    </row>
    <row r="40" s="130" customFormat="1" ht="24" spans="1:68">
      <c r="A40" s="497" t="s">
        <v>226</v>
      </c>
      <c r="B40" s="497" t="s">
        <v>206</v>
      </c>
      <c r="C40" s="497" t="s">
        <v>246</v>
      </c>
      <c r="D40" s="497" t="s">
        <v>220</v>
      </c>
      <c r="E40" s="615">
        <f t="shared" si="51"/>
        <v>0</v>
      </c>
      <c r="F40" s="615">
        <f t="shared" si="14"/>
        <v>0</v>
      </c>
      <c r="G40" s="616"/>
      <c r="H40" s="616"/>
      <c r="I40" s="616"/>
      <c r="J40" s="616"/>
      <c r="K40" s="616"/>
      <c r="L40" s="616"/>
      <c r="M40" s="615">
        <f t="shared" si="52"/>
        <v>0</v>
      </c>
      <c r="N40" s="616"/>
      <c r="O40" s="616"/>
      <c r="P40" s="616"/>
      <c r="Q40" s="616"/>
      <c r="R40" s="615">
        <f t="shared" si="53"/>
        <v>0</v>
      </c>
      <c r="S40" s="615">
        <f t="shared" si="16"/>
        <v>0</v>
      </c>
      <c r="T40" s="616"/>
      <c r="U40" s="616"/>
      <c r="V40" s="616"/>
      <c r="W40" s="616"/>
      <c r="X40" s="616"/>
      <c r="Y40" s="616"/>
      <c r="Z40" s="615">
        <f t="shared" si="54"/>
        <v>0</v>
      </c>
      <c r="AA40" s="616"/>
      <c r="AB40" s="616"/>
      <c r="AC40" s="616"/>
      <c r="AD40" s="616"/>
      <c r="AE40" s="615">
        <f t="shared" si="18"/>
        <v>0</v>
      </c>
      <c r="AF40" s="615">
        <f t="shared" si="19"/>
        <v>0</v>
      </c>
      <c r="AG40" s="616">
        <f t="shared" si="20"/>
        <v>0</v>
      </c>
      <c r="AH40" s="616">
        <f t="shared" si="21"/>
        <v>0</v>
      </c>
      <c r="AI40" s="616">
        <f t="shared" si="22"/>
        <v>0</v>
      </c>
      <c r="AJ40" s="616">
        <f t="shared" si="23"/>
        <v>0</v>
      </c>
      <c r="AK40" s="616">
        <f t="shared" si="24"/>
        <v>0</v>
      </c>
      <c r="AL40" s="616">
        <f t="shared" si="25"/>
        <v>0</v>
      </c>
      <c r="AM40" s="615">
        <f t="shared" si="26"/>
        <v>0</v>
      </c>
      <c r="AN40" s="616">
        <f t="shared" si="27"/>
        <v>0</v>
      </c>
      <c r="AO40" s="616">
        <f t="shared" si="28"/>
        <v>0</v>
      </c>
      <c r="AP40" s="616">
        <f t="shared" si="29"/>
        <v>0</v>
      </c>
      <c r="AQ40" s="637">
        <f t="shared" si="30"/>
        <v>0</v>
      </c>
      <c r="AR40" s="638">
        <f t="shared" si="55"/>
        <v>0</v>
      </c>
      <c r="AS40" s="616">
        <f t="shared" si="31"/>
        <v>0</v>
      </c>
      <c r="AT40" s="616">
        <f t="shared" si="32"/>
        <v>0</v>
      </c>
      <c r="AU40" s="616">
        <f t="shared" si="33"/>
        <v>0</v>
      </c>
      <c r="AV40" s="616">
        <f t="shared" si="34"/>
        <v>0</v>
      </c>
      <c r="AW40" s="616">
        <f t="shared" si="35"/>
        <v>0</v>
      </c>
      <c r="AX40" s="616">
        <f t="shared" si="36"/>
        <v>0</v>
      </c>
      <c r="AY40" s="616"/>
      <c r="AZ40" s="615">
        <f t="shared" si="37"/>
        <v>0</v>
      </c>
      <c r="BA40" s="616">
        <f t="shared" si="38"/>
        <v>0</v>
      </c>
      <c r="BB40" s="616">
        <f t="shared" si="39"/>
        <v>0</v>
      </c>
      <c r="BC40" s="616">
        <f t="shared" si="40"/>
        <v>0</v>
      </c>
      <c r="BD40" s="616">
        <f t="shared" si="41"/>
        <v>0</v>
      </c>
      <c r="BE40" s="616">
        <f t="shared" si="42"/>
        <v>0</v>
      </c>
      <c r="BF40" s="616">
        <f t="shared" si="43"/>
        <v>0</v>
      </c>
      <c r="BG40" s="616"/>
      <c r="BH40" s="615">
        <f t="shared" si="44"/>
        <v>0</v>
      </c>
      <c r="BI40" s="616">
        <f t="shared" si="45"/>
        <v>0</v>
      </c>
      <c r="BJ40" s="616">
        <f t="shared" si="46"/>
        <v>0</v>
      </c>
      <c r="BK40" s="616">
        <f t="shared" si="47"/>
        <v>0</v>
      </c>
      <c r="BL40" s="616">
        <f t="shared" si="48"/>
        <v>0</v>
      </c>
      <c r="BM40" s="616">
        <f t="shared" si="49"/>
        <v>0</v>
      </c>
      <c r="BN40" s="616">
        <f t="shared" si="50"/>
        <v>0</v>
      </c>
      <c r="BO40" s="616"/>
      <c r="BP40" s="304"/>
    </row>
    <row r="41" s="130" customFormat="1" ht="24" spans="1:68">
      <c r="A41" s="497" t="s">
        <v>226</v>
      </c>
      <c r="B41" s="497" t="s">
        <v>203</v>
      </c>
      <c r="C41" s="497" t="s">
        <v>247</v>
      </c>
      <c r="D41" s="497" t="s">
        <v>214</v>
      </c>
      <c r="E41" s="615">
        <f t="shared" si="51"/>
        <v>378.62</v>
      </c>
      <c r="F41" s="615">
        <f t="shared" ref="F41:F72" si="56">SUM(G41:L41)</f>
        <v>316.27</v>
      </c>
      <c r="G41" s="616">
        <v>117.81</v>
      </c>
      <c r="H41" s="616">
        <v>79.86</v>
      </c>
      <c r="I41" s="616">
        <v>9.82</v>
      </c>
      <c r="J41" s="616">
        <v>6.48</v>
      </c>
      <c r="K41" s="616">
        <v>0.53</v>
      </c>
      <c r="L41" s="616">
        <v>101.77</v>
      </c>
      <c r="M41" s="615">
        <f t="shared" si="52"/>
        <v>62.35</v>
      </c>
      <c r="N41" s="616">
        <v>30.85</v>
      </c>
      <c r="O41" s="616"/>
      <c r="P41" s="616">
        <v>16.5</v>
      </c>
      <c r="Q41" s="616">
        <v>15</v>
      </c>
      <c r="R41" s="615">
        <f t="shared" si="53"/>
        <v>-13.232</v>
      </c>
      <c r="S41" s="615">
        <f t="shared" ref="S41:S72" si="57">SUM(T41:Y41)</f>
        <v>-15.662</v>
      </c>
      <c r="T41" s="616">
        <v>-6.99</v>
      </c>
      <c r="U41" s="616">
        <v>-4</v>
      </c>
      <c r="V41" s="616">
        <v>-0.69</v>
      </c>
      <c r="W41" s="616">
        <v>0.09</v>
      </c>
      <c r="X41" s="616">
        <v>0.088</v>
      </c>
      <c r="Y41" s="616">
        <v>-4.16</v>
      </c>
      <c r="Z41" s="615">
        <f t="shared" si="54"/>
        <v>2.43</v>
      </c>
      <c r="AA41" s="616"/>
      <c r="AB41" s="616">
        <v>2.55</v>
      </c>
      <c r="AC41" s="616">
        <v>-0.62</v>
      </c>
      <c r="AD41" s="616">
        <v>0.5</v>
      </c>
      <c r="AE41" s="615">
        <f t="shared" ref="AE41:AE72" si="58">AF41+AM41</f>
        <v>365.388</v>
      </c>
      <c r="AF41" s="615">
        <f t="shared" ref="AF41:AF72" si="59">SUM(AG41:AL41)</f>
        <v>300.608</v>
      </c>
      <c r="AG41" s="616">
        <f t="shared" ref="AG41:AG72" si="60">G41+T41</f>
        <v>110.82</v>
      </c>
      <c r="AH41" s="616">
        <f t="shared" ref="AH41:AH72" si="61">H41+U41</f>
        <v>75.86</v>
      </c>
      <c r="AI41" s="616">
        <f t="shared" ref="AI41:AI72" si="62">I41+V41</f>
        <v>9.13</v>
      </c>
      <c r="AJ41" s="616">
        <f t="shared" ref="AJ41:AJ72" si="63">J41+W41</f>
        <v>6.57</v>
      </c>
      <c r="AK41" s="616">
        <f t="shared" ref="AK41:AK72" si="64">K41+X41</f>
        <v>0.618</v>
      </c>
      <c r="AL41" s="616">
        <f t="shared" ref="AL41:AL72" si="65">L41+Y41</f>
        <v>97.61</v>
      </c>
      <c r="AM41" s="615">
        <f t="shared" ref="AM41:AM72" si="66">SUM(AN41:AQ41)</f>
        <v>64.78</v>
      </c>
      <c r="AN41" s="616">
        <f t="shared" ref="AN41:AN72" si="67">N41+AA41</f>
        <v>30.85</v>
      </c>
      <c r="AO41" s="616">
        <f t="shared" ref="AO41:AO72" si="68">O41+AB41</f>
        <v>2.55</v>
      </c>
      <c r="AP41" s="616">
        <f t="shared" ref="AP41:AP72" si="69">P41+AC41</f>
        <v>15.88</v>
      </c>
      <c r="AQ41" s="637">
        <f t="shared" ref="AQ41:AQ72" si="70">Q41+AD41</f>
        <v>15.5</v>
      </c>
      <c r="AR41" s="638">
        <f t="shared" si="55"/>
        <v>102.45716</v>
      </c>
      <c r="AS41" s="616">
        <f t="shared" si="31"/>
        <v>49.4816</v>
      </c>
      <c r="AT41" s="616">
        <f t="shared" si="32"/>
        <v>15.8136</v>
      </c>
      <c r="AU41" s="616">
        <f t="shared" si="33"/>
        <v>11.8602</v>
      </c>
      <c r="AV41" s="616">
        <f t="shared" si="34"/>
        <v>0.39534</v>
      </c>
      <c r="AW41" s="616">
        <f t="shared" si="35"/>
        <v>1.18602</v>
      </c>
      <c r="AX41" s="616">
        <f t="shared" si="36"/>
        <v>23.7204</v>
      </c>
      <c r="AY41" s="616"/>
      <c r="AZ41" s="615">
        <f t="shared" si="37"/>
        <v>-5.47972</v>
      </c>
      <c r="BA41" s="616">
        <f t="shared" si="38"/>
        <v>-2.5344</v>
      </c>
      <c r="BB41" s="616">
        <f t="shared" si="39"/>
        <v>-0.8792</v>
      </c>
      <c r="BC41" s="616">
        <f t="shared" si="40"/>
        <v>-0.6594</v>
      </c>
      <c r="BD41" s="616">
        <f t="shared" si="41"/>
        <v>-0.02198</v>
      </c>
      <c r="BE41" s="616">
        <f t="shared" si="42"/>
        <v>-0.06594</v>
      </c>
      <c r="BF41" s="616">
        <f t="shared" si="43"/>
        <v>-1.3188</v>
      </c>
      <c r="BG41" s="616"/>
      <c r="BH41" s="615">
        <f t="shared" si="44"/>
        <v>96.97744</v>
      </c>
      <c r="BI41" s="616">
        <f t="shared" si="45"/>
        <v>46.9472</v>
      </c>
      <c r="BJ41" s="616">
        <f t="shared" si="46"/>
        <v>14.9344</v>
      </c>
      <c r="BK41" s="616">
        <f t="shared" si="47"/>
        <v>11.2008</v>
      </c>
      <c r="BL41" s="616">
        <f t="shared" si="48"/>
        <v>0.37336</v>
      </c>
      <c r="BM41" s="616">
        <f t="shared" si="49"/>
        <v>1.12008</v>
      </c>
      <c r="BN41" s="616">
        <f t="shared" si="50"/>
        <v>22.4016</v>
      </c>
      <c r="BO41" s="616"/>
      <c r="BP41" s="304"/>
    </row>
    <row r="42" s="130" customFormat="1" ht="24" spans="1:68">
      <c r="A42" s="497" t="s">
        <v>226</v>
      </c>
      <c r="B42" s="497" t="s">
        <v>206</v>
      </c>
      <c r="C42" s="497" t="s">
        <v>248</v>
      </c>
      <c r="D42" s="497" t="s">
        <v>220</v>
      </c>
      <c r="E42" s="615">
        <f t="shared" si="51"/>
        <v>0</v>
      </c>
      <c r="F42" s="615">
        <f t="shared" si="56"/>
        <v>0</v>
      </c>
      <c r="G42" s="616"/>
      <c r="H42" s="616"/>
      <c r="I42" s="616"/>
      <c r="J42" s="616"/>
      <c r="K42" s="616"/>
      <c r="L42" s="616"/>
      <c r="M42" s="615">
        <f t="shared" si="52"/>
        <v>0</v>
      </c>
      <c r="N42" s="616"/>
      <c r="O42" s="616"/>
      <c r="P42" s="616"/>
      <c r="Q42" s="616"/>
      <c r="R42" s="615">
        <f t="shared" si="53"/>
        <v>0</v>
      </c>
      <c r="S42" s="615">
        <f t="shared" si="57"/>
        <v>0</v>
      </c>
      <c r="T42" s="616"/>
      <c r="U42" s="616"/>
      <c r="V42" s="616"/>
      <c r="W42" s="616"/>
      <c r="X42" s="616"/>
      <c r="Y42" s="616"/>
      <c r="Z42" s="615">
        <f t="shared" si="54"/>
        <v>0</v>
      </c>
      <c r="AA42" s="616"/>
      <c r="AB42" s="616"/>
      <c r="AC42" s="616"/>
      <c r="AD42" s="616"/>
      <c r="AE42" s="615">
        <f t="shared" si="58"/>
        <v>0</v>
      </c>
      <c r="AF42" s="615">
        <f t="shared" si="59"/>
        <v>0</v>
      </c>
      <c r="AG42" s="616">
        <f t="shared" si="60"/>
        <v>0</v>
      </c>
      <c r="AH42" s="616">
        <f t="shared" si="61"/>
        <v>0</v>
      </c>
      <c r="AI42" s="616">
        <f t="shared" si="62"/>
        <v>0</v>
      </c>
      <c r="AJ42" s="616">
        <f t="shared" si="63"/>
        <v>0</v>
      </c>
      <c r="AK42" s="616">
        <f t="shared" si="64"/>
        <v>0</v>
      </c>
      <c r="AL42" s="616">
        <f t="shared" si="65"/>
        <v>0</v>
      </c>
      <c r="AM42" s="615">
        <f t="shared" si="66"/>
        <v>0</v>
      </c>
      <c r="AN42" s="616">
        <f t="shared" si="67"/>
        <v>0</v>
      </c>
      <c r="AO42" s="616">
        <f t="shared" si="68"/>
        <v>0</v>
      </c>
      <c r="AP42" s="616">
        <f t="shared" si="69"/>
        <v>0</v>
      </c>
      <c r="AQ42" s="637">
        <f t="shared" si="70"/>
        <v>0</v>
      </c>
      <c r="AR42" s="638">
        <f t="shared" si="55"/>
        <v>0</v>
      </c>
      <c r="AS42" s="616">
        <f t="shared" si="31"/>
        <v>0</v>
      </c>
      <c r="AT42" s="616">
        <f t="shared" si="32"/>
        <v>0</v>
      </c>
      <c r="AU42" s="616">
        <f t="shared" si="33"/>
        <v>0</v>
      </c>
      <c r="AV42" s="616">
        <f t="shared" si="34"/>
        <v>0</v>
      </c>
      <c r="AW42" s="616">
        <f t="shared" si="35"/>
        <v>0</v>
      </c>
      <c r="AX42" s="616">
        <f t="shared" si="36"/>
        <v>0</v>
      </c>
      <c r="AY42" s="616"/>
      <c r="AZ42" s="615">
        <f t="shared" si="37"/>
        <v>0</v>
      </c>
      <c r="BA42" s="616">
        <f t="shared" si="38"/>
        <v>0</v>
      </c>
      <c r="BB42" s="616">
        <f t="shared" si="39"/>
        <v>0</v>
      </c>
      <c r="BC42" s="616">
        <f t="shared" si="40"/>
        <v>0</v>
      </c>
      <c r="BD42" s="616">
        <f t="shared" si="41"/>
        <v>0</v>
      </c>
      <c r="BE42" s="616">
        <f t="shared" si="42"/>
        <v>0</v>
      </c>
      <c r="BF42" s="616">
        <f t="shared" si="43"/>
        <v>0</v>
      </c>
      <c r="BG42" s="616"/>
      <c r="BH42" s="615">
        <f t="shared" si="44"/>
        <v>0</v>
      </c>
      <c r="BI42" s="616">
        <f t="shared" si="45"/>
        <v>0</v>
      </c>
      <c r="BJ42" s="616">
        <f t="shared" si="46"/>
        <v>0</v>
      </c>
      <c r="BK42" s="616">
        <f t="shared" si="47"/>
        <v>0</v>
      </c>
      <c r="BL42" s="616">
        <f t="shared" si="48"/>
        <v>0</v>
      </c>
      <c r="BM42" s="616">
        <f t="shared" si="49"/>
        <v>0</v>
      </c>
      <c r="BN42" s="616">
        <f t="shared" si="50"/>
        <v>0</v>
      </c>
      <c r="BO42" s="616"/>
      <c r="BP42" s="304"/>
    </row>
    <row r="43" s="130" customFormat="1" ht="24" spans="1:68">
      <c r="A43" s="497" t="s">
        <v>226</v>
      </c>
      <c r="B43" s="497" t="s">
        <v>203</v>
      </c>
      <c r="C43" s="497" t="s">
        <v>249</v>
      </c>
      <c r="D43" s="497" t="s">
        <v>214</v>
      </c>
      <c r="E43" s="615">
        <f t="shared" si="51"/>
        <v>372.35</v>
      </c>
      <c r="F43" s="615">
        <f t="shared" si="56"/>
        <v>328.99</v>
      </c>
      <c r="G43" s="616">
        <v>118.21</v>
      </c>
      <c r="H43" s="616">
        <v>81.38</v>
      </c>
      <c r="I43" s="616">
        <v>9.85</v>
      </c>
      <c r="J43" s="616">
        <v>11.88</v>
      </c>
      <c r="K43" s="616">
        <v>0.53</v>
      </c>
      <c r="L43" s="616">
        <v>107.14</v>
      </c>
      <c r="M43" s="615">
        <f t="shared" si="52"/>
        <v>43.36</v>
      </c>
      <c r="N43" s="616">
        <v>8.71</v>
      </c>
      <c r="O43" s="616"/>
      <c r="P43" s="616">
        <v>18.15</v>
      </c>
      <c r="Q43" s="616">
        <v>16.5</v>
      </c>
      <c r="R43" s="615">
        <f t="shared" si="53"/>
        <v>-39.9038</v>
      </c>
      <c r="S43" s="615">
        <f t="shared" si="57"/>
        <v>-37.62</v>
      </c>
      <c r="T43" s="616">
        <v>-13.33</v>
      </c>
      <c r="U43" s="616">
        <v>-8.89</v>
      </c>
      <c r="V43" s="616">
        <v>-0.69</v>
      </c>
      <c r="W43" s="616">
        <v>-1.62</v>
      </c>
      <c r="X43" s="616"/>
      <c r="Y43" s="616">
        <v>-13.09</v>
      </c>
      <c r="Z43" s="615">
        <f t="shared" si="54"/>
        <v>-2.2838</v>
      </c>
      <c r="AA43" s="616">
        <v>-0.4838</v>
      </c>
      <c r="AB43" s="616">
        <v>1.25</v>
      </c>
      <c r="AC43" s="616">
        <v>-2.22</v>
      </c>
      <c r="AD43" s="616">
        <v>-0.83</v>
      </c>
      <c r="AE43" s="615">
        <f t="shared" si="58"/>
        <v>332.4462</v>
      </c>
      <c r="AF43" s="615">
        <f t="shared" si="59"/>
        <v>291.37</v>
      </c>
      <c r="AG43" s="616">
        <f t="shared" si="60"/>
        <v>104.88</v>
      </c>
      <c r="AH43" s="616">
        <f t="shared" si="61"/>
        <v>72.49</v>
      </c>
      <c r="AI43" s="616">
        <f t="shared" si="62"/>
        <v>9.16</v>
      </c>
      <c r="AJ43" s="616">
        <f t="shared" si="63"/>
        <v>10.26</v>
      </c>
      <c r="AK43" s="616">
        <f t="shared" si="64"/>
        <v>0.53</v>
      </c>
      <c r="AL43" s="616">
        <f t="shared" si="65"/>
        <v>94.05</v>
      </c>
      <c r="AM43" s="615">
        <f t="shared" si="66"/>
        <v>41.0762</v>
      </c>
      <c r="AN43" s="616">
        <f t="shared" si="67"/>
        <v>8.2262</v>
      </c>
      <c r="AO43" s="616">
        <f t="shared" si="68"/>
        <v>1.25</v>
      </c>
      <c r="AP43" s="616">
        <f t="shared" si="69"/>
        <v>15.93</v>
      </c>
      <c r="AQ43" s="637">
        <f t="shared" si="70"/>
        <v>15.67</v>
      </c>
      <c r="AR43" s="638">
        <f t="shared" si="55"/>
        <v>104.14292</v>
      </c>
      <c r="AS43" s="616">
        <f t="shared" si="31"/>
        <v>50.6528</v>
      </c>
      <c r="AT43" s="616">
        <f t="shared" si="32"/>
        <v>15.9672</v>
      </c>
      <c r="AU43" s="616">
        <f t="shared" si="33"/>
        <v>11.9754</v>
      </c>
      <c r="AV43" s="616">
        <f t="shared" si="34"/>
        <v>0.39918</v>
      </c>
      <c r="AW43" s="616">
        <f t="shared" si="35"/>
        <v>1.19754</v>
      </c>
      <c r="AX43" s="616">
        <f t="shared" si="36"/>
        <v>23.9508</v>
      </c>
      <c r="AY43" s="616"/>
      <c r="AZ43" s="615">
        <f t="shared" si="37"/>
        <v>-11.71496</v>
      </c>
      <c r="BA43" s="616">
        <f t="shared" si="38"/>
        <v>-5.76</v>
      </c>
      <c r="BB43" s="616">
        <f t="shared" si="39"/>
        <v>-1.7776</v>
      </c>
      <c r="BC43" s="616">
        <f t="shared" si="40"/>
        <v>-1.3332</v>
      </c>
      <c r="BD43" s="616">
        <f t="shared" si="41"/>
        <v>-0.04444</v>
      </c>
      <c r="BE43" s="616">
        <f t="shared" si="42"/>
        <v>-0.13332</v>
      </c>
      <c r="BF43" s="616">
        <f t="shared" si="43"/>
        <v>-2.6664</v>
      </c>
      <c r="BG43" s="616"/>
      <c r="BH43" s="615">
        <f t="shared" si="44"/>
        <v>92.42796</v>
      </c>
      <c r="BI43" s="616">
        <f t="shared" si="45"/>
        <v>44.8928</v>
      </c>
      <c r="BJ43" s="616">
        <f t="shared" si="46"/>
        <v>14.1896</v>
      </c>
      <c r="BK43" s="616">
        <f t="shared" si="47"/>
        <v>10.6422</v>
      </c>
      <c r="BL43" s="616">
        <f t="shared" si="48"/>
        <v>0.35474</v>
      </c>
      <c r="BM43" s="616">
        <f t="shared" si="49"/>
        <v>1.06422</v>
      </c>
      <c r="BN43" s="616">
        <f t="shared" si="50"/>
        <v>21.2844</v>
      </c>
      <c r="BO43" s="616"/>
      <c r="BP43" s="304"/>
    </row>
    <row r="44" s="130" customFormat="1" ht="24" spans="1:68">
      <c r="A44" s="497" t="s">
        <v>226</v>
      </c>
      <c r="B44" s="497" t="s">
        <v>206</v>
      </c>
      <c r="C44" s="497" t="s">
        <v>250</v>
      </c>
      <c r="D44" s="497" t="s">
        <v>220</v>
      </c>
      <c r="E44" s="615">
        <f t="shared" si="51"/>
        <v>0</v>
      </c>
      <c r="F44" s="615">
        <f t="shared" si="56"/>
        <v>0</v>
      </c>
      <c r="G44" s="616"/>
      <c r="H44" s="616"/>
      <c r="I44" s="616"/>
      <c r="J44" s="616"/>
      <c r="K44" s="616"/>
      <c r="L44" s="616"/>
      <c r="M44" s="615">
        <f t="shared" si="52"/>
        <v>0</v>
      </c>
      <c r="N44" s="616"/>
      <c r="O44" s="616"/>
      <c r="P44" s="616"/>
      <c r="Q44" s="616"/>
      <c r="R44" s="615">
        <f t="shared" si="53"/>
        <v>0</v>
      </c>
      <c r="S44" s="615">
        <f t="shared" si="57"/>
        <v>0</v>
      </c>
      <c r="T44" s="616"/>
      <c r="U44" s="616"/>
      <c r="V44" s="616"/>
      <c r="W44" s="616"/>
      <c r="X44" s="616"/>
      <c r="Y44" s="616"/>
      <c r="Z44" s="615">
        <f t="shared" si="54"/>
        <v>0</v>
      </c>
      <c r="AA44" s="616"/>
      <c r="AB44" s="616"/>
      <c r="AC44" s="616"/>
      <c r="AD44" s="616"/>
      <c r="AE44" s="615">
        <f t="shared" si="58"/>
        <v>0</v>
      </c>
      <c r="AF44" s="615">
        <f t="shared" si="59"/>
        <v>0</v>
      </c>
      <c r="AG44" s="616">
        <f t="shared" si="60"/>
        <v>0</v>
      </c>
      <c r="AH44" s="616">
        <f t="shared" si="61"/>
        <v>0</v>
      </c>
      <c r="AI44" s="616">
        <f t="shared" si="62"/>
        <v>0</v>
      </c>
      <c r="AJ44" s="616">
        <f t="shared" si="63"/>
        <v>0</v>
      </c>
      <c r="AK44" s="616">
        <f t="shared" si="64"/>
        <v>0</v>
      </c>
      <c r="AL44" s="616">
        <f t="shared" si="65"/>
        <v>0</v>
      </c>
      <c r="AM44" s="615">
        <f t="shared" si="66"/>
        <v>0</v>
      </c>
      <c r="AN44" s="616">
        <f t="shared" si="67"/>
        <v>0</v>
      </c>
      <c r="AO44" s="616">
        <f t="shared" si="68"/>
        <v>0</v>
      </c>
      <c r="AP44" s="616">
        <f t="shared" si="69"/>
        <v>0</v>
      </c>
      <c r="AQ44" s="637">
        <f t="shared" si="70"/>
        <v>0</v>
      </c>
      <c r="AR44" s="638">
        <f t="shared" si="55"/>
        <v>0</v>
      </c>
      <c r="AS44" s="616">
        <f t="shared" si="31"/>
        <v>0</v>
      </c>
      <c r="AT44" s="616">
        <f t="shared" si="32"/>
        <v>0</v>
      </c>
      <c r="AU44" s="616">
        <f t="shared" si="33"/>
        <v>0</v>
      </c>
      <c r="AV44" s="616">
        <f t="shared" si="34"/>
        <v>0</v>
      </c>
      <c r="AW44" s="616">
        <f t="shared" si="35"/>
        <v>0</v>
      </c>
      <c r="AX44" s="616">
        <f t="shared" si="36"/>
        <v>0</v>
      </c>
      <c r="AY44" s="616"/>
      <c r="AZ44" s="615">
        <f t="shared" si="37"/>
        <v>0</v>
      </c>
      <c r="BA44" s="616">
        <f t="shared" si="38"/>
        <v>0</v>
      </c>
      <c r="BB44" s="616">
        <f t="shared" si="39"/>
        <v>0</v>
      </c>
      <c r="BC44" s="616">
        <f t="shared" si="40"/>
        <v>0</v>
      </c>
      <c r="BD44" s="616">
        <f t="shared" si="41"/>
        <v>0</v>
      </c>
      <c r="BE44" s="616">
        <f t="shared" si="42"/>
        <v>0</v>
      </c>
      <c r="BF44" s="616">
        <f t="shared" si="43"/>
        <v>0</v>
      </c>
      <c r="BG44" s="616"/>
      <c r="BH44" s="615">
        <f t="shared" si="44"/>
        <v>0</v>
      </c>
      <c r="BI44" s="616">
        <f t="shared" si="45"/>
        <v>0</v>
      </c>
      <c r="BJ44" s="616">
        <f t="shared" si="46"/>
        <v>0</v>
      </c>
      <c r="BK44" s="616">
        <f t="shared" si="47"/>
        <v>0</v>
      </c>
      <c r="BL44" s="616">
        <f t="shared" si="48"/>
        <v>0</v>
      </c>
      <c r="BM44" s="616">
        <f t="shared" si="49"/>
        <v>0</v>
      </c>
      <c r="BN44" s="616">
        <f t="shared" si="50"/>
        <v>0</v>
      </c>
      <c r="BO44" s="616"/>
      <c r="BP44" s="304"/>
    </row>
    <row r="45" s="130" customFormat="1" ht="24" spans="1:68">
      <c r="A45" s="497" t="s">
        <v>226</v>
      </c>
      <c r="B45" s="497" t="s">
        <v>203</v>
      </c>
      <c r="C45" s="497" t="s">
        <v>251</v>
      </c>
      <c r="D45" s="497" t="s">
        <v>214</v>
      </c>
      <c r="E45" s="615">
        <f t="shared" si="51"/>
        <v>305.78</v>
      </c>
      <c r="F45" s="615">
        <f t="shared" si="56"/>
        <v>265.82</v>
      </c>
      <c r="G45" s="616">
        <v>93.91</v>
      </c>
      <c r="H45" s="616">
        <v>67.24</v>
      </c>
      <c r="I45" s="616">
        <v>7.2</v>
      </c>
      <c r="J45" s="616">
        <v>8.64</v>
      </c>
      <c r="K45" s="616">
        <v>0.53</v>
      </c>
      <c r="L45" s="616">
        <v>88.3</v>
      </c>
      <c r="M45" s="615">
        <f t="shared" si="52"/>
        <v>39.96</v>
      </c>
      <c r="N45" s="616">
        <v>11.61</v>
      </c>
      <c r="O45" s="616"/>
      <c r="P45" s="616">
        <v>14.85</v>
      </c>
      <c r="Q45" s="616">
        <v>13.5</v>
      </c>
      <c r="R45" s="615">
        <f t="shared" si="53"/>
        <v>2.67</v>
      </c>
      <c r="S45" s="615">
        <f t="shared" si="57"/>
        <v>1.99</v>
      </c>
      <c r="T45" s="616">
        <v>1.21</v>
      </c>
      <c r="U45" s="616">
        <v>0.37</v>
      </c>
      <c r="V45" s="616">
        <v>-0.11</v>
      </c>
      <c r="W45" s="616">
        <v>-0.23</v>
      </c>
      <c r="X45" s="616"/>
      <c r="Y45" s="616">
        <v>0.75</v>
      </c>
      <c r="Z45" s="615">
        <f t="shared" si="54"/>
        <v>0.68</v>
      </c>
      <c r="AA45" s="616">
        <v>-1.1</v>
      </c>
      <c r="AB45" s="616">
        <v>2.85</v>
      </c>
      <c r="AC45" s="616">
        <v>-1.9</v>
      </c>
      <c r="AD45" s="618">
        <v>0.83</v>
      </c>
      <c r="AE45" s="615">
        <f t="shared" si="58"/>
        <v>308.45</v>
      </c>
      <c r="AF45" s="615">
        <f t="shared" si="59"/>
        <v>267.81</v>
      </c>
      <c r="AG45" s="616">
        <f t="shared" si="60"/>
        <v>95.12</v>
      </c>
      <c r="AH45" s="616">
        <f t="shared" si="61"/>
        <v>67.61</v>
      </c>
      <c r="AI45" s="616">
        <f t="shared" si="62"/>
        <v>7.09</v>
      </c>
      <c r="AJ45" s="616">
        <f t="shared" si="63"/>
        <v>8.41</v>
      </c>
      <c r="AK45" s="616">
        <f t="shared" si="64"/>
        <v>0.53</v>
      </c>
      <c r="AL45" s="616">
        <f t="shared" si="65"/>
        <v>89.05</v>
      </c>
      <c r="AM45" s="615">
        <f t="shared" si="66"/>
        <v>40.64</v>
      </c>
      <c r="AN45" s="616">
        <f t="shared" si="67"/>
        <v>10.51</v>
      </c>
      <c r="AO45" s="616">
        <f t="shared" si="68"/>
        <v>2.85</v>
      </c>
      <c r="AP45" s="616">
        <f t="shared" si="69"/>
        <v>12.95</v>
      </c>
      <c r="AQ45" s="637">
        <f t="shared" si="70"/>
        <v>14.33</v>
      </c>
      <c r="AR45" s="638">
        <f t="shared" si="55"/>
        <v>84.2522</v>
      </c>
      <c r="AS45" s="616">
        <f t="shared" si="31"/>
        <v>41.064</v>
      </c>
      <c r="AT45" s="616">
        <f t="shared" si="32"/>
        <v>12.892</v>
      </c>
      <c r="AU45" s="616">
        <f t="shared" si="33"/>
        <v>9.669</v>
      </c>
      <c r="AV45" s="616">
        <f t="shared" si="34"/>
        <v>0.3223</v>
      </c>
      <c r="AW45" s="616">
        <f t="shared" si="35"/>
        <v>0.9669</v>
      </c>
      <c r="AX45" s="616">
        <f t="shared" si="36"/>
        <v>19.338</v>
      </c>
      <c r="AY45" s="616"/>
      <c r="AZ45" s="615">
        <f t="shared" si="37"/>
        <v>0.77864</v>
      </c>
      <c r="BA45" s="616">
        <f t="shared" si="38"/>
        <v>0.3552</v>
      </c>
      <c r="BB45" s="616">
        <f t="shared" si="39"/>
        <v>0.1264</v>
      </c>
      <c r="BC45" s="616">
        <f t="shared" si="40"/>
        <v>0.0948</v>
      </c>
      <c r="BD45" s="616">
        <f t="shared" si="41"/>
        <v>0.00316</v>
      </c>
      <c r="BE45" s="616">
        <f t="shared" si="42"/>
        <v>0.00948</v>
      </c>
      <c r="BF45" s="616">
        <f t="shared" si="43"/>
        <v>0.1896</v>
      </c>
      <c r="BG45" s="616"/>
      <c r="BH45" s="615">
        <f t="shared" si="44"/>
        <v>85.03084</v>
      </c>
      <c r="BI45" s="616">
        <f t="shared" si="45"/>
        <v>41.4192</v>
      </c>
      <c r="BJ45" s="616">
        <f t="shared" si="46"/>
        <v>13.0184</v>
      </c>
      <c r="BK45" s="616">
        <f t="shared" si="47"/>
        <v>9.7638</v>
      </c>
      <c r="BL45" s="616">
        <f t="shared" si="48"/>
        <v>0.32546</v>
      </c>
      <c r="BM45" s="616">
        <f t="shared" si="49"/>
        <v>0.97638</v>
      </c>
      <c r="BN45" s="616">
        <f t="shared" si="50"/>
        <v>19.5276</v>
      </c>
      <c r="BO45" s="616"/>
      <c r="BP45" s="304"/>
    </row>
    <row r="46" s="130" customFormat="1" ht="24" spans="1:68">
      <c r="A46" s="497" t="s">
        <v>226</v>
      </c>
      <c r="B46" s="497" t="s">
        <v>206</v>
      </c>
      <c r="C46" s="497" t="s">
        <v>252</v>
      </c>
      <c r="D46" s="497" t="s">
        <v>220</v>
      </c>
      <c r="E46" s="615">
        <f t="shared" si="51"/>
        <v>0</v>
      </c>
      <c r="F46" s="615">
        <f t="shared" si="56"/>
        <v>0</v>
      </c>
      <c r="G46" s="616"/>
      <c r="H46" s="616"/>
      <c r="I46" s="616"/>
      <c r="J46" s="616"/>
      <c r="K46" s="616"/>
      <c r="L46" s="616"/>
      <c r="M46" s="615">
        <f t="shared" si="52"/>
        <v>0</v>
      </c>
      <c r="N46" s="616"/>
      <c r="O46" s="616"/>
      <c r="P46" s="616"/>
      <c r="Q46" s="616"/>
      <c r="R46" s="615">
        <f t="shared" si="53"/>
        <v>0</v>
      </c>
      <c r="S46" s="615">
        <f t="shared" si="57"/>
        <v>0</v>
      </c>
      <c r="T46" s="616"/>
      <c r="U46" s="616"/>
      <c r="V46" s="616"/>
      <c r="W46" s="616"/>
      <c r="X46" s="616"/>
      <c r="Y46" s="616"/>
      <c r="Z46" s="615">
        <f t="shared" si="54"/>
        <v>0</v>
      </c>
      <c r="AA46" s="616"/>
      <c r="AB46" s="616"/>
      <c r="AC46" s="616"/>
      <c r="AD46" s="616"/>
      <c r="AE46" s="615">
        <f t="shared" si="58"/>
        <v>0</v>
      </c>
      <c r="AF46" s="615">
        <f t="shared" si="59"/>
        <v>0</v>
      </c>
      <c r="AG46" s="616">
        <f t="shared" si="60"/>
        <v>0</v>
      </c>
      <c r="AH46" s="616">
        <f t="shared" si="61"/>
        <v>0</v>
      </c>
      <c r="AI46" s="616">
        <f t="shared" si="62"/>
        <v>0</v>
      </c>
      <c r="AJ46" s="616">
        <f t="shared" si="63"/>
        <v>0</v>
      </c>
      <c r="AK46" s="616">
        <f t="shared" si="64"/>
        <v>0</v>
      </c>
      <c r="AL46" s="616">
        <f t="shared" si="65"/>
        <v>0</v>
      </c>
      <c r="AM46" s="615">
        <f t="shared" si="66"/>
        <v>0</v>
      </c>
      <c r="AN46" s="616">
        <f t="shared" si="67"/>
        <v>0</v>
      </c>
      <c r="AO46" s="616">
        <f t="shared" si="68"/>
        <v>0</v>
      </c>
      <c r="AP46" s="616">
        <f t="shared" si="69"/>
        <v>0</v>
      </c>
      <c r="AQ46" s="637">
        <f t="shared" si="70"/>
        <v>0</v>
      </c>
      <c r="AR46" s="638">
        <f t="shared" si="55"/>
        <v>0</v>
      </c>
      <c r="AS46" s="616">
        <f t="shared" si="31"/>
        <v>0</v>
      </c>
      <c r="AT46" s="616">
        <f t="shared" si="32"/>
        <v>0</v>
      </c>
      <c r="AU46" s="616">
        <f t="shared" si="33"/>
        <v>0</v>
      </c>
      <c r="AV46" s="616">
        <f t="shared" si="34"/>
        <v>0</v>
      </c>
      <c r="AW46" s="616">
        <f t="shared" si="35"/>
        <v>0</v>
      </c>
      <c r="AX46" s="616">
        <f t="shared" si="36"/>
        <v>0</v>
      </c>
      <c r="AY46" s="616"/>
      <c r="AZ46" s="615">
        <f t="shared" si="37"/>
        <v>0</v>
      </c>
      <c r="BA46" s="616">
        <f t="shared" si="38"/>
        <v>0</v>
      </c>
      <c r="BB46" s="616">
        <f t="shared" si="39"/>
        <v>0</v>
      </c>
      <c r="BC46" s="616">
        <f t="shared" si="40"/>
        <v>0</v>
      </c>
      <c r="BD46" s="616">
        <f t="shared" si="41"/>
        <v>0</v>
      </c>
      <c r="BE46" s="616">
        <f t="shared" si="42"/>
        <v>0</v>
      </c>
      <c r="BF46" s="616">
        <f t="shared" si="43"/>
        <v>0</v>
      </c>
      <c r="BG46" s="616"/>
      <c r="BH46" s="615">
        <f t="shared" si="44"/>
        <v>0</v>
      </c>
      <c r="BI46" s="616">
        <f t="shared" si="45"/>
        <v>0</v>
      </c>
      <c r="BJ46" s="616">
        <f t="shared" si="46"/>
        <v>0</v>
      </c>
      <c r="BK46" s="616">
        <f t="shared" si="47"/>
        <v>0</v>
      </c>
      <c r="BL46" s="616">
        <f t="shared" si="48"/>
        <v>0</v>
      </c>
      <c r="BM46" s="616">
        <f t="shared" si="49"/>
        <v>0</v>
      </c>
      <c r="BN46" s="616">
        <f t="shared" si="50"/>
        <v>0</v>
      </c>
      <c r="BO46" s="616"/>
      <c r="BP46" s="304"/>
    </row>
    <row r="47" s="130" customFormat="1" ht="24" spans="1:68">
      <c r="A47" s="497" t="s">
        <v>226</v>
      </c>
      <c r="B47" s="497" t="s">
        <v>203</v>
      </c>
      <c r="C47" s="497" t="s">
        <v>253</v>
      </c>
      <c r="D47" s="497" t="s">
        <v>214</v>
      </c>
      <c r="E47" s="615">
        <f t="shared" si="51"/>
        <v>273.0706</v>
      </c>
      <c r="F47" s="615">
        <f t="shared" si="56"/>
        <v>240.2106</v>
      </c>
      <c r="G47" s="616">
        <v>87.3912</v>
      </c>
      <c r="H47" s="616">
        <v>60.1548</v>
      </c>
      <c r="I47" s="616">
        <v>6.8946</v>
      </c>
      <c r="J47" s="616">
        <v>8.28</v>
      </c>
      <c r="K47" s="616">
        <v>0.26</v>
      </c>
      <c r="L47" s="616">
        <v>77.23</v>
      </c>
      <c r="M47" s="615">
        <f t="shared" si="52"/>
        <v>32.86</v>
      </c>
      <c r="N47" s="616">
        <v>8.71</v>
      </c>
      <c r="O47" s="616"/>
      <c r="P47" s="616">
        <v>12.65</v>
      </c>
      <c r="Q47" s="616">
        <v>11.5</v>
      </c>
      <c r="R47" s="615">
        <f t="shared" si="53"/>
        <v>-9.37</v>
      </c>
      <c r="S47" s="615">
        <f t="shared" si="57"/>
        <v>-8.78</v>
      </c>
      <c r="T47" s="616">
        <v>-3.24</v>
      </c>
      <c r="U47" s="616">
        <v>-2.17</v>
      </c>
      <c r="V47" s="616">
        <v>-0.42</v>
      </c>
      <c r="W47" s="616">
        <v>-0.48</v>
      </c>
      <c r="X47" s="616">
        <v>0.26</v>
      </c>
      <c r="Y47" s="616">
        <v>-2.73</v>
      </c>
      <c r="Z47" s="615">
        <f t="shared" si="54"/>
        <v>-0.59</v>
      </c>
      <c r="AA47" s="616"/>
      <c r="AB47" s="616">
        <v>1.05</v>
      </c>
      <c r="AC47" s="616">
        <v>-1.14</v>
      </c>
      <c r="AD47" s="616">
        <v>-0.5</v>
      </c>
      <c r="AE47" s="615">
        <f t="shared" si="58"/>
        <v>263.7006</v>
      </c>
      <c r="AF47" s="615">
        <f t="shared" si="59"/>
        <v>231.4306</v>
      </c>
      <c r="AG47" s="616">
        <f t="shared" si="60"/>
        <v>84.1512</v>
      </c>
      <c r="AH47" s="616">
        <f t="shared" si="61"/>
        <v>57.9848</v>
      </c>
      <c r="AI47" s="616">
        <f t="shared" si="62"/>
        <v>6.4746</v>
      </c>
      <c r="AJ47" s="616">
        <f t="shared" si="63"/>
        <v>7.8</v>
      </c>
      <c r="AK47" s="616">
        <f t="shared" si="64"/>
        <v>0.52</v>
      </c>
      <c r="AL47" s="616">
        <f t="shared" si="65"/>
        <v>74.5</v>
      </c>
      <c r="AM47" s="615">
        <f t="shared" si="66"/>
        <v>32.27</v>
      </c>
      <c r="AN47" s="616">
        <f t="shared" si="67"/>
        <v>8.71</v>
      </c>
      <c r="AO47" s="616">
        <f t="shared" si="68"/>
        <v>1.05</v>
      </c>
      <c r="AP47" s="616">
        <f t="shared" si="69"/>
        <v>11.51</v>
      </c>
      <c r="AQ47" s="637">
        <f t="shared" si="70"/>
        <v>11</v>
      </c>
      <c r="AR47" s="638">
        <f t="shared" si="55"/>
        <v>76.609624</v>
      </c>
      <c r="AS47" s="616">
        <f t="shared" si="31"/>
        <v>37.067296</v>
      </c>
      <c r="AT47" s="616">
        <f t="shared" si="32"/>
        <v>11.80368</v>
      </c>
      <c r="AU47" s="616">
        <f t="shared" si="33"/>
        <v>8.85276</v>
      </c>
      <c r="AV47" s="616">
        <f t="shared" si="34"/>
        <v>0.295092</v>
      </c>
      <c r="AW47" s="616">
        <f t="shared" si="35"/>
        <v>0.885276</v>
      </c>
      <c r="AX47" s="616">
        <f t="shared" si="36"/>
        <v>17.70552</v>
      </c>
      <c r="AY47" s="616"/>
      <c r="AZ47" s="615">
        <f t="shared" si="37"/>
        <v>-2.81948</v>
      </c>
      <c r="BA47" s="616">
        <f t="shared" si="38"/>
        <v>-1.3696</v>
      </c>
      <c r="BB47" s="616">
        <f t="shared" si="39"/>
        <v>-0.4328</v>
      </c>
      <c r="BC47" s="616">
        <f t="shared" si="40"/>
        <v>-0.3246</v>
      </c>
      <c r="BD47" s="616">
        <f t="shared" si="41"/>
        <v>-0.01082</v>
      </c>
      <c r="BE47" s="616">
        <f t="shared" si="42"/>
        <v>-0.03246</v>
      </c>
      <c r="BF47" s="616">
        <f t="shared" si="43"/>
        <v>-0.6492</v>
      </c>
      <c r="BG47" s="616"/>
      <c r="BH47" s="615">
        <f t="shared" si="44"/>
        <v>73.790144</v>
      </c>
      <c r="BI47" s="616">
        <f t="shared" si="45"/>
        <v>35.697696</v>
      </c>
      <c r="BJ47" s="616">
        <f t="shared" si="46"/>
        <v>11.37088</v>
      </c>
      <c r="BK47" s="616">
        <f t="shared" si="47"/>
        <v>8.52816</v>
      </c>
      <c r="BL47" s="616">
        <f t="shared" si="48"/>
        <v>0.284272</v>
      </c>
      <c r="BM47" s="616">
        <f t="shared" si="49"/>
        <v>0.852816</v>
      </c>
      <c r="BN47" s="616">
        <f t="shared" si="50"/>
        <v>17.05632</v>
      </c>
      <c r="BO47" s="616"/>
      <c r="BP47" s="304"/>
    </row>
    <row r="48" s="130" customFormat="1" ht="24" spans="1:68">
      <c r="A48" s="497" t="s">
        <v>226</v>
      </c>
      <c r="B48" s="497" t="s">
        <v>206</v>
      </c>
      <c r="C48" s="497" t="s">
        <v>254</v>
      </c>
      <c r="D48" s="497" t="s">
        <v>220</v>
      </c>
      <c r="E48" s="615">
        <f t="shared" si="51"/>
        <v>0</v>
      </c>
      <c r="F48" s="615">
        <f t="shared" si="56"/>
        <v>0</v>
      </c>
      <c r="G48" s="616"/>
      <c r="H48" s="616"/>
      <c r="I48" s="616"/>
      <c r="J48" s="616"/>
      <c r="K48" s="616"/>
      <c r="L48" s="616"/>
      <c r="M48" s="615">
        <f t="shared" si="52"/>
        <v>0</v>
      </c>
      <c r="N48" s="616"/>
      <c r="O48" s="616"/>
      <c r="P48" s="616"/>
      <c r="Q48" s="616"/>
      <c r="R48" s="615">
        <f t="shared" si="53"/>
        <v>0</v>
      </c>
      <c r="S48" s="615">
        <f t="shared" si="57"/>
        <v>0</v>
      </c>
      <c r="T48" s="616"/>
      <c r="U48" s="616"/>
      <c r="V48" s="616"/>
      <c r="W48" s="616"/>
      <c r="X48" s="616"/>
      <c r="Y48" s="616"/>
      <c r="Z48" s="615">
        <f t="shared" si="54"/>
        <v>0</v>
      </c>
      <c r="AA48" s="616"/>
      <c r="AB48" s="616"/>
      <c r="AC48" s="616"/>
      <c r="AD48" s="616"/>
      <c r="AE48" s="615">
        <f t="shared" si="58"/>
        <v>0</v>
      </c>
      <c r="AF48" s="615">
        <f t="shared" si="59"/>
        <v>0</v>
      </c>
      <c r="AG48" s="616">
        <f t="shared" si="60"/>
        <v>0</v>
      </c>
      <c r="AH48" s="616">
        <f t="shared" si="61"/>
        <v>0</v>
      </c>
      <c r="AI48" s="616">
        <f t="shared" si="62"/>
        <v>0</v>
      </c>
      <c r="AJ48" s="616">
        <f t="shared" si="63"/>
        <v>0</v>
      </c>
      <c r="AK48" s="616">
        <f t="shared" si="64"/>
        <v>0</v>
      </c>
      <c r="AL48" s="616">
        <f t="shared" si="65"/>
        <v>0</v>
      </c>
      <c r="AM48" s="615">
        <f t="shared" si="66"/>
        <v>0</v>
      </c>
      <c r="AN48" s="616">
        <f t="shared" si="67"/>
        <v>0</v>
      </c>
      <c r="AO48" s="616">
        <f t="shared" si="68"/>
        <v>0</v>
      </c>
      <c r="AP48" s="616">
        <f t="shared" si="69"/>
        <v>0</v>
      </c>
      <c r="AQ48" s="637">
        <f t="shared" si="70"/>
        <v>0</v>
      </c>
      <c r="AR48" s="638">
        <f t="shared" si="55"/>
        <v>0</v>
      </c>
      <c r="AS48" s="616">
        <f t="shared" si="31"/>
        <v>0</v>
      </c>
      <c r="AT48" s="616">
        <f t="shared" si="32"/>
        <v>0</v>
      </c>
      <c r="AU48" s="616">
        <f t="shared" si="33"/>
        <v>0</v>
      </c>
      <c r="AV48" s="616">
        <f t="shared" si="34"/>
        <v>0</v>
      </c>
      <c r="AW48" s="616">
        <f t="shared" si="35"/>
        <v>0</v>
      </c>
      <c r="AX48" s="616">
        <f t="shared" si="36"/>
        <v>0</v>
      </c>
      <c r="AY48" s="616"/>
      <c r="AZ48" s="615">
        <f t="shared" si="37"/>
        <v>0</v>
      </c>
      <c r="BA48" s="616">
        <f t="shared" si="38"/>
        <v>0</v>
      </c>
      <c r="BB48" s="616">
        <f t="shared" si="39"/>
        <v>0</v>
      </c>
      <c r="BC48" s="616">
        <f t="shared" si="40"/>
        <v>0</v>
      </c>
      <c r="BD48" s="616">
        <f t="shared" si="41"/>
        <v>0</v>
      </c>
      <c r="BE48" s="616">
        <f t="shared" si="42"/>
        <v>0</v>
      </c>
      <c r="BF48" s="616">
        <f t="shared" si="43"/>
        <v>0</v>
      </c>
      <c r="BG48" s="616"/>
      <c r="BH48" s="615">
        <f t="shared" si="44"/>
        <v>0</v>
      </c>
      <c r="BI48" s="616">
        <f t="shared" si="45"/>
        <v>0</v>
      </c>
      <c r="BJ48" s="616">
        <f t="shared" si="46"/>
        <v>0</v>
      </c>
      <c r="BK48" s="616">
        <f t="shared" si="47"/>
        <v>0</v>
      </c>
      <c r="BL48" s="616">
        <f t="shared" si="48"/>
        <v>0</v>
      </c>
      <c r="BM48" s="616">
        <f t="shared" si="49"/>
        <v>0</v>
      </c>
      <c r="BN48" s="616">
        <f t="shared" si="50"/>
        <v>0</v>
      </c>
      <c r="BO48" s="616"/>
      <c r="BP48" s="304"/>
    </row>
    <row r="49" s="130" customFormat="1" ht="24" spans="1:68">
      <c r="A49" s="497" t="s">
        <v>226</v>
      </c>
      <c r="B49" s="497" t="s">
        <v>203</v>
      </c>
      <c r="C49" s="497" t="s">
        <v>255</v>
      </c>
      <c r="D49" s="497" t="s">
        <v>214</v>
      </c>
      <c r="E49" s="615">
        <f t="shared" si="51"/>
        <v>271.63</v>
      </c>
      <c r="F49" s="615">
        <f t="shared" si="56"/>
        <v>237.72</v>
      </c>
      <c r="G49" s="616">
        <v>84.11</v>
      </c>
      <c r="H49" s="616">
        <v>59</v>
      </c>
      <c r="I49" s="616">
        <v>7.5</v>
      </c>
      <c r="J49" s="616">
        <v>8.28</v>
      </c>
      <c r="K49" s="616">
        <v>0.53</v>
      </c>
      <c r="L49" s="616">
        <v>78.3</v>
      </c>
      <c r="M49" s="615">
        <f t="shared" si="52"/>
        <v>33.91</v>
      </c>
      <c r="N49" s="616">
        <v>8.71</v>
      </c>
      <c r="O49" s="616"/>
      <c r="P49" s="616">
        <v>13.2</v>
      </c>
      <c r="Q49" s="616">
        <v>12</v>
      </c>
      <c r="R49" s="615">
        <f t="shared" si="53"/>
        <v>-3.6483</v>
      </c>
      <c r="S49" s="615">
        <f t="shared" si="57"/>
        <v>-4.47</v>
      </c>
      <c r="T49" s="616">
        <v>-1.24</v>
      </c>
      <c r="U49" s="616">
        <v>-0.26</v>
      </c>
      <c r="V49" s="616">
        <v>-1.25</v>
      </c>
      <c r="W49" s="616">
        <v>-0.14</v>
      </c>
      <c r="X49" s="616"/>
      <c r="Y49" s="616">
        <v>-1.58</v>
      </c>
      <c r="Z49" s="615">
        <f t="shared" si="54"/>
        <v>0.8217</v>
      </c>
      <c r="AA49" s="616"/>
      <c r="AB49" s="616">
        <v>2.55</v>
      </c>
      <c r="AC49" s="616">
        <v>-1.77</v>
      </c>
      <c r="AD49" s="616">
        <v>0.0417</v>
      </c>
      <c r="AE49" s="615">
        <f t="shared" si="58"/>
        <v>267.9817</v>
      </c>
      <c r="AF49" s="615">
        <f t="shared" si="59"/>
        <v>233.25</v>
      </c>
      <c r="AG49" s="616">
        <f t="shared" si="60"/>
        <v>82.87</v>
      </c>
      <c r="AH49" s="616">
        <f t="shared" si="61"/>
        <v>58.74</v>
      </c>
      <c r="AI49" s="616">
        <f t="shared" si="62"/>
        <v>6.25</v>
      </c>
      <c r="AJ49" s="616">
        <f t="shared" si="63"/>
        <v>8.14</v>
      </c>
      <c r="AK49" s="616">
        <f t="shared" si="64"/>
        <v>0.53</v>
      </c>
      <c r="AL49" s="616">
        <f t="shared" si="65"/>
        <v>76.72</v>
      </c>
      <c r="AM49" s="615">
        <f t="shared" si="66"/>
        <v>34.7317</v>
      </c>
      <c r="AN49" s="616">
        <f t="shared" si="67"/>
        <v>8.71</v>
      </c>
      <c r="AO49" s="616">
        <f t="shared" si="68"/>
        <v>2.55</v>
      </c>
      <c r="AP49" s="616">
        <f t="shared" si="69"/>
        <v>11.43</v>
      </c>
      <c r="AQ49" s="637">
        <f t="shared" si="70"/>
        <v>12.0417</v>
      </c>
      <c r="AR49" s="638">
        <f t="shared" si="55"/>
        <v>74.97908</v>
      </c>
      <c r="AS49" s="616">
        <f t="shared" si="31"/>
        <v>36.6256</v>
      </c>
      <c r="AT49" s="616">
        <f t="shared" si="32"/>
        <v>11.4488</v>
      </c>
      <c r="AU49" s="616">
        <f t="shared" si="33"/>
        <v>8.5866</v>
      </c>
      <c r="AV49" s="616">
        <f t="shared" si="34"/>
        <v>0.28622</v>
      </c>
      <c r="AW49" s="616">
        <f t="shared" si="35"/>
        <v>0.85866</v>
      </c>
      <c r="AX49" s="616">
        <f t="shared" si="36"/>
        <v>17.1732</v>
      </c>
      <c r="AY49" s="616"/>
      <c r="AZ49" s="615">
        <f t="shared" si="37"/>
        <v>-1.0948</v>
      </c>
      <c r="BA49" s="616">
        <f t="shared" si="38"/>
        <v>-0.6928</v>
      </c>
      <c r="BB49" s="616">
        <f t="shared" si="39"/>
        <v>-0.12</v>
      </c>
      <c r="BC49" s="616">
        <f t="shared" si="40"/>
        <v>-0.09</v>
      </c>
      <c r="BD49" s="616">
        <f t="shared" si="41"/>
        <v>-0.003</v>
      </c>
      <c r="BE49" s="616">
        <f t="shared" si="42"/>
        <v>-0.009</v>
      </c>
      <c r="BF49" s="616">
        <f t="shared" si="43"/>
        <v>-0.18</v>
      </c>
      <c r="BG49" s="616"/>
      <c r="BH49" s="615">
        <f t="shared" si="44"/>
        <v>73.88428</v>
      </c>
      <c r="BI49" s="616">
        <f t="shared" si="45"/>
        <v>35.9328</v>
      </c>
      <c r="BJ49" s="616">
        <f t="shared" si="46"/>
        <v>11.3288</v>
      </c>
      <c r="BK49" s="616">
        <f t="shared" si="47"/>
        <v>8.4966</v>
      </c>
      <c r="BL49" s="616">
        <f t="shared" si="48"/>
        <v>0.28322</v>
      </c>
      <c r="BM49" s="616">
        <f t="shared" si="49"/>
        <v>0.84966</v>
      </c>
      <c r="BN49" s="616">
        <f t="shared" si="50"/>
        <v>16.9932</v>
      </c>
      <c r="BO49" s="616"/>
      <c r="BP49" s="304"/>
    </row>
    <row r="50" s="130" customFormat="1" ht="24" spans="1:68">
      <c r="A50" s="497" t="s">
        <v>226</v>
      </c>
      <c r="B50" s="497" t="s">
        <v>206</v>
      </c>
      <c r="C50" s="497" t="s">
        <v>256</v>
      </c>
      <c r="D50" s="497" t="s">
        <v>220</v>
      </c>
      <c r="E50" s="615">
        <f t="shared" si="51"/>
        <v>0</v>
      </c>
      <c r="F50" s="615">
        <f t="shared" si="56"/>
        <v>0</v>
      </c>
      <c r="G50" s="616"/>
      <c r="H50" s="616"/>
      <c r="I50" s="616"/>
      <c r="J50" s="616"/>
      <c r="K50" s="616"/>
      <c r="L50" s="616"/>
      <c r="M50" s="615">
        <f t="shared" si="52"/>
        <v>0</v>
      </c>
      <c r="N50" s="616"/>
      <c r="O50" s="616"/>
      <c r="P50" s="616"/>
      <c r="Q50" s="616"/>
      <c r="R50" s="615">
        <f t="shared" si="53"/>
        <v>0</v>
      </c>
      <c r="S50" s="615">
        <f t="shared" si="57"/>
        <v>0</v>
      </c>
      <c r="T50" s="616"/>
      <c r="U50" s="616"/>
      <c r="V50" s="616"/>
      <c r="W50" s="616"/>
      <c r="X50" s="616"/>
      <c r="Y50" s="616"/>
      <c r="Z50" s="615">
        <f t="shared" si="54"/>
        <v>0</v>
      </c>
      <c r="AA50" s="616"/>
      <c r="AB50" s="616"/>
      <c r="AC50" s="616"/>
      <c r="AD50" s="616"/>
      <c r="AE50" s="615">
        <f t="shared" si="58"/>
        <v>0</v>
      </c>
      <c r="AF50" s="615">
        <f t="shared" si="59"/>
        <v>0</v>
      </c>
      <c r="AG50" s="616">
        <f t="shared" si="60"/>
        <v>0</v>
      </c>
      <c r="AH50" s="616">
        <f t="shared" si="61"/>
        <v>0</v>
      </c>
      <c r="AI50" s="616">
        <f t="shared" si="62"/>
        <v>0</v>
      </c>
      <c r="AJ50" s="616">
        <f t="shared" si="63"/>
        <v>0</v>
      </c>
      <c r="AK50" s="616">
        <f t="shared" si="64"/>
        <v>0</v>
      </c>
      <c r="AL50" s="616">
        <f t="shared" si="65"/>
        <v>0</v>
      </c>
      <c r="AM50" s="615">
        <f t="shared" si="66"/>
        <v>0</v>
      </c>
      <c r="AN50" s="616">
        <f t="shared" si="67"/>
        <v>0</v>
      </c>
      <c r="AO50" s="616">
        <f t="shared" si="68"/>
        <v>0</v>
      </c>
      <c r="AP50" s="616">
        <f t="shared" si="69"/>
        <v>0</v>
      </c>
      <c r="AQ50" s="637">
        <f t="shared" si="70"/>
        <v>0</v>
      </c>
      <c r="AR50" s="638">
        <f t="shared" si="55"/>
        <v>0</v>
      </c>
      <c r="AS50" s="616">
        <f t="shared" si="31"/>
        <v>0</v>
      </c>
      <c r="AT50" s="616">
        <f t="shared" si="32"/>
        <v>0</v>
      </c>
      <c r="AU50" s="616">
        <f t="shared" si="33"/>
        <v>0</v>
      </c>
      <c r="AV50" s="616">
        <f t="shared" si="34"/>
        <v>0</v>
      </c>
      <c r="AW50" s="616">
        <f t="shared" si="35"/>
        <v>0</v>
      </c>
      <c r="AX50" s="616">
        <f t="shared" si="36"/>
        <v>0</v>
      </c>
      <c r="AY50" s="616"/>
      <c r="AZ50" s="615">
        <f t="shared" si="37"/>
        <v>0</v>
      </c>
      <c r="BA50" s="616">
        <f t="shared" si="38"/>
        <v>0</v>
      </c>
      <c r="BB50" s="616">
        <f t="shared" si="39"/>
        <v>0</v>
      </c>
      <c r="BC50" s="616">
        <f t="shared" si="40"/>
        <v>0</v>
      </c>
      <c r="BD50" s="616">
        <f t="shared" si="41"/>
        <v>0</v>
      </c>
      <c r="BE50" s="616">
        <f t="shared" si="42"/>
        <v>0</v>
      </c>
      <c r="BF50" s="616">
        <f t="shared" si="43"/>
        <v>0</v>
      </c>
      <c r="BG50" s="616"/>
      <c r="BH50" s="615">
        <f t="shared" si="44"/>
        <v>0</v>
      </c>
      <c r="BI50" s="616">
        <f t="shared" si="45"/>
        <v>0</v>
      </c>
      <c r="BJ50" s="616">
        <f t="shared" si="46"/>
        <v>0</v>
      </c>
      <c r="BK50" s="616">
        <f t="shared" si="47"/>
        <v>0</v>
      </c>
      <c r="BL50" s="616">
        <f t="shared" si="48"/>
        <v>0</v>
      </c>
      <c r="BM50" s="616">
        <f t="shared" si="49"/>
        <v>0</v>
      </c>
      <c r="BN50" s="616">
        <f t="shared" si="50"/>
        <v>0</v>
      </c>
      <c r="BO50" s="616"/>
      <c r="BP50" s="304"/>
    </row>
    <row r="51" s="130" customFormat="1" ht="24" spans="1:68">
      <c r="A51" s="497" t="s">
        <v>226</v>
      </c>
      <c r="B51" s="497" t="s">
        <v>203</v>
      </c>
      <c r="C51" s="497" t="s">
        <v>257</v>
      </c>
      <c r="D51" s="497" t="s">
        <v>214</v>
      </c>
      <c r="E51" s="615">
        <f t="shared" si="51"/>
        <v>232.71</v>
      </c>
      <c r="F51" s="615">
        <f t="shared" si="56"/>
        <v>198.24</v>
      </c>
      <c r="G51" s="616">
        <v>71.45</v>
      </c>
      <c r="H51" s="616">
        <v>49.09</v>
      </c>
      <c r="I51" s="616">
        <v>5.76</v>
      </c>
      <c r="J51" s="616">
        <v>7.68</v>
      </c>
      <c r="K51" s="616">
        <v>0.53</v>
      </c>
      <c r="L51" s="616">
        <v>63.73</v>
      </c>
      <c r="M51" s="615">
        <f t="shared" si="52"/>
        <v>34.47</v>
      </c>
      <c r="N51" s="616">
        <v>14.52</v>
      </c>
      <c r="O51" s="616"/>
      <c r="P51" s="616">
        <v>10.45</v>
      </c>
      <c r="Q51" s="616">
        <v>9.5</v>
      </c>
      <c r="R51" s="615">
        <f t="shared" si="53"/>
        <v>-5.85</v>
      </c>
      <c r="S51" s="615">
        <f t="shared" si="57"/>
        <v>-5.45</v>
      </c>
      <c r="T51" s="616">
        <v>-2.27</v>
      </c>
      <c r="U51" s="616">
        <v>-1.58</v>
      </c>
      <c r="V51" s="616">
        <v>-0.21</v>
      </c>
      <c r="W51" s="616">
        <v>0.26</v>
      </c>
      <c r="X51" s="616"/>
      <c r="Y51" s="616">
        <v>-1.65</v>
      </c>
      <c r="Z51" s="615">
        <f t="shared" si="54"/>
        <v>-0.4</v>
      </c>
      <c r="AA51" s="616"/>
      <c r="AB51" s="616">
        <v>1.02</v>
      </c>
      <c r="AC51" s="616">
        <v>-1.25</v>
      </c>
      <c r="AD51" s="616">
        <v>-0.17</v>
      </c>
      <c r="AE51" s="615">
        <f t="shared" si="58"/>
        <v>226.86</v>
      </c>
      <c r="AF51" s="615">
        <f t="shared" si="59"/>
        <v>192.79</v>
      </c>
      <c r="AG51" s="616">
        <f t="shared" si="60"/>
        <v>69.18</v>
      </c>
      <c r="AH51" s="616">
        <f t="shared" si="61"/>
        <v>47.51</v>
      </c>
      <c r="AI51" s="616">
        <f t="shared" si="62"/>
        <v>5.55</v>
      </c>
      <c r="AJ51" s="616">
        <f t="shared" si="63"/>
        <v>7.94</v>
      </c>
      <c r="AK51" s="616">
        <f t="shared" si="64"/>
        <v>0.53</v>
      </c>
      <c r="AL51" s="616">
        <f t="shared" si="65"/>
        <v>62.08</v>
      </c>
      <c r="AM51" s="615">
        <f t="shared" si="66"/>
        <v>34.07</v>
      </c>
      <c r="AN51" s="616">
        <f t="shared" si="67"/>
        <v>14.52</v>
      </c>
      <c r="AO51" s="616">
        <f t="shared" si="68"/>
        <v>1.02</v>
      </c>
      <c r="AP51" s="616">
        <f t="shared" si="69"/>
        <v>9.2</v>
      </c>
      <c r="AQ51" s="637">
        <f t="shared" si="70"/>
        <v>9.33</v>
      </c>
      <c r="AR51" s="638">
        <f t="shared" si="55"/>
        <v>62.70952</v>
      </c>
      <c r="AS51" s="616">
        <f t="shared" si="31"/>
        <v>30.4048</v>
      </c>
      <c r="AT51" s="616">
        <f t="shared" si="32"/>
        <v>9.6432</v>
      </c>
      <c r="AU51" s="616">
        <f t="shared" si="33"/>
        <v>7.2324</v>
      </c>
      <c r="AV51" s="616">
        <f t="shared" si="34"/>
        <v>0.24108</v>
      </c>
      <c r="AW51" s="616">
        <f t="shared" si="35"/>
        <v>0.72324</v>
      </c>
      <c r="AX51" s="616">
        <f t="shared" si="36"/>
        <v>14.4648</v>
      </c>
      <c r="AY51" s="616"/>
      <c r="AZ51" s="615">
        <f t="shared" si="37"/>
        <v>-1.9454</v>
      </c>
      <c r="BA51" s="616">
        <f t="shared" si="38"/>
        <v>-0.9136</v>
      </c>
      <c r="BB51" s="616">
        <f t="shared" si="39"/>
        <v>-0.308</v>
      </c>
      <c r="BC51" s="616">
        <f t="shared" si="40"/>
        <v>-0.231</v>
      </c>
      <c r="BD51" s="616">
        <f t="shared" si="41"/>
        <v>-0.0077</v>
      </c>
      <c r="BE51" s="616">
        <f t="shared" si="42"/>
        <v>-0.0231</v>
      </c>
      <c r="BF51" s="616">
        <f t="shared" si="43"/>
        <v>-0.462</v>
      </c>
      <c r="BG51" s="616"/>
      <c r="BH51" s="615">
        <f t="shared" si="44"/>
        <v>60.76412</v>
      </c>
      <c r="BI51" s="616">
        <f t="shared" si="45"/>
        <v>29.4912</v>
      </c>
      <c r="BJ51" s="616">
        <f t="shared" si="46"/>
        <v>9.3352</v>
      </c>
      <c r="BK51" s="616">
        <f t="shared" si="47"/>
        <v>7.0014</v>
      </c>
      <c r="BL51" s="616">
        <f t="shared" si="48"/>
        <v>0.23338</v>
      </c>
      <c r="BM51" s="616">
        <f t="shared" si="49"/>
        <v>0.70014</v>
      </c>
      <c r="BN51" s="616">
        <f t="shared" si="50"/>
        <v>14.0028</v>
      </c>
      <c r="BO51" s="616"/>
      <c r="BP51" s="304"/>
    </row>
    <row r="52" s="130" customFormat="1" ht="24" spans="1:68">
      <c r="A52" s="497" t="s">
        <v>226</v>
      </c>
      <c r="B52" s="497" t="s">
        <v>206</v>
      </c>
      <c r="C52" s="497" t="s">
        <v>258</v>
      </c>
      <c r="D52" s="497" t="s">
        <v>220</v>
      </c>
      <c r="E52" s="615">
        <f t="shared" si="51"/>
        <v>0</v>
      </c>
      <c r="F52" s="615">
        <f t="shared" si="56"/>
        <v>0</v>
      </c>
      <c r="G52" s="616"/>
      <c r="H52" s="616"/>
      <c r="I52" s="616"/>
      <c r="J52" s="616"/>
      <c r="K52" s="616"/>
      <c r="L52" s="616"/>
      <c r="M52" s="615">
        <f t="shared" si="52"/>
        <v>0</v>
      </c>
      <c r="N52" s="616"/>
      <c r="O52" s="616"/>
      <c r="P52" s="616"/>
      <c r="Q52" s="616"/>
      <c r="R52" s="615">
        <f t="shared" si="53"/>
        <v>0</v>
      </c>
      <c r="S52" s="615">
        <f t="shared" si="57"/>
        <v>0</v>
      </c>
      <c r="T52" s="616"/>
      <c r="U52" s="616"/>
      <c r="V52" s="616"/>
      <c r="W52" s="616"/>
      <c r="X52" s="616"/>
      <c r="Y52" s="616"/>
      <c r="Z52" s="615">
        <f t="shared" si="54"/>
        <v>0</v>
      </c>
      <c r="AA52" s="616"/>
      <c r="AB52" s="616"/>
      <c r="AC52" s="616"/>
      <c r="AD52" s="616"/>
      <c r="AE52" s="615">
        <f t="shared" si="58"/>
        <v>0</v>
      </c>
      <c r="AF52" s="615">
        <f t="shared" si="59"/>
        <v>0</v>
      </c>
      <c r="AG52" s="616">
        <f t="shared" si="60"/>
        <v>0</v>
      </c>
      <c r="AH52" s="616">
        <f t="shared" si="61"/>
        <v>0</v>
      </c>
      <c r="AI52" s="616">
        <f t="shared" si="62"/>
        <v>0</v>
      </c>
      <c r="AJ52" s="616">
        <f t="shared" si="63"/>
        <v>0</v>
      </c>
      <c r="AK52" s="616">
        <f t="shared" si="64"/>
        <v>0</v>
      </c>
      <c r="AL52" s="616">
        <f t="shared" si="65"/>
        <v>0</v>
      </c>
      <c r="AM52" s="615">
        <f t="shared" si="66"/>
        <v>0</v>
      </c>
      <c r="AN52" s="616">
        <f t="shared" si="67"/>
        <v>0</v>
      </c>
      <c r="AO52" s="616">
        <f t="shared" si="68"/>
        <v>0</v>
      </c>
      <c r="AP52" s="616">
        <f t="shared" si="69"/>
        <v>0</v>
      </c>
      <c r="AQ52" s="637">
        <f t="shared" si="70"/>
        <v>0</v>
      </c>
      <c r="AR52" s="638">
        <f t="shared" si="55"/>
        <v>0</v>
      </c>
      <c r="AS52" s="616">
        <f t="shared" si="31"/>
        <v>0</v>
      </c>
      <c r="AT52" s="616">
        <f t="shared" si="32"/>
        <v>0</v>
      </c>
      <c r="AU52" s="616">
        <f t="shared" si="33"/>
        <v>0</v>
      </c>
      <c r="AV52" s="616">
        <f t="shared" si="34"/>
        <v>0</v>
      </c>
      <c r="AW52" s="616">
        <f t="shared" si="35"/>
        <v>0</v>
      </c>
      <c r="AX52" s="616">
        <f t="shared" si="36"/>
        <v>0</v>
      </c>
      <c r="AY52" s="616"/>
      <c r="AZ52" s="615">
        <f t="shared" si="37"/>
        <v>0</v>
      </c>
      <c r="BA52" s="616">
        <f t="shared" si="38"/>
        <v>0</v>
      </c>
      <c r="BB52" s="616">
        <f t="shared" si="39"/>
        <v>0</v>
      </c>
      <c r="BC52" s="616">
        <f t="shared" si="40"/>
        <v>0</v>
      </c>
      <c r="BD52" s="616">
        <f t="shared" si="41"/>
        <v>0</v>
      </c>
      <c r="BE52" s="616">
        <f t="shared" si="42"/>
        <v>0</v>
      </c>
      <c r="BF52" s="616">
        <f t="shared" si="43"/>
        <v>0</v>
      </c>
      <c r="BG52" s="616"/>
      <c r="BH52" s="615">
        <f t="shared" si="44"/>
        <v>0</v>
      </c>
      <c r="BI52" s="616">
        <f t="shared" si="45"/>
        <v>0</v>
      </c>
      <c r="BJ52" s="616">
        <f t="shared" si="46"/>
        <v>0</v>
      </c>
      <c r="BK52" s="616">
        <f t="shared" si="47"/>
        <v>0</v>
      </c>
      <c r="BL52" s="616">
        <f t="shared" si="48"/>
        <v>0</v>
      </c>
      <c r="BM52" s="616">
        <f t="shared" si="49"/>
        <v>0</v>
      </c>
      <c r="BN52" s="616">
        <f t="shared" si="50"/>
        <v>0</v>
      </c>
      <c r="BO52" s="616"/>
      <c r="BP52" s="304"/>
    </row>
    <row r="53" s="130" customFormat="1" ht="24" spans="1:68">
      <c r="A53" s="497" t="s">
        <v>226</v>
      </c>
      <c r="B53" s="497" t="s">
        <v>203</v>
      </c>
      <c r="C53" s="497" t="s">
        <v>259</v>
      </c>
      <c r="D53" s="497" t="s">
        <v>214</v>
      </c>
      <c r="E53" s="615">
        <f t="shared" si="51"/>
        <v>171.2931</v>
      </c>
      <c r="F53" s="615">
        <f t="shared" si="56"/>
        <v>142.0731</v>
      </c>
      <c r="G53" s="616">
        <v>48.6468</v>
      </c>
      <c r="H53" s="616">
        <v>35.3244</v>
      </c>
      <c r="I53" s="616">
        <v>4.0539</v>
      </c>
      <c r="J53" s="616">
        <v>6.72</v>
      </c>
      <c r="K53" s="616">
        <v>0.528</v>
      </c>
      <c r="L53" s="616">
        <v>46.8</v>
      </c>
      <c r="M53" s="615">
        <f t="shared" si="52"/>
        <v>29.22</v>
      </c>
      <c r="N53" s="616">
        <v>14.52</v>
      </c>
      <c r="O53" s="616"/>
      <c r="P53" s="616">
        <v>7.7</v>
      </c>
      <c r="Q53" s="616">
        <v>7</v>
      </c>
      <c r="R53" s="615">
        <f t="shared" si="53"/>
        <v>7.5215</v>
      </c>
      <c r="S53" s="615">
        <f t="shared" si="57"/>
        <v>6.6415</v>
      </c>
      <c r="T53" s="616">
        <v>2.23</v>
      </c>
      <c r="U53" s="616">
        <v>2.24</v>
      </c>
      <c r="V53" s="616">
        <v>0.05</v>
      </c>
      <c r="W53" s="616">
        <v>-0.2</v>
      </c>
      <c r="X53" s="616"/>
      <c r="Y53" s="616">
        <v>2.3215</v>
      </c>
      <c r="Z53" s="615">
        <f t="shared" si="54"/>
        <v>0.88</v>
      </c>
      <c r="AA53" s="616"/>
      <c r="AB53" s="616">
        <v>1.7</v>
      </c>
      <c r="AC53" s="616">
        <v>-0.88</v>
      </c>
      <c r="AD53" s="616">
        <v>0.06</v>
      </c>
      <c r="AE53" s="615">
        <f t="shared" si="58"/>
        <v>178.8146</v>
      </c>
      <c r="AF53" s="615">
        <f t="shared" si="59"/>
        <v>148.7146</v>
      </c>
      <c r="AG53" s="616">
        <f t="shared" si="60"/>
        <v>50.8768</v>
      </c>
      <c r="AH53" s="616">
        <f t="shared" si="61"/>
        <v>37.5644</v>
      </c>
      <c r="AI53" s="616">
        <f t="shared" si="62"/>
        <v>4.1039</v>
      </c>
      <c r="AJ53" s="616">
        <f t="shared" si="63"/>
        <v>6.52</v>
      </c>
      <c r="AK53" s="616">
        <f t="shared" si="64"/>
        <v>0.528</v>
      </c>
      <c r="AL53" s="616">
        <f t="shared" si="65"/>
        <v>49.1215</v>
      </c>
      <c r="AM53" s="615">
        <f t="shared" si="66"/>
        <v>30.1</v>
      </c>
      <c r="AN53" s="616">
        <f t="shared" si="67"/>
        <v>14.52</v>
      </c>
      <c r="AO53" s="616">
        <f t="shared" si="68"/>
        <v>1.7</v>
      </c>
      <c r="AP53" s="616">
        <f t="shared" si="69"/>
        <v>6.82</v>
      </c>
      <c r="AQ53" s="637">
        <f t="shared" si="70"/>
        <v>7.06</v>
      </c>
      <c r="AR53" s="638">
        <f t="shared" si="55"/>
        <v>44.0762976</v>
      </c>
      <c r="AS53" s="616">
        <f t="shared" si="31"/>
        <v>21.572016</v>
      </c>
      <c r="AT53" s="616">
        <f t="shared" si="32"/>
        <v>6.717696</v>
      </c>
      <c r="AU53" s="616">
        <f t="shared" si="33"/>
        <v>5.038272</v>
      </c>
      <c r="AV53" s="616">
        <f t="shared" si="34"/>
        <v>0.1679424</v>
      </c>
      <c r="AW53" s="616">
        <f t="shared" si="35"/>
        <v>0.5038272</v>
      </c>
      <c r="AX53" s="616">
        <f t="shared" si="36"/>
        <v>10.076544</v>
      </c>
      <c r="AY53" s="616"/>
      <c r="AZ53" s="615">
        <f t="shared" si="37"/>
        <v>2.2926</v>
      </c>
      <c r="BA53" s="616">
        <f t="shared" si="38"/>
        <v>1.09464</v>
      </c>
      <c r="BB53" s="616">
        <f t="shared" si="39"/>
        <v>0.3576</v>
      </c>
      <c r="BC53" s="616">
        <f t="shared" si="40"/>
        <v>0.2682</v>
      </c>
      <c r="BD53" s="616">
        <f t="shared" si="41"/>
        <v>0.00894</v>
      </c>
      <c r="BE53" s="616">
        <f t="shared" si="42"/>
        <v>0.02682</v>
      </c>
      <c r="BF53" s="616">
        <f t="shared" si="43"/>
        <v>0.5364</v>
      </c>
      <c r="BG53" s="616"/>
      <c r="BH53" s="615">
        <f t="shared" si="44"/>
        <v>46.3688976</v>
      </c>
      <c r="BI53" s="616">
        <f t="shared" si="45"/>
        <v>22.666656</v>
      </c>
      <c r="BJ53" s="616">
        <f t="shared" si="46"/>
        <v>7.075296</v>
      </c>
      <c r="BK53" s="616">
        <f t="shared" si="47"/>
        <v>5.306472</v>
      </c>
      <c r="BL53" s="616">
        <f t="shared" si="48"/>
        <v>0.1768824</v>
      </c>
      <c r="BM53" s="616">
        <f t="shared" si="49"/>
        <v>0.5306472</v>
      </c>
      <c r="BN53" s="616">
        <f t="shared" si="50"/>
        <v>10.612944</v>
      </c>
      <c r="BO53" s="616"/>
      <c r="BP53" s="304"/>
    </row>
    <row r="54" s="130" customFormat="1" ht="24" spans="1:68">
      <c r="A54" s="497" t="s">
        <v>226</v>
      </c>
      <c r="B54" s="497" t="s">
        <v>206</v>
      </c>
      <c r="C54" s="497" t="s">
        <v>260</v>
      </c>
      <c r="D54" s="497" t="s">
        <v>220</v>
      </c>
      <c r="E54" s="615">
        <f t="shared" si="51"/>
        <v>0</v>
      </c>
      <c r="F54" s="615">
        <f t="shared" si="56"/>
        <v>0</v>
      </c>
      <c r="G54" s="616"/>
      <c r="H54" s="616"/>
      <c r="I54" s="616"/>
      <c r="J54" s="616"/>
      <c r="K54" s="616"/>
      <c r="L54" s="616"/>
      <c r="M54" s="615">
        <f t="shared" si="52"/>
        <v>0</v>
      </c>
      <c r="N54" s="616"/>
      <c r="O54" s="616"/>
      <c r="P54" s="616"/>
      <c r="Q54" s="616"/>
      <c r="R54" s="615">
        <f t="shared" si="53"/>
        <v>0</v>
      </c>
      <c r="S54" s="615">
        <f t="shared" si="57"/>
        <v>0</v>
      </c>
      <c r="T54" s="616"/>
      <c r="U54" s="616"/>
      <c r="V54" s="616"/>
      <c r="W54" s="616"/>
      <c r="X54" s="616"/>
      <c r="Y54" s="616"/>
      <c r="Z54" s="615">
        <f t="shared" si="54"/>
        <v>0</v>
      </c>
      <c r="AA54" s="616"/>
      <c r="AB54" s="616"/>
      <c r="AC54" s="616"/>
      <c r="AD54" s="616"/>
      <c r="AE54" s="615">
        <f t="shared" si="58"/>
        <v>0</v>
      </c>
      <c r="AF54" s="615">
        <f t="shared" si="59"/>
        <v>0</v>
      </c>
      <c r="AG54" s="616">
        <f t="shared" si="60"/>
        <v>0</v>
      </c>
      <c r="AH54" s="616">
        <f t="shared" si="61"/>
        <v>0</v>
      </c>
      <c r="AI54" s="616">
        <f t="shared" si="62"/>
        <v>0</v>
      </c>
      <c r="AJ54" s="616">
        <f t="shared" si="63"/>
        <v>0</v>
      </c>
      <c r="AK54" s="616">
        <f t="shared" si="64"/>
        <v>0</v>
      </c>
      <c r="AL54" s="616">
        <f t="shared" si="65"/>
        <v>0</v>
      </c>
      <c r="AM54" s="615">
        <f t="shared" si="66"/>
        <v>0</v>
      </c>
      <c r="AN54" s="616">
        <f t="shared" si="67"/>
        <v>0</v>
      </c>
      <c r="AO54" s="616">
        <f t="shared" si="68"/>
        <v>0</v>
      </c>
      <c r="AP54" s="616">
        <f t="shared" si="69"/>
        <v>0</v>
      </c>
      <c r="AQ54" s="637">
        <f t="shared" si="70"/>
        <v>0</v>
      </c>
      <c r="AR54" s="638">
        <f t="shared" si="55"/>
        <v>0</v>
      </c>
      <c r="AS54" s="616">
        <f t="shared" si="31"/>
        <v>0</v>
      </c>
      <c r="AT54" s="616">
        <f t="shared" si="32"/>
        <v>0</v>
      </c>
      <c r="AU54" s="616">
        <f t="shared" si="33"/>
        <v>0</v>
      </c>
      <c r="AV54" s="616">
        <f t="shared" si="34"/>
        <v>0</v>
      </c>
      <c r="AW54" s="616">
        <f t="shared" si="35"/>
        <v>0</v>
      </c>
      <c r="AX54" s="616">
        <f t="shared" si="36"/>
        <v>0</v>
      </c>
      <c r="AY54" s="616"/>
      <c r="AZ54" s="615">
        <f t="shared" si="37"/>
        <v>0</v>
      </c>
      <c r="BA54" s="616">
        <f t="shared" si="38"/>
        <v>0</v>
      </c>
      <c r="BB54" s="616">
        <f t="shared" si="39"/>
        <v>0</v>
      </c>
      <c r="BC54" s="616">
        <f t="shared" si="40"/>
        <v>0</v>
      </c>
      <c r="BD54" s="616">
        <f t="shared" si="41"/>
        <v>0</v>
      </c>
      <c r="BE54" s="616">
        <f t="shared" si="42"/>
        <v>0</v>
      </c>
      <c r="BF54" s="616">
        <f t="shared" si="43"/>
        <v>0</v>
      </c>
      <c r="BG54" s="616"/>
      <c r="BH54" s="615">
        <f t="shared" si="44"/>
        <v>0</v>
      </c>
      <c r="BI54" s="616">
        <f t="shared" si="45"/>
        <v>0</v>
      </c>
      <c r="BJ54" s="616">
        <f t="shared" si="46"/>
        <v>0</v>
      </c>
      <c r="BK54" s="616">
        <f t="shared" si="47"/>
        <v>0</v>
      </c>
      <c r="BL54" s="616">
        <f t="shared" si="48"/>
        <v>0</v>
      </c>
      <c r="BM54" s="616">
        <f t="shared" si="49"/>
        <v>0</v>
      </c>
      <c r="BN54" s="616">
        <f t="shared" si="50"/>
        <v>0</v>
      </c>
      <c r="BO54" s="616"/>
      <c r="BP54" s="304"/>
    </row>
    <row r="55" s="130" customFormat="1" ht="24" spans="1:68">
      <c r="A55" s="497" t="s">
        <v>261</v>
      </c>
      <c r="B55" s="497" t="s">
        <v>203</v>
      </c>
      <c r="C55" s="497" t="s">
        <v>262</v>
      </c>
      <c r="D55" s="497" t="s">
        <v>263</v>
      </c>
      <c r="E55" s="615">
        <f t="shared" si="51"/>
        <v>268.46</v>
      </c>
      <c r="F55" s="615">
        <f t="shared" si="56"/>
        <v>213.96</v>
      </c>
      <c r="G55" s="619">
        <v>91.08</v>
      </c>
      <c r="H55" s="619">
        <v>51.12</v>
      </c>
      <c r="I55" s="619">
        <v>7.59</v>
      </c>
      <c r="J55" s="616"/>
      <c r="K55" s="616"/>
      <c r="L55" s="616">
        <v>64.17</v>
      </c>
      <c r="M55" s="615">
        <f t="shared" si="52"/>
        <v>54.5</v>
      </c>
      <c r="N55" s="618">
        <v>35.6</v>
      </c>
      <c r="O55" s="616"/>
      <c r="P55" s="616">
        <v>9.9</v>
      </c>
      <c r="Q55" s="616">
        <v>9</v>
      </c>
      <c r="R55" s="615">
        <f t="shared" si="53"/>
        <v>-8.61</v>
      </c>
      <c r="S55" s="615">
        <f t="shared" si="57"/>
        <v>-11.48</v>
      </c>
      <c r="T55" s="616">
        <v>-10.17</v>
      </c>
      <c r="U55" s="616">
        <v>3.83</v>
      </c>
      <c r="V55" s="616">
        <v>-1.09</v>
      </c>
      <c r="W55" s="616"/>
      <c r="X55" s="616"/>
      <c r="Y55" s="616">
        <v>-4.05</v>
      </c>
      <c r="Z55" s="615">
        <f t="shared" si="54"/>
        <v>2.87</v>
      </c>
      <c r="AA55" s="616">
        <v>0.05</v>
      </c>
      <c r="AB55" s="616">
        <f>1.05+1.35</f>
        <v>2.4</v>
      </c>
      <c r="AC55" s="616">
        <v>0.42</v>
      </c>
      <c r="AD55" s="616"/>
      <c r="AE55" s="615">
        <f t="shared" si="58"/>
        <v>259.85</v>
      </c>
      <c r="AF55" s="615">
        <f t="shared" si="59"/>
        <v>202.48</v>
      </c>
      <c r="AG55" s="616">
        <f t="shared" si="60"/>
        <v>80.91</v>
      </c>
      <c r="AH55" s="616">
        <f t="shared" si="61"/>
        <v>54.95</v>
      </c>
      <c r="AI55" s="616">
        <f t="shared" si="62"/>
        <v>6.5</v>
      </c>
      <c r="AJ55" s="616">
        <f t="shared" si="63"/>
        <v>0</v>
      </c>
      <c r="AK55" s="616">
        <f t="shared" si="64"/>
        <v>0</v>
      </c>
      <c r="AL55" s="616">
        <f t="shared" si="65"/>
        <v>60.12</v>
      </c>
      <c r="AM55" s="615">
        <f t="shared" si="66"/>
        <v>57.37</v>
      </c>
      <c r="AN55" s="616">
        <f t="shared" si="67"/>
        <v>35.65</v>
      </c>
      <c r="AO55" s="616">
        <f t="shared" si="68"/>
        <v>2.4</v>
      </c>
      <c r="AP55" s="616">
        <f t="shared" si="69"/>
        <v>10.32</v>
      </c>
      <c r="AQ55" s="637">
        <f t="shared" si="70"/>
        <v>9</v>
      </c>
      <c r="AR55" s="638">
        <f t="shared" si="55"/>
        <v>72.3432</v>
      </c>
      <c r="AS55" s="616">
        <f t="shared" si="31"/>
        <v>34.2336</v>
      </c>
      <c r="AT55" s="616">
        <f t="shared" si="32"/>
        <v>11.376</v>
      </c>
      <c r="AU55" s="616">
        <f t="shared" si="33"/>
        <v>8.532</v>
      </c>
      <c r="AV55" s="616">
        <f t="shared" si="34"/>
        <v>0.2844</v>
      </c>
      <c r="AW55" s="616">
        <f t="shared" si="35"/>
        <v>0.8532</v>
      </c>
      <c r="AX55" s="616">
        <f t="shared" si="36"/>
        <v>17.064</v>
      </c>
      <c r="AY55" s="616"/>
      <c r="AZ55" s="615">
        <f t="shared" si="37"/>
        <v>-3.53592</v>
      </c>
      <c r="BA55" s="616">
        <f t="shared" si="38"/>
        <v>-1.8368</v>
      </c>
      <c r="BB55" s="616">
        <f t="shared" si="39"/>
        <v>-0.5072</v>
      </c>
      <c r="BC55" s="616">
        <f t="shared" si="40"/>
        <v>-0.3804</v>
      </c>
      <c r="BD55" s="616">
        <f t="shared" si="41"/>
        <v>-0.01268</v>
      </c>
      <c r="BE55" s="616">
        <f t="shared" si="42"/>
        <v>-0.03804</v>
      </c>
      <c r="BF55" s="616">
        <f t="shared" si="43"/>
        <v>-0.7608</v>
      </c>
      <c r="BG55" s="616"/>
      <c r="BH55" s="615">
        <f t="shared" si="44"/>
        <v>68.80728</v>
      </c>
      <c r="BI55" s="616">
        <f t="shared" si="45"/>
        <v>32.3968</v>
      </c>
      <c r="BJ55" s="616">
        <f t="shared" si="46"/>
        <v>10.8688</v>
      </c>
      <c r="BK55" s="616">
        <f t="shared" si="47"/>
        <v>8.1516</v>
      </c>
      <c r="BL55" s="616">
        <f t="shared" si="48"/>
        <v>0.27172</v>
      </c>
      <c r="BM55" s="616">
        <f t="shared" si="49"/>
        <v>0.81516</v>
      </c>
      <c r="BN55" s="616">
        <f t="shared" si="50"/>
        <v>16.3032</v>
      </c>
      <c r="BO55" s="616"/>
      <c r="BP55" s="304"/>
    </row>
    <row r="56" s="130" customFormat="1" ht="24" spans="1:68">
      <c r="A56" s="497" t="s">
        <v>261</v>
      </c>
      <c r="B56" s="497" t="s">
        <v>206</v>
      </c>
      <c r="C56" s="497" t="s">
        <v>264</v>
      </c>
      <c r="D56" s="497" t="s">
        <v>265</v>
      </c>
      <c r="E56" s="615">
        <f t="shared" si="51"/>
        <v>0</v>
      </c>
      <c r="F56" s="615">
        <f t="shared" si="56"/>
        <v>0</v>
      </c>
      <c r="G56" s="616"/>
      <c r="H56" s="616"/>
      <c r="I56" s="616"/>
      <c r="J56" s="616"/>
      <c r="K56" s="616"/>
      <c r="L56" s="616"/>
      <c r="M56" s="615">
        <f t="shared" si="52"/>
        <v>0</v>
      </c>
      <c r="N56" s="616"/>
      <c r="O56" s="616"/>
      <c r="P56" s="616"/>
      <c r="Q56" s="616"/>
      <c r="R56" s="615">
        <f t="shared" si="53"/>
        <v>0</v>
      </c>
      <c r="S56" s="615">
        <f t="shared" si="57"/>
        <v>0</v>
      </c>
      <c r="T56" s="619"/>
      <c r="U56" s="620"/>
      <c r="V56" s="619"/>
      <c r="W56" s="616"/>
      <c r="X56" s="616"/>
      <c r="Y56" s="616"/>
      <c r="Z56" s="615">
        <f t="shared" si="54"/>
        <v>0</v>
      </c>
      <c r="AA56" s="619"/>
      <c r="AB56" s="618"/>
      <c r="AC56" s="616"/>
      <c r="AD56" s="616"/>
      <c r="AE56" s="615">
        <f t="shared" si="58"/>
        <v>0</v>
      </c>
      <c r="AF56" s="615">
        <f t="shared" si="59"/>
        <v>0</v>
      </c>
      <c r="AG56" s="616">
        <f t="shared" si="60"/>
        <v>0</v>
      </c>
      <c r="AH56" s="616">
        <f t="shared" si="61"/>
        <v>0</v>
      </c>
      <c r="AI56" s="616">
        <f t="shared" si="62"/>
        <v>0</v>
      </c>
      <c r="AJ56" s="616">
        <f t="shared" si="63"/>
        <v>0</v>
      </c>
      <c r="AK56" s="616">
        <f t="shared" si="64"/>
        <v>0</v>
      </c>
      <c r="AL56" s="616">
        <f t="shared" si="65"/>
        <v>0</v>
      </c>
      <c r="AM56" s="615">
        <f t="shared" si="66"/>
        <v>0</v>
      </c>
      <c r="AN56" s="616">
        <f t="shared" si="67"/>
        <v>0</v>
      </c>
      <c r="AO56" s="616">
        <f t="shared" si="68"/>
        <v>0</v>
      </c>
      <c r="AP56" s="616">
        <f t="shared" si="69"/>
        <v>0</v>
      </c>
      <c r="AQ56" s="637">
        <f t="shared" si="70"/>
        <v>0</v>
      </c>
      <c r="AR56" s="638">
        <f t="shared" si="55"/>
        <v>0</v>
      </c>
      <c r="AS56" s="616">
        <f t="shared" si="31"/>
        <v>0</v>
      </c>
      <c r="AT56" s="616">
        <f t="shared" si="32"/>
        <v>0</v>
      </c>
      <c r="AU56" s="616">
        <f t="shared" si="33"/>
        <v>0</v>
      </c>
      <c r="AV56" s="616">
        <f t="shared" si="34"/>
        <v>0</v>
      </c>
      <c r="AW56" s="616">
        <f t="shared" si="35"/>
        <v>0</v>
      </c>
      <c r="AX56" s="616">
        <f t="shared" si="36"/>
        <v>0</v>
      </c>
      <c r="AY56" s="616"/>
      <c r="AZ56" s="615">
        <f t="shared" si="37"/>
        <v>0</v>
      </c>
      <c r="BA56" s="616">
        <f t="shared" si="38"/>
        <v>0</v>
      </c>
      <c r="BB56" s="616">
        <f t="shared" si="39"/>
        <v>0</v>
      </c>
      <c r="BC56" s="616">
        <f t="shared" si="40"/>
        <v>0</v>
      </c>
      <c r="BD56" s="616">
        <f t="shared" si="41"/>
        <v>0</v>
      </c>
      <c r="BE56" s="616">
        <f t="shared" si="42"/>
        <v>0</v>
      </c>
      <c r="BF56" s="616">
        <f t="shared" si="43"/>
        <v>0</v>
      </c>
      <c r="BG56" s="616"/>
      <c r="BH56" s="615">
        <f t="shared" si="44"/>
        <v>0</v>
      </c>
      <c r="BI56" s="616">
        <f t="shared" si="45"/>
        <v>0</v>
      </c>
      <c r="BJ56" s="616">
        <f t="shared" si="46"/>
        <v>0</v>
      </c>
      <c r="BK56" s="616">
        <f t="shared" si="47"/>
        <v>0</v>
      </c>
      <c r="BL56" s="616">
        <f t="shared" si="48"/>
        <v>0</v>
      </c>
      <c r="BM56" s="616">
        <f t="shared" si="49"/>
        <v>0</v>
      </c>
      <c r="BN56" s="616">
        <f t="shared" si="50"/>
        <v>0</v>
      </c>
      <c r="BO56" s="616"/>
      <c r="BP56" s="304"/>
    </row>
    <row r="57" s="130" customFormat="1" ht="24" spans="1:68">
      <c r="A57" s="497" t="s">
        <v>261</v>
      </c>
      <c r="B57" s="497" t="s">
        <v>206</v>
      </c>
      <c r="C57" s="497" t="s">
        <v>266</v>
      </c>
      <c r="D57" s="497" t="s">
        <v>265</v>
      </c>
      <c r="E57" s="615">
        <f t="shared" si="51"/>
        <v>0</v>
      </c>
      <c r="F57" s="615">
        <f t="shared" si="56"/>
        <v>0</v>
      </c>
      <c r="G57" s="616"/>
      <c r="H57" s="616"/>
      <c r="I57" s="616"/>
      <c r="J57" s="616"/>
      <c r="K57" s="616"/>
      <c r="L57" s="616"/>
      <c r="M57" s="615">
        <f t="shared" si="52"/>
        <v>0</v>
      </c>
      <c r="N57" s="616"/>
      <c r="O57" s="616"/>
      <c r="P57" s="616"/>
      <c r="Q57" s="616"/>
      <c r="R57" s="615">
        <f t="shared" si="53"/>
        <v>0</v>
      </c>
      <c r="S57" s="615">
        <f t="shared" si="57"/>
        <v>0</v>
      </c>
      <c r="T57" s="619"/>
      <c r="U57" s="619"/>
      <c r="V57" s="619"/>
      <c r="W57" s="616"/>
      <c r="X57" s="616"/>
      <c r="Y57" s="616"/>
      <c r="Z57" s="615">
        <f t="shared" si="54"/>
        <v>0</v>
      </c>
      <c r="AA57" s="619"/>
      <c r="AB57" s="618"/>
      <c r="AC57" s="616"/>
      <c r="AD57" s="616"/>
      <c r="AE57" s="615">
        <f t="shared" si="58"/>
        <v>0</v>
      </c>
      <c r="AF57" s="615">
        <f t="shared" si="59"/>
        <v>0</v>
      </c>
      <c r="AG57" s="616">
        <f t="shared" si="60"/>
        <v>0</v>
      </c>
      <c r="AH57" s="616">
        <f t="shared" si="61"/>
        <v>0</v>
      </c>
      <c r="AI57" s="616">
        <f t="shared" si="62"/>
        <v>0</v>
      </c>
      <c r="AJ57" s="616">
        <f t="shared" si="63"/>
        <v>0</v>
      </c>
      <c r="AK57" s="616">
        <f t="shared" si="64"/>
        <v>0</v>
      </c>
      <c r="AL57" s="616">
        <f t="shared" si="65"/>
        <v>0</v>
      </c>
      <c r="AM57" s="615">
        <f t="shared" si="66"/>
        <v>0</v>
      </c>
      <c r="AN57" s="616">
        <f t="shared" si="67"/>
        <v>0</v>
      </c>
      <c r="AO57" s="616">
        <f t="shared" si="68"/>
        <v>0</v>
      </c>
      <c r="AP57" s="616">
        <f t="shared" si="69"/>
        <v>0</v>
      </c>
      <c r="AQ57" s="637">
        <f t="shared" si="70"/>
        <v>0</v>
      </c>
      <c r="AR57" s="638">
        <f t="shared" si="55"/>
        <v>0</v>
      </c>
      <c r="AS57" s="616">
        <f t="shared" si="31"/>
        <v>0</v>
      </c>
      <c r="AT57" s="616">
        <f t="shared" si="32"/>
        <v>0</v>
      </c>
      <c r="AU57" s="616">
        <f t="shared" si="33"/>
        <v>0</v>
      </c>
      <c r="AV57" s="616">
        <f t="shared" si="34"/>
        <v>0</v>
      </c>
      <c r="AW57" s="616">
        <f t="shared" si="35"/>
        <v>0</v>
      </c>
      <c r="AX57" s="616">
        <f t="shared" si="36"/>
        <v>0</v>
      </c>
      <c r="AY57" s="616"/>
      <c r="AZ57" s="615">
        <f t="shared" si="37"/>
        <v>0</v>
      </c>
      <c r="BA57" s="616">
        <f t="shared" si="38"/>
        <v>0</v>
      </c>
      <c r="BB57" s="616">
        <f t="shared" si="39"/>
        <v>0</v>
      </c>
      <c r="BC57" s="616">
        <f t="shared" si="40"/>
        <v>0</v>
      </c>
      <c r="BD57" s="616">
        <f t="shared" si="41"/>
        <v>0</v>
      </c>
      <c r="BE57" s="616">
        <f t="shared" si="42"/>
        <v>0</v>
      </c>
      <c r="BF57" s="616">
        <f t="shared" si="43"/>
        <v>0</v>
      </c>
      <c r="BG57" s="616"/>
      <c r="BH57" s="615">
        <f t="shared" si="44"/>
        <v>0</v>
      </c>
      <c r="BI57" s="616">
        <f t="shared" si="45"/>
        <v>0</v>
      </c>
      <c r="BJ57" s="616">
        <f t="shared" si="46"/>
        <v>0</v>
      </c>
      <c r="BK57" s="616">
        <f t="shared" si="47"/>
        <v>0</v>
      </c>
      <c r="BL57" s="616">
        <f t="shared" si="48"/>
        <v>0</v>
      </c>
      <c r="BM57" s="616">
        <f t="shared" si="49"/>
        <v>0</v>
      </c>
      <c r="BN57" s="616">
        <f t="shared" si="50"/>
        <v>0</v>
      </c>
      <c r="BO57" s="616"/>
      <c r="BP57" s="304"/>
    </row>
    <row r="58" s="130" customFormat="1" ht="24" spans="1:68">
      <c r="A58" s="497" t="s">
        <v>202</v>
      </c>
      <c r="B58" s="497" t="s">
        <v>203</v>
      </c>
      <c r="C58" s="497" t="s">
        <v>267</v>
      </c>
      <c r="D58" s="497" t="s">
        <v>268</v>
      </c>
      <c r="E58" s="615">
        <f t="shared" si="51"/>
        <v>181.79</v>
      </c>
      <c r="F58" s="615">
        <f t="shared" si="56"/>
        <v>152.12</v>
      </c>
      <c r="G58" s="616">
        <v>45.69</v>
      </c>
      <c r="H58" s="616">
        <v>28.03</v>
      </c>
      <c r="I58" s="616">
        <v>3.81</v>
      </c>
      <c r="J58" s="616"/>
      <c r="K58" s="616"/>
      <c r="L58" s="616">
        <v>74.59</v>
      </c>
      <c r="M58" s="615">
        <f t="shared" ref="M58:M77" si="71">SUM(N58:Q58)</f>
        <v>29.67</v>
      </c>
      <c r="N58" s="616">
        <v>7.62</v>
      </c>
      <c r="O58" s="616"/>
      <c r="P58" s="616">
        <v>11.55</v>
      </c>
      <c r="Q58" s="616">
        <v>10.5</v>
      </c>
      <c r="R58" s="615">
        <f t="shared" si="53"/>
        <v>-10.68</v>
      </c>
      <c r="S58" s="615">
        <f t="shared" si="57"/>
        <v>-12.45</v>
      </c>
      <c r="T58" s="616">
        <v>-8.37</v>
      </c>
      <c r="U58" s="616"/>
      <c r="V58" s="616"/>
      <c r="W58" s="616"/>
      <c r="X58" s="616"/>
      <c r="Y58" s="616">
        <v>-4.08</v>
      </c>
      <c r="Z58" s="615">
        <f t="shared" si="54"/>
        <v>1.77</v>
      </c>
      <c r="AA58" s="616">
        <v>0.18</v>
      </c>
      <c r="AB58" s="616">
        <v>0.75</v>
      </c>
      <c r="AC58" s="616">
        <v>0.96</v>
      </c>
      <c r="AD58" s="616">
        <v>-0.12</v>
      </c>
      <c r="AE58" s="615">
        <f t="shared" si="58"/>
        <v>171.11</v>
      </c>
      <c r="AF58" s="615">
        <f t="shared" si="59"/>
        <v>139.67</v>
      </c>
      <c r="AG58" s="616">
        <f t="shared" si="60"/>
        <v>37.32</v>
      </c>
      <c r="AH58" s="616">
        <f t="shared" si="61"/>
        <v>28.03</v>
      </c>
      <c r="AI58" s="616">
        <f t="shared" si="62"/>
        <v>3.81</v>
      </c>
      <c r="AJ58" s="616">
        <f t="shared" si="63"/>
        <v>0</v>
      </c>
      <c r="AK58" s="616">
        <f t="shared" si="64"/>
        <v>0</v>
      </c>
      <c r="AL58" s="616">
        <f t="shared" si="65"/>
        <v>70.51</v>
      </c>
      <c r="AM58" s="615">
        <f t="shared" si="66"/>
        <v>31.44</v>
      </c>
      <c r="AN58" s="616">
        <f t="shared" si="67"/>
        <v>7.8</v>
      </c>
      <c r="AO58" s="616">
        <f t="shared" si="68"/>
        <v>0.75</v>
      </c>
      <c r="AP58" s="616">
        <f t="shared" si="69"/>
        <v>12.51</v>
      </c>
      <c r="AQ58" s="637">
        <f t="shared" si="70"/>
        <v>10.38</v>
      </c>
      <c r="AR58" s="638">
        <f t="shared" si="55"/>
        <v>44.09616</v>
      </c>
      <c r="AS58" s="616">
        <f t="shared" si="31"/>
        <v>24.3392</v>
      </c>
      <c r="AT58" s="616">
        <f t="shared" si="32"/>
        <v>5.8976</v>
      </c>
      <c r="AU58" s="616">
        <f t="shared" si="33"/>
        <v>4.4232</v>
      </c>
      <c r="AV58" s="616">
        <f t="shared" si="34"/>
        <v>0.14744</v>
      </c>
      <c r="AW58" s="616">
        <f t="shared" si="35"/>
        <v>0.44232</v>
      </c>
      <c r="AX58" s="616">
        <f t="shared" si="36"/>
        <v>8.8464</v>
      </c>
      <c r="AY58" s="616"/>
      <c r="AZ58" s="615">
        <f t="shared" si="37"/>
        <v>-4.23516</v>
      </c>
      <c r="BA58" s="616">
        <f t="shared" si="38"/>
        <v>-1.992</v>
      </c>
      <c r="BB58" s="616">
        <f t="shared" si="39"/>
        <v>-0.6696</v>
      </c>
      <c r="BC58" s="616">
        <f t="shared" si="40"/>
        <v>-0.5022</v>
      </c>
      <c r="BD58" s="616">
        <f t="shared" si="41"/>
        <v>-0.01674</v>
      </c>
      <c r="BE58" s="616">
        <f t="shared" si="42"/>
        <v>-0.05022</v>
      </c>
      <c r="BF58" s="616">
        <f t="shared" si="43"/>
        <v>-1.0044</v>
      </c>
      <c r="BG58" s="616"/>
      <c r="BH58" s="615">
        <f t="shared" si="44"/>
        <v>39.861</v>
      </c>
      <c r="BI58" s="616">
        <f t="shared" si="45"/>
        <v>22.3472</v>
      </c>
      <c r="BJ58" s="616">
        <f t="shared" si="46"/>
        <v>5.228</v>
      </c>
      <c r="BK58" s="616">
        <f t="shared" si="47"/>
        <v>3.921</v>
      </c>
      <c r="BL58" s="616">
        <f t="shared" si="48"/>
        <v>0.1307</v>
      </c>
      <c r="BM58" s="616">
        <f t="shared" si="49"/>
        <v>0.3921</v>
      </c>
      <c r="BN58" s="616">
        <f t="shared" si="50"/>
        <v>7.842</v>
      </c>
      <c r="BO58" s="616"/>
      <c r="BP58" s="304"/>
    </row>
    <row r="59" s="130" customFormat="1" ht="24" spans="1:68">
      <c r="A59" s="497" t="s">
        <v>202</v>
      </c>
      <c r="B59" s="497" t="s">
        <v>203</v>
      </c>
      <c r="C59" s="497" t="s">
        <v>269</v>
      </c>
      <c r="D59" s="497" t="s">
        <v>268</v>
      </c>
      <c r="E59" s="615">
        <f t="shared" si="51"/>
        <v>37.78</v>
      </c>
      <c r="F59" s="615">
        <f t="shared" si="56"/>
        <v>37.78</v>
      </c>
      <c r="G59" s="616">
        <v>22.3</v>
      </c>
      <c r="H59" s="616">
        <v>13.62</v>
      </c>
      <c r="I59" s="616">
        <v>1.86</v>
      </c>
      <c r="J59" s="616"/>
      <c r="K59" s="616"/>
      <c r="L59" s="616"/>
      <c r="M59" s="615">
        <f t="shared" si="71"/>
        <v>0</v>
      </c>
      <c r="N59" s="616"/>
      <c r="O59" s="616"/>
      <c r="P59" s="616"/>
      <c r="Q59" s="616"/>
      <c r="R59" s="615">
        <f t="shared" si="53"/>
        <v>-0.28</v>
      </c>
      <c r="S59" s="615">
        <f t="shared" si="57"/>
        <v>-0.28</v>
      </c>
      <c r="T59" s="616">
        <v>-0.28</v>
      </c>
      <c r="U59" s="616"/>
      <c r="V59" s="616"/>
      <c r="W59" s="616"/>
      <c r="X59" s="616"/>
      <c r="Y59" s="616"/>
      <c r="Z59" s="615">
        <f t="shared" si="54"/>
        <v>0</v>
      </c>
      <c r="AA59" s="616"/>
      <c r="AB59" s="616"/>
      <c r="AC59" s="616"/>
      <c r="AD59" s="616"/>
      <c r="AE59" s="615">
        <f t="shared" si="58"/>
        <v>37.5</v>
      </c>
      <c r="AF59" s="615">
        <f t="shared" si="59"/>
        <v>37.5</v>
      </c>
      <c r="AG59" s="616">
        <f t="shared" si="60"/>
        <v>22.02</v>
      </c>
      <c r="AH59" s="616">
        <f t="shared" si="61"/>
        <v>13.62</v>
      </c>
      <c r="AI59" s="616">
        <f t="shared" si="62"/>
        <v>1.86</v>
      </c>
      <c r="AJ59" s="616">
        <f t="shared" si="63"/>
        <v>0</v>
      </c>
      <c r="AK59" s="616">
        <f t="shared" si="64"/>
        <v>0</v>
      </c>
      <c r="AL59" s="616">
        <f t="shared" si="65"/>
        <v>0</v>
      </c>
      <c r="AM59" s="615">
        <f t="shared" si="66"/>
        <v>0</v>
      </c>
      <c r="AN59" s="616">
        <f t="shared" si="67"/>
        <v>0</v>
      </c>
      <c r="AO59" s="616">
        <f t="shared" si="68"/>
        <v>0</v>
      </c>
      <c r="AP59" s="616">
        <f t="shared" si="69"/>
        <v>0</v>
      </c>
      <c r="AQ59" s="637">
        <f t="shared" si="70"/>
        <v>0</v>
      </c>
      <c r="AR59" s="638">
        <f t="shared" si="55"/>
        <v>15.67136</v>
      </c>
      <c r="AS59" s="616">
        <f t="shared" si="31"/>
        <v>6.0448</v>
      </c>
      <c r="AT59" s="616">
        <f t="shared" si="32"/>
        <v>2.8736</v>
      </c>
      <c r="AU59" s="616">
        <f t="shared" si="33"/>
        <v>2.1552</v>
      </c>
      <c r="AV59" s="616">
        <f t="shared" si="34"/>
        <v>0.07184</v>
      </c>
      <c r="AW59" s="616">
        <f t="shared" si="35"/>
        <v>0.21552</v>
      </c>
      <c r="AX59" s="616">
        <f t="shared" si="36"/>
        <v>4.3104</v>
      </c>
      <c r="AY59" s="616"/>
      <c r="AZ59" s="615">
        <f t="shared" si="37"/>
        <v>-0.11984</v>
      </c>
      <c r="BA59" s="616">
        <f t="shared" si="38"/>
        <v>-0.0448</v>
      </c>
      <c r="BB59" s="616">
        <f t="shared" si="39"/>
        <v>-0.0224</v>
      </c>
      <c r="BC59" s="616">
        <f t="shared" si="40"/>
        <v>-0.0168</v>
      </c>
      <c r="BD59" s="616">
        <f t="shared" si="41"/>
        <v>-0.00056</v>
      </c>
      <c r="BE59" s="616">
        <f t="shared" si="42"/>
        <v>-0.00168</v>
      </c>
      <c r="BF59" s="616">
        <f t="shared" si="43"/>
        <v>-0.0336</v>
      </c>
      <c r="BG59" s="616"/>
      <c r="BH59" s="615">
        <f t="shared" si="44"/>
        <v>15.55152</v>
      </c>
      <c r="BI59" s="616">
        <f t="shared" si="45"/>
        <v>6</v>
      </c>
      <c r="BJ59" s="616">
        <f t="shared" si="46"/>
        <v>2.8512</v>
      </c>
      <c r="BK59" s="616">
        <f t="shared" si="47"/>
        <v>2.1384</v>
      </c>
      <c r="BL59" s="616">
        <f t="shared" si="48"/>
        <v>0.07128</v>
      </c>
      <c r="BM59" s="616">
        <f t="shared" si="49"/>
        <v>0.21384</v>
      </c>
      <c r="BN59" s="616">
        <f t="shared" si="50"/>
        <v>4.2768</v>
      </c>
      <c r="BO59" s="616"/>
      <c r="BP59" s="304"/>
    </row>
    <row r="60" s="130" customFormat="1" ht="24" spans="1:68">
      <c r="A60" s="497" t="s">
        <v>202</v>
      </c>
      <c r="B60" s="497" t="s">
        <v>203</v>
      </c>
      <c r="C60" s="497" t="s">
        <v>270</v>
      </c>
      <c r="D60" s="497" t="s">
        <v>268</v>
      </c>
      <c r="E60" s="615">
        <f t="shared" si="51"/>
        <v>44.8</v>
      </c>
      <c r="F60" s="615">
        <f t="shared" si="56"/>
        <v>44.8</v>
      </c>
      <c r="G60" s="616">
        <v>26.37</v>
      </c>
      <c r="H60" s="616">
        <v>16.23</v>
      </c>
      <c r="I60" s="616">
        <v>2.2</v>
      </c>
      <c r="J60" s="616"/>
      <c r="K60" s="616"/>
      <c r="L60" s="616"/>
      <c r="M60" s="615">
        <f t="shared" si="71"/>
        <v>0</v>
      </c>
      <c r="N60" s="616"/>
      <c r="O60" s="616"/>
      <c r="P60" s="616"/>
      <c r="Q60" s="616"/>
      <c r="R60" s="615">
        <f t="shared" si="53"/>
        <v>-5.61</v>
      </c>
      <c r="S60" s="615">
        <f t="shared" si="57"/>
        <v>-5.61</v>
      </c>
      <c r="T60" s="616">
        <v>-5.61</v>
      </c>
      <c r="U60" s="616"/>
      <c r="V60" s="616"/>
      <c r="W60" s="616"/>
      <c r="X60" s="616"/>
      <c r="Y60" s="616"/>
      <c r="Z60" s="615">
        <f t="shared" si="54"/>
        <v>0</v>
      </c>
      <c r="AA60" s="616"/>
      <c r="AB60" s="616"/>
      <c r="AC60" s="616"/>
      <c r="AD60" s="616"/>
      <c r="AE60" s="615">
        <f t="shared" si="58"/>
        <v>39.19</v>
      </c>
      <c r="AF60" s="615">
        <f t="shared" si="59"/>
        <v>39.19</v>
      </c>
      <c r="AG60" s="616">
        <f t="shared" si="60"/>
        <v>20.76</v>
      </c>
      <c r="AH60" s="616">
        <f t="shared" si="61"/>
        <v>16.23</v>
      </c>
      <c r="AI60" s="616">
        <f t="shared" si="62"/>
        <v>2.2</v>
      </c>
      <c r="AJ60" s="616">
        <f t="shared" si="63"/>
        <v>0</v>
      </c>
      <c r="AK60" s="616">
        <f t="shared" si="64"/>
        <v>0</v>
      </c>
      <c r="AL60" s="616">
        <f t="shared" si="65"/>
        <v>0</v>
      </c>
      <c r="AM60" s="615">
        <f t="shared" si="66"/>
        <v>0</v>
      </c>
      <c r="AN60" s="616">
        <f t="shared" si="67"/>
        <v>0</v>
      </c>
      <c r="AO60" s="616">
        <f t="shared" si="68"/>
        <v>0</v>
      </c>
      <c r="AP60" s="616">
        <f t="shared" si="69"/>
        <v>0</v>
      </c>
      <c r="AQ60" s="637">
        <f t="shared" si="70"/>
        <v>0</v>
      </c>
      <c r="AR60" s="638">
        <f t="shared" si="55"/>
        <v>18.5848</v>
      </c>
      <c r="AS60" s="616">
        <f t="shared" si="31"/>
        <v>7.168</v>
      </c>
      <c r="AT60" s="616">
        <f t="shared" si="32"/>
        <v>3.408</v>
      </c>
      <c r="AU60" s="616">
        <f t="shared" si="33"/>
        <v>2.556</v>
      </c>
      <c r="AV60" s="616">
        <f t="shared" si="34"/>
        <v>0.0852</v>
      </c>
      <c r="AW60" s="616">
        <f t="shared" si="35"/>
        <v>0.2556</v>
      </c>
      <c r="AX60" s="616">
        <f t="shared" si="36"/>
        <v>5.112</v>
      </c>
      <c r="AY60" s="616"/>
      <c r="AZ60" s="615">
        <f t="shared" si="37"/>
        <v>-2.40108</v>
      </c>
      <c r="BA60" s="616">
        <f t="shared" si="38"/>
        <v>-0.8976</v>
      </c>
      <c r="BB60" s="616">
        <f t="shared" si="39"/>
        <v>-0.4488</v>
      </c>
      <c r="BC60" s="616">
        <f t="shared" si="40"/>
        <v>-0.3366</v>
      </c>
      <c r="BD60" s="616">
        <f t="shared" si="41"/>
        <v>-0.01122</v>
      </c>
      <c r="BE60" s="616">
        <f t="shared" si="42"/>
        <v>-0.03366</v>
      </c>
      <c r="BF60" s="616">
        <f t="shared" si="43"/>
        <v>-0.6732</v>
      </c>
      <c r="BG60" s="616"/>
      <c r="BH60" s="615">
        <f t="shared" si="44"/>
        <v>16.18372</v>
      </c>
      <c r="BI60" s="616">
        <f t="shared" si="45"/>
        <v>6.2704</v>
      </c>
      <c r="BJ60" s="616">
        <f t="shared" si="46"/>
        <v>2.9592</v>
      </c>
      <c r="BK60" s="616">
        <f t="shared" si="47"/>
        <v>2.2194</v>
      </c>
      <c r="BL60" s="616">
        <f t="shared" si="48"/>
        <v>0.07398</v>
      </c>
      <c r="BM60" s="616">
        <f t="shared" si="49"/>
        <v>0.22194</v>
      </c>
      <c r="BN60" s="616">
        <f t="shared" si="50"/>
        <v>4.4388</v>
      </c>
      <c r="BO60" s="616"/>
      <c r="BP60" s="304"/>
    </row>
    <row r="61" s="130" customFormat="1" ht="24" spans="1:68">
      <c r="A61" s="497" t="s">
        <v>202</v>
      </c>
      <c r="B61" s="497" t="s">
        <v>203</v>
      </c>
      <c r="C61" s="497" t="s">
        <v>271</v>
      </c>
      <c r="D61" s="497" t="s">
        <v>268</v>
      </c>
      <c r="E61" s="615">
        <f t="shared" si="51"/>
        <v>7</v>
      </c>
      <c r="F61" s="615">
        <f t="shared" si="56"/>
        <v>7</v>
      </c>
      <c r="G61" s="616">
        <v>3.99</v>
      </c>
      <c r="H61" s="616">
        <v>2.68</v>
      </c>
      <c r="I61" s="616">
        <v>0.33</v>
      </c>
      <c r="J61" s="616"/>
      <c r="K61" s="616"/>
      <c r="L61" s="616"/>
      <c r="M61" s="615">
        <f t="shared" si="71"/>
        <v>0</v>
      </c>
      <c r="N61" s="616"/>
      <c r="O61" s="616"/>
      <c r="P61" s="616"/>
      <c r="Q61" s="616"/>
      <c r="R61" s="615">
        <f t="shared" si="53"/>
        <v>2.09</v>
      </c>
      <c r="S61" s="615">
        <f t="shared" si="57"/>
        <v>2.09</v>
      </c>
      <c r="T61" s="616">
        <v>2.09</v>
      </c>
      <c r="U61" s="616"/>
      <c r="V61" s="616"/>
      <c r="W61" s="616"/>
      <c r="X61" s="616"/>
      <c r="Y61" s="616"/>
      <c r="Z61" s="615">
        <f t="shared" si="54"/>
        <v>0</v>
      </c>
      <c r="AA61" s="616"/>
      <c r="AB61" s="616"/>
      <c r="AC61" s="616"/>
      <c r="AD61" s="616"/>
      <c r="AE61" s="615">
        <f t="shared" si="58"/>
        <v>9.09</v>
      </c>
      <c r="AF61" s="615">
        <f t="shared" si="59"/>
        <v>9.09</v>
      </c>
      <c r="AG61" s="616">
        <f t="shared" si="60"/>
        <v>6.08</v>
      </c>
      <c r="AH61" s="616">
        <f t="shared" si="61"/>
        <v>2.68</v>
      </c>
      <c r="AI61" s="616">
        <f t="shared" si="62"/>
        <v>0.33</v>
      </c>
      <c r="AJ61" s="616">
        <f t="shared" si="63"/>
        <v>0</v>
      </c>
      <c r="AK61" s="616">
        <f t="shared" si="64"/>
        <v>0</v>
      </c>
      <c r="AL61" s="616">
        <f t="shared" si="65"/>
        <v>0</v>
      </c>
      <c r="AM61" s="615">
        <f t="shared" si="66"/>
        <v>0</v>
      </c>
      <c r="AN61" s="616">
        <f t="shared" si="67"/>
        <v>0</v>
      </c>
      <c r="AO61" s="616">
        <f t="shared" si="68"/>
        <v>0</v>
      </c>
      <c r="AP61" s="616">
        <f t="shared" si="69"/>
        <v>0</v>
      </c>
      <c r="AQ61" s="637">
        <f t="shared" si="70"/>
        <v>0</v>
      </c>
      <c r="AR61" s="638">
        <f t="shared" si="55"/>
        <v>2.90756</v>
      </c>
      <c r="AS61" s="616">
        <f t="shared" si="31"/>
        <v>1.12</v>
      </c>
      <c r="AT61" s="616">
        <f t="shared" si="32"/>
        <v>0.5336</v>
      </c>
      <c r="AU61" s="616">
        <f t="shared" si="33"/>
        <v>0.4002</v>
      </c>
      <c r="AV61" s="616">
        <f t="shared" si="34"/>
        <v>0.01334</v>
      </c>
      <c r="AW61" s="616">
        <f t="shared" si="35"/>
        <v>0.04002</v>
      </c>
      <c r="AX61" s="616">
        <f t="shared" si="36"/>
        <v>0.8004</v>
      </c>
      <c r="AY61" s="616"/>
      <c r="AZ61" s="615">
        <f t="shared" si="37"/>
        <v>0.89452</v>
      </c>
      <c r="BA61" s="616">
        <f t="shared" si="38"/>
        <v>0.3344</v>
      </c>
      <c r="BB61" s="616">
        <f t="shared" si="39"/>
        <v>0.1672</v>
      </c>
      <c r="BC61" s="616">
        <f t="shared" si="40"/>
        <v>0.1254</v>
      </c>
      <c r="BD61" s="616">
        <f t="shared" si="41"/>
        <v>0.00418</v>
      </c>
      <c r="BE61" s="616">
        <f t="shared" si="42"/>
        <v>0.01254</v>
      </c>
      <c r="BF61" s="616">
        <f t="shared" si="43"/>
        <v>0.2508</v>
      </c>
      <c r="BG61" s="616"/>
      <c r="BH61" s="615">
        <f t="shared" si="44"/>
        <v>3.80208</v>
      </c>
      <c r="BI61" s="616">
        <f t="shared" si="45"/>
        <v>1.4544</v>
      </c>
      <c r="BJ61" s="616">
        <f t="shared" si="46"/>
        <v>0.7008</v>
      </c>
      <c r="BK61" s="616">
        <f t="shared" si="47"/>
        <v>0.5256</v>
      </c>
      <c r="BL61" s="616">
        <f t="shared" si="48"/>
        <v>0.01752</v>
      </c>
      <c r="BM61" s="616">
        <f t="shared" si="49"/>
        <v>0.05256</v>
      </c>
      <c r="BN61" s="616">
        <f t="shared" si="50"/>
        <v>1.0512</v>
      </c>
      <c r="BO61" s="616"/>
      <c r="BP61" s="304"/>
    </row>
    <row r="62" s="130" customFormat="1" ht="24" spans="1:68">
      <c r="A62" s="497" t="s">
        <v>202</v>
      </c>
      <c r="B62" s="497" t="s">
        <v>206</v>
      </c>
      <c r="C62" s="497" t="s">
        <v>272</v>
      </c>
      <c r="D62" s="497" t="s">
        <v>273</v>
      </c>
      <c r="E62" s="615">
        <f t="shared" si="51"/>
        <v>0</v>
      </c>
      <c r="F62" s="615">
        <f t="shared" si="56"/>
        <v>0</v>
      </c>
      <c r="G62" s="616"/>
      <c r="H62" s="616"/>
      <c r="I62" s="616"/>
      <c r="J62" s="616"/>
      <c r="K62" s="616"/>
      <c r="L62" s="616"/>
      <c r="M62" s="615">
        <f t="shared" si="71"/>
        <v>0</v>
      </c>
      <c r="N62" s="616"/>
      <c r="O62" s="616"/>
      <c r="P62" s="616"/>
      <c r="Q62" s="616"/>
      <c r="R62" s="615">
        <f t="shared" si="53"/>
        <v>0</v>
      </c>
      <c r="S62" s="615">
        <f t="shared" si="57"/>
        <v>0</v>
      </c>
      <c r="T62" s="616"/>
      <c r="U62" s="616"/>
      <c r="V62" s="616"/>
      <c r="W62" s="616"/>
      <c r="X62" s="616"/>
      <c r="Y62" s="616"/>
      <c r="Z62" s="615">
        <f t="shared" si="54"/>
        <v>0</v>
      </c>
      <c r="AA62" s="616"/>
      <c r="AB62" s="616"/>
      <c r="AC62" s="616"/>
      <c r="AD62" s="616"/>
      <c r="AE62" s="615">
        <f t="shared" si="58"/>
        <v>0</v>
      </c>
      <c r="AF62" s="615">
        <f t="shared" si="59"/>
        <v>0</v>
      </c>
      <c r="AG62" s="616">
        <f t="shared" si="60"/>
        <v>0</v>
      </c>
      <c r="AH62" s="616">
        <f t="shared" si="61"/>
        <v>0</v>
      </c>
      <c r="AI62" s="616">
        <f t="shared" si="62"/>
        <v>0</v>
      </c>
      <c r="AJ62" s="616">
        <f t="shared" si="63"/>
        <v>0</v>
      </c>
      <c r="AK62" s="616">
        <f t="shared" si="64"/>
        <v>0</v>
      </c>
      <c r="AL62" s="616">
        <f t="shared" si="65"/>
        <v>0</v>
      </c>
      <c r="AM62" s="615">
        <f t="shared" si="66"/>
        <v>0</v>
      </c>
      <c r="AN62" s="616">
        <f t="shared" si="67"/>
        <v>0</v>
      </c>
      <c r="AO62" s="616">
        <f t="shared" si="68"/>
        <v>0</v>
      </c>
      <c r="AP62" s="616">
        <f t="shared" si="69"/>
        <v>0</v>
      </c>
      <c r="AQ62" s="637">
        <f t="shared" si="70"/>
        <v>0</v>
      </c>
      <c r="AR62" s="638">
        <f t="shared" si="55"/>
        <v>0</v>
      </c>
      <c r="AS62" s="616">
        <f t="shared" si="31"/>
        <v>0</v>
      </c>
      <c r="AT62" s="616">
        <f t="shared" si="32"/>
        <v>0</v>
      </c>
      <c r="AU62" s="616">
        <f t="shared" si="33"/>
        <v>0</v>
      </c>
      <c r="AV62" s="616">
        <f t="shared" si="34"/>
        <v>0</v>
      </c>
      <c r="AW62" s="616">
        <f t="shared" si="35"/>
        <v>0</v>
      </c>
      <c r="AX62" s="616">
        <f t="shared" si="36"/>
        <v>0</v>
      </c>
      <c r="AY62" s="616"/>
      <c r="AZ62" s="615">
        <f t="shared" si="37"/>
        <v>0</v>
      </c>
      <c r="BA62" s="616">
        <f t="shared" si="38"/>
        <v>0</v>
      </c>
      <c r="BB62" s="616">
        <f t="shared" si="39"/>
        <v>0</v>
      </c>
      <c r="BC62" s="616">
        <f t="shared" si="40"/>
        <v>0</v>
      </c>
      <c r="BD62" s="616">
        <f t="shared" si="41"/>
        <v>0</v>
      </c>
      <c r="BE62" s="616">
        <f t="shared" si="42"/>
        <v>0</v>
      </c>
      <c r="BF62" s="616">
        <f t="shared" si="43"/>
        <v>0</v>
      </c>
      <c r="BG62" s="616"/>
      <c r="BH62" s="615">
        <f t="shared" si="44"/>
        <v>0</v>
      </c>
      <c r="BI62" s="616">
        <f t="shared" si="45"/>
        <v>0</v>
      </c>
      <c r="BJ62" s="616">
        <f t="shared" si="46"/>
        <v>0</v>
      </c>
      <c r="BK62" s="616">
        <f t="shared" si="47"/>
        <v>0</v>
      </c>
      <c r="BL62" s="616">
        <f t="shared" si="48"/>
        <v>0</v>
      </c>
      <c r="BM62" s="616">
        <f t="shared" si="49"/>
        <v>0</v>
      </c>
      <c r="BN62" s="616">
        <f t="shared" si="50"/>
        <v>0</v>
      </c>
      <c r="BO62" s="616"/>
      <c r="BP62" s="304"/>
    </row>
    <row r="63" s="130" customFormat="1" ht="24" spans="1:68">
      <c r="A63" s="497" t="s">
        <v>226</v>
      </c>
      <c r="B63" s="497" t="s">
        <v>203</v>
      </c>
      <c r="C63" s="497" t="s">
        <v>274</v>
      </c>
      <c r="D63" s="497" t="s">
        <v>275</v>
      </c>
      <c r="E63" s="615">
        <f t="shared" si="51"/>
        <v>273.38</v>
      </c>
      <c r="F63" s="615">
        <f t="shared" si="56"/>
        <v>241.15</v>
      </c>
      <c r="G63" s="616">
        <v>101.6</v>
      </c>
      <c r="H63" s="616">
        <v>59</v>
      </c>
      <c r="I63" s="616">
        <v>8.46</v>
      </c>
      <c r="J63" s="616"/>
      <c r="K63" s="616"/>
      <c r="L63" s="616">
        <v>72.09</v>
      </c>
      <c r="M63" s="615">
        <f t="shared" si="71"/>
        <v>32.23</v>
      </c>
      <c r="N63" s="616">
        <v>10.18</v>
      </c>
      <c r="O63" s="616"/>
      <c r="P63" s="616">
        <v>11.55</v>
      </c>
      <c r="Q63" s="616">
        <v>10.5</v>
      </c>
      <c r="R63" s="615">
        <f t="shared" si="53"/>
        <v>-26.77</v>
      </c>
      <c r="S63" s="615">
        <f t="shared" si="57"/>
        <v>-28.06</v>
      </c>
      <c r="T63" s="616">
        <v>-12.26</v>
      </c>
      <c r="U63" s="616">
        <v>-7.01</v>
      </c>
      <c r="V63" s="616">
        <v>-0.68</v>
      </c>
      <c r="W63" s="616"/>
      <c r="X63" s="616"/>
      <c r="Y63" s="616">
        <v>-8.11</v>
      </c>
      <c r="Z63" s="615">
        <f t="shared" si="54"/>
        <v>1.29</v>
      </c>
      <c r="AA63" s="616"/>
      <c r="AB63" s="616">
        <v>1.05</v>
      </c>
      <c r="AC63" s="616">
        <v>0.24</v>
      </c>
      <c r="AD63" s="616"/>
      <c r="AE63" s="615">
        <f t="shared" si="58"/>
        <v>246.61</v>
      </c>
      <c r="AF63" s="615">
        <f t="shared" si="59"/>
        <v>213.09</v>
      </c>
      <c r="AG63" s="616">
        <f t="shared" si="60"/>
        <v>89.34</v>
      </c>
      <c r="AH63" s="616">
        <f t="shared" si="61"/>
        <v>51.99</v>
      </c>
      <c r="AI63" s="616">
        <f t="shared" si="62"/>
        <v>7.78</v>
      </c>
      <c r="AJ63" s="616">
        <f t="shared" si="63"/>
        <v>0</v>
      </c>
      <c r="AK63" s="616">
        <f t="shared" si="64"/>
        <v>0</v>
      </c>
      <c r="AL63" s="616">
        <f t="shared" si="65"/>
        <v>63.98</v>
      </c>
      <c r="AM63" s="615">
        <f t="shared" si="66"/>
        <v>33.52</v>
      </c>
      <c r="AN63" s="616">
        <f t="shared" si="67"/>
        <v>10.18</v>
      </c>
      <c r="AO63" s="616">
        <f t="shared" si="68"/>
        <v>1.05</v>
      </c>
      <c r="AP63" s="616">
        <f t="shared" si="69"/>
        <v>11.79</v>
      </c>
      <c r="AQ63" s="637">
        <f t="shared" si="70"/>
        <v>10.5</v>
      </c>
      <c r="AR63" s="638">
        <f t="shared" si="55"/>
        <v>81.6248</v>
      </c>
      <c r="AS63" s="616">
        <f t="shared" si="31"/>
        <v>38.584</v>
      </c>
      <c r="AT63" s="616">
        <f t="shared" si="32"/>
        <v>12.848</v>
      </c>
      <c r="AU63" s="616">
        <f t="shared" si="33"/>
        <v>9.636</v>
      </c>
      <c r="AV63" s="616">
        <f t="shared" si="34"/>
        <v>0.3212</v>
      </c>
      <c r="AW63" s="616">
        <f t="shared" si="35"/>
        <v>0.9636</v>
      </c>
      <c r="AX63" s="616">
        <f t="shared" si="36"/>
        <v>19.272</v>
      </c>
      <c r="AY63" s="616"/>
      <c r="AZ63" s="615">
        <f t="shared" si="37"/>
        <v>-9.65396</v>
      </c>
      <c r="BA63" s="616">
        <f t="shared" si="38"/>
        <v>-4.4896</v>
      </c>
      <c r="BB63" s="616">
        <f t="shared" si="39"/>
        <v>-1.5416</v>
      </c>
      <c r="BC63" s="616">
        <f t="shared" si="40"/>
        <v>-1.1562</v>
      </c>
      <c r="BD63" s="616">
        <f t="shared" si="41"/>
        <v>-0.03854</v>
      </c>
      <c r="BE63" s="616">
        <f t="shared" si="42"/>
        <v>-0.11562</v>
      </c>
      <c r="BF63" s="616">
        <f t="shared" si="43"/>
        <v>-2.3124</v>
      </c>
      <c r="BG63" s="616"/>
      <c r="BH63" s="615">
        <f t="shared" si="44"/>
        <v>71.97084</v>
      </c>
      <c r="BI63" s="616">
        <f t="shared" si="45"/>
        <v>34.0944</v>
      </c>
      <c r="BJ63" s="616">
        <f t="shared" si="46"/>
        <v>11.3064</v>
      </c>
      <c r="BK63" s="616">
        <f t="shared" si="47"/>
        <v>8.4798</v>
      </c>
      <c r="BL63" s="616">
        <f t="shared" si="48"/>
        <v>0.28266</v>
      </c>
      <c r="BM63" s="616">
        <f t="shared" si="49"/>
        <v>0.84798</v>
      </c>
      <c r="BN63" s="616">
        <f t="shared" si="50"/>
        <v>16.9596</v>
      </c>
      <c r="BO63" s="616"/>
      <c r="BP63" s="304"/>
    </row>
    <row r="64" s="130" customFormat="1" ht="28" customHeight="1" spans="1:68">
      <c r="A64" s="497" t="s">
        <v>226</v>
      </c>
      <c r="B64" s="497" t="s">
        <v>206</v>
      </c>
      <c r="C64" s="497" t="s">
        <v>276</v>
      </c>
      <c r="D64" s="497" t="s">
        <v>277</v>
      </c>
      <c r="E64" s="615">
        <f t="shared" si="51"/>
        <v>0</v>
      </c>
      <c r="F64" s="615">
        <f t="shared" si="56"/>
        <v>0</v>
      </c>
      <c r="G64" s="616"/>
      <c r="H64" s="616"/>
      <c r="I64" s="616"/>
      <c r="J64" s="616"/>
      <c r="K64" s="616"/>
      <c r="L64" s="616"/>
      <c r="M64" s="615">
        <f t="shared" si="71"/>
        <v>0</v>
      </c>
      <c r="N64" s="616"/>
      <c r="O64" s="616"/>
      <c r="P64" s="616"/>
      <c r="Q64" s="616"/>
      <c r="R64" s="615">
        <f t="shared" si="53"/>
        <v>0</v>
      </c>
      <c r="S64" s="615">
        <f t="shared" si="57"/>
        <v>0</v>
      </c>
      <c r="T64" s="616"/>
      <c r="U64" s="616"/>
      <c r="V64" s="616"/>
      <c r="W64" s="616"/>
      <c r="X64" s="616"/>
      <c r="Y64" s="616"/>
      <c r="Z64" s="615">
        <f t="shared" si="54"/>
        <v>0</v>
      </c>
      <c r="AA64" s="616"/>
      <c r="AB64" s="616"/>
      <c r="AC64" s="616"/>
      <c r="AD64" s="616"/>
      <c r="AE64" s="615">
        <f t="shared" si="58"/>
        <v>0</v>
      </c>
      <c r="AF64" s="615">
        <f t="shared" si="59"/>
        <v>0</v>
      </c>
      <c r="AG64" s="616">
        <f t="shared" si="60"/>
        <v>0</v>
      </c>
      <c r="AH64" s="616">
        <f t="shared" si="61"/>
        <v>0</v>
      </c>
      <c r="AI64" s="616">
        <f t="shared" si="62"/>
        <v>0</v>
      </c>
      <c r="AJ64" s="616">
        <f t="shared" si="63"/>
        <v>0</v>
      </c>
      <c r="AK64" s="616">
        <f t="shared" si="64"/>
        <v>0</v>
      </c>
      <c r="AL64" s="616">
        <f t="shared" si="65"/>
        <v>0</v>
      </c>
      <c r="AM64" s="615">
        <f t="shared" si="66"/>
        <v>0</v>
      </c>
      <c r="AN64" s="616">
        <f t="shared" si="67"/>
        <v>0</v>
      </c>
      <c r="AO64" s="616">
        <f t="shared" si="68"/>
        <v>0</v>
      </c>
      <c r="AP64" s="616">
        <f t="shared" si="69"/>
        <v>0</v>
      </c>
      <c r="AQ64" s="637">
        <f t="shared" si="70"/>
        <v>0</v>
      </c>
      <c r="AR64" s="638">
        <f t="shared" si="55"/>
        <v>0</v>
      </c>
      <c r="AS64" s="616">
        <f t="shared" si="31"/>
        <v>0</v>
      </c>
      <c r="AT64" s="616">
        <f t="shared" si="32"/>
        <v>0</v>
      </c>
      <c r="AU64" s="616">
        <f t="shared" si="33"/>
        <v>0</v>
      </c>
      <c r="AV64" s="616">
        <f t="shared" si="34"/>
        <v>0</v>
      </c>
      <c r="AW64" s="616">
        <f t="shared" si="35"/>
        <v>0</v>
      </c>
      <c r="AX64" s="616">
        <f t="shared" si="36"/>
        <v>0</v>
      </c>
      <c r="AY64" s="616"/>
      <c r="AZ64" s="615">
        <f t="shared" si="37"/>
        <v>0</v>
      </c>
      <c r="BA64" s="616">
        <f t="shared" si="38"/>
        <v>0</v>
      </c>
      <c r="BB64" s="616">
        <f t="shared" si="39"/>
        <v>0</v>
      </c>
      <c r="BC64" s="616">
        <f t="shared" si="40"/>
        <v>0</v>
      </c>
      <c r="BD64" s="616">
        <f t="shared" si="41"/>
        <v>0</v>
      </c>
      <c r="BE64" s="616">
        <f t="shared" si="42"/>
        <v>0</v>
      </c>
      <c r="BF64" s="616">
        <f t="shared" si="43"/>
        <v>0</v>
      </c>
      <c r="BG64" s="616"/>
      <c r="BH64" s="615">
        <f t="shared" si="44"/>
        <v>0</v>
      </c>
      <c r="BI64" s="616">
        <f t="shared" si="45"/>
        <v>0</v>
      </c>
      <c r="BJ64" s="616">
        <f t="shared" si="46"/>
        <v>0</v>
      </c>
      <c r="BK64" s="616">
        <f t="shared" si="47"/>
        <v>0</v>
      </c>
      <c r="BL64" s="616">
        <f t="shared" si="48"/>
        <v>0</v>
      </c>
      <c r="BM64" s="616">
        <f t="shared" si="49"/>
        <v>0</v>
      </c>
      <c r="BN64" s="616">
        <f t="shared" si="50"/>
        <v>0</v>
      </c>
      <c r="BO64" s="616"/>
      <c r="BP64" s="304"/>
    </row>
    <row r="65" s="130" customFormat="1" ht="24" spans="1:68">
      <c r="A65" s="497" t="s">
        <v>226</v>
      </c>
      <c r="B65" s="497" t="s">
        <v>206</v>
      </c>
      <c r="C65" s="497" t="s">
        <v>278</v>
      </c>
      <c r="D65" s="497" t="s">
        <v>279</v>
      </c>
      <c r="E65" s="615">
        <f t="shared" si="51"/>
        <v>0</v>
      </c>
      <c r="F65" s="615">
        <f t="shared" si="56"/>
        <v>0</v>
      </c>
      <c r="G65" s="616"/>
      <c r="H65" s="616"/>
      <c r="I65" s="616"/>
      <c r="J65" s="616"/>
      <c r="K65" s="616"/>
      <c r="L65" s="616"/>
      <c r="M65" s="615">
        <f t="shared" si="71"/>
        <v>0</v>
      </c>
      <c r="N65" s="616"/>
      <c r="O65" s="616"/>
      <c r="P65" s="616"/>
      <c r="Q65" s="616"/>
      <c r="R65" s="615">
        <f t="shared" si="53"/>
        <v>0</v>
      </c>
      <c r="S65" s="615">
        <f t="shared" si="57"/>
        <v>0</v>
      </c>
      <c r="T65" s="616"/>
      <c r="U65" s="616"/>
      <c r="V65" s="616"/>
      <c r="W65" s="616"/>
      <c r="X65" s="616"/>
      <c r="Y65" s="616"/>
      <c r="Z65" s="615">
        <f t="shared" si="54"/>
        <v>0</v>
      </c>
      <c r="AA65" s="616"/>
      <c r="AB65" s="616"/>
      <c r="AC65" s="616"/>
      <c r="AD65" s="616"/>
      <c r="AE65" s="615">
        <f t="shared" si="58"/>
        <v>0</v>
      </c>
      <c r="AF65" s="615">
        <f t="shared" si="59"/>
        <v>0</v>
      </c>
      <c r="AG65" s="616">
        <f t="shared" si="60"/>
        <v>0</v>
      </c>
      <c r="AH65" s="616">
        <f t="shared" si="61"/>
        <v>0</v>
      </c>
      <c r="AI65" s="616">
        <f t="shared" si="62"/>
        <v>0</v>
      </c>
      <c r="AJ65" s="616">
        <f t="shared" si="63"/>
        <v>0</v>
      </c>
      <c r="AK65" s="616">
        <f t="shared" si="64"/>
        <v>0</v>
      </c>
      <c r="AL65" s="616">
        <f t="shared" si="65"/>
        <v>0</v>
      </c>
      <c r="AM65" s="615">
        <f t="shared" si="66"/>
        <v>0</v>
      </c>
      <c r="AN65" s="616">
        <f t="shared" si="67"/>
        <v>0</v>
      </c>
      <c r="AO65" s="616">
        <f t="shared" si="68"/>
        <v>0</v>
      </c>
      <c r="AP65" s="616">
        <f t="shared" si="69"/>
        <v>0</v>
      </c>
      <c r="AQ65" s="637">
        <f t="shared" si="70"/>
        <v>0</v>
      </c>
      <c r="AR65" s="638">
        <f t="shared" si="55"/>
        <v>0</v>
      </c>
      <c r="AS65" s="616">
        <f t="shared" si="31"/>
        <v>0</v>
      </c>
      <c r="AT65" s="616">
        <f t="shared" si="32"/>
        <v>0</v>
      </c>
      <c r="AU65" s="616">
        <f t="shared" si="33"/>
        <v>0</v>
      </c>
      <c r="AV65" s="616">
        <f t="shared" si="34"/>
        <v>0</v>
      </c>
      <c r="AW65" s="616">
        <f t="shared" si="35"/>
        <v>0</v>
      </c>
      <c r="AX65" s="616">
        <f t="shared" si="36"/>
        <v>0</v>
      </c>
      <c r="AY65" s="616"/>
      <c r="AZ65" s="615">
        <f t="shared" si="37"/>
        <v>0</v>
      </c>
      <c r="BA65" s="616">
        <f t="shared" si="38"/>
        <v>0</v>
      </c>
      <c r="BB65" s="616">
        <f t="shared" si="39"/>
        <v>0</v>
      </c>
      <c r="BC65" s="616">
        <f t="shared" si="40"/>
        <v>0</v>
      </c>
      <c r="BD65" s="616">
        <f t="shared" si="41"/>
        <v>0</v>
      </c>
      <c r="BE65" s="616">
        <f t="shared" si="42"/>
        <v>0</v>
      </c>
      <c r="BF65" s="616">
        <f t="shared" si="43"/>
        <v>0</v>
      </c>
      <c r="BG65" s="616"/>
      <c r="BH65" s="615">
        <f t="shared" si="44"/>
        <v>0</v>
      </c>
      <c r="BI65" s="616">
        <f t="shared" si="45"/>
        <v>0</v>
      </c>
      <c r="BJ65" s="616">
        <f t="shared" si="46"/>
        <v>0</v>
      </c>
      <c r="BK65" s="616">
        <f t="shared" si="47"/>
        <v>0</v>
      </c>
      <c r="BL65" s="616">
        <f t="shared" si="48"/>
        <v>0</v>
      </c>
      <c r="BM65" s="616">
        <f t="shared" si="49"/>
        <v>0</v>
      </c>
      <c r="BN65" s="616">
        <f t="shared" si="50"/>
        <v>0</v>
      </c>
      <c r="BO65" s="616"/>
      <c r="BP65" s="304"/>
    </row>
    <row r="66" s="130" customFormat="1" ht="24" spans="1:68">
      <c r="A66" s="497" t="s">
        <v>226</v>
      </c>
      <c r="B66" s="497" t="s">
        <v>206</v>
      </c>
      <c r="C66" s="497" t="s">
        <v>280</v>
      </c>
      <c r="D66" s="497" t="s">
        <v>279</v>
      </c>
      <c r="E66" s="615">
        <f t="shared" si="51"/>
        <v>0</v>
      </c>
      <c r="F66" s="615">
        <f t="shared" si="56"/>
        <v>0</v>
      </c>
      <c r="G66" s="616"/>
      <c r="H66" s="616"/>
      <c r="I66" s="616"/>
      <c r="J66" s="616"/>
      <c r="K66" s="616"/>
      <c r="L66" s="616"/>
      <c r="M66" s="615">
        <f t="shared" si="71"/>
        <v>0</v>
      </c>
      <c r="N66" s="616"/>
      <c r="O66" s="616"/>
      <c r="P66" s="616"/>
      <c r="Q66" s="616"/>
      <c r="R66" s="615">
        <f t="shared" si="53"/>
        <v>0</v>
      </c>
      <c r="S66" s="615">
        <f t="shared" si="57"/>
        <v>0</v>
      </c>
      <c r="T66" s="616"/>
      <c r="U66" s="616"/>
      <c r="V66" s="616"/>
      <c r="W66" s="616"/>
      <c r="X66" s="616"/>
      <c r="Y66" s="616"/>
      <c r="Z66" s="615">
        <f t="shared" si="54"/>
        <v>0</v>
      </c>
      <c r="AA66" s="616"/>
      <c r="AB66" s="616"/>
      <c r="AC66" s="616"/>
      <c r="AD66" s="616"/>
      <c r="AE66" s="615">
        <f t="shared" si="58"/>
        <v>0</v>
      </c>
      <c r="AF66" s="615">
        <f t="shared" si="59"/>
        <v>0</v>
      </c>
      <c r="AG66" s="616">
        <f t="shared" si="60"/>
        <v>0</v>
      </c>
      <c r="AH66" s="616">
        <f t="shared" si="61"/>
        <v>0</v>
      </c>
      <c r="AI66" s="616">
        <f t="shared" si="62"/>
        <v>0</v>
      </c>
      <c r="AJ66" s="616">
        <f t="shared" si="63"/>
        <v>0</v>
      </c>
      <c r="AK66" s="616">
        <f t="shared" si="64"/>
        <v>0</v>
      </c>
      <c r="AL66" s="616">
        <f t="shared" si="65"/>
        <v>0</v>
      </c>
      <c r="AM66" s="615">
        <f t="shared" si="66"/>
        <v>0</v>
      </c>
      <c r="AN66" s="616">
        <f t="shared" si="67"/>
        <v>0</v>
      </c>
      <c r="AO66" s="616">
        <f t="shared" si="68"/>
        <v>0</v>
      </c>
      <c r="AP66" s="616">
        <f t="shared" si="69"/>
        <v>0</v>
      </c>
      <c r="AQ66" s="637">
        <f t="shared" si="70"/>
        <v>0</v>
      </c>
      <c r="AR66" s="638">
        <f t="shared" si="55"/>
        <v>0</v>
      </c>
      <c r="AS66" s="616">
        <f t="shared" si="31"/>
        <v>0</v>
      </c>
      <c r="AT66" s="616">
        <f t="shared" si="32"/>
        <v>0</v>
      </c>
      <c r="AU66" s="616">
        <f t="shared" si="33"/>
        <v>0</v>
      </c>
      <c r="AV66" s="616">
        <f t="shared" si="34"/>
        <v>0</v>
      </c>
      <c r="AW66" s="616">
        <f t="shared" si="35"/>
        <v>0</v>
      </c>
      <c r="AX66" s="616">
        <f t="shared" si="36"/>
        <v>0</v>
      </c>
      <c r="AY66" s="616"/>
      <c r="AZ66" s="615">
        <f t="shared" si="37"/>
        <v>0</v>
      </c>
      <c r="BA66" s="616">
        <f t="shared" si="38"/>
        <v>0</v>
      </c>
      <c r="BB66" s="616">
        <f t="shared" si="39"/>
        <v>0</v>
      </c>
      <c r="BC66" s="616">
        <f t="shared" si="40"/>
        <v>0</v>
      </c>
      <c r="BD66" s="616">
        <f t="shared" si="41"/>
        <v>0</v>
      </c>
      <c r="BE66" s="616">
        <f t="shared" si="42"/>
        <v>0</v>
      </c>
      <c r="BF66" s="616">
        <f t="shared" si="43"/>
        <v>0</v>
      </c>
      <c r="BG66" s="616"/>
      <c r="BH66" s="615">
        <f t="shared" si="44"/>
        <v>0</v>
      </c>
      <c r="BI66" s="616">
        <f t="shared" si="45"/>
        <v>0</v>
      </c>
      <c r="BJ66" s="616">
        <f t="shared" si="46"/>
        <v>0</v>
      </c>
      <c r="BK66" s="616">
        <f t="shared" si="47"/>
        <v>0</v>
      </c>
      <c r="BL66" s="616">
        <f t="shared" si="48"/>
        <v>0</v>
      </c>
      <c r="BM66" s="616">
        <f t="shared" si="49"/>
        <v>0</v>
      </c>
      <c r="BN66" s="616">
        <f t="shared" si="50"/>
        <v>0</v>
      </c>
      <c r="BO66" s="616"/>
      <c r="BP66" s="304"/>
    </row>
    <row r="67" s="130" customFormat="1" ht="24" spans="1:68">
      <c r="A67" s="497" t="s">
        <v>226</v>
      </c>
      <c r="B67" s="497" t="s">
        <v>206</v>
      </c>
      <c r="C67" s="497" t="s">
        <v>281</v>
      </c>
      <c r="D67" s="497" t="s">
        <v>279</v>
      </c>
      <c r="E67" s="615">
        <f t="shared" si="51"/>
        <v>0</v>
      </c>
      <c r="F67" s="615">
        <f t="shared" si="56"/>
        <v>0</v>
      </c>
      <c r="G67" s="616"/>
      <c r="H67" s="616"/>
      <c r="I67" s="616"/>
      <c r="J67" s="616"/>
      <c r="K67" s="616"/>
      <c r="L67" s="616"/>
      <c r="M67" s="615">
        <f t="shared" si="71"/>
        <v>0</v>
      </c>
      <c r="N67" s="616"/>
      <c r="O67" s="616"/>
      <c r="P67" s="616"/>
      <c r="Q67" s="616"/>
      <c r="R67" s="615">
        <f t="shared" si="53"/>
        <v>0</v>
      </c>
      <c r="S67" s="615">
        <f t="shared" si="57"/>
        <v>0</v>
      </c>
      <c r="T67" s="616"/>
      <c r="U67" s="616"/>
      <c r="V67" s="616"/>
      <c r="W67" s="616"/>
      <c r="X67" s="616"/>
      <c r="Y67" s="616"/>
      <c r="Z67" s="615">
        <f t="shared" si="54"/>
        <v>0</v>
      </c>
      <c r="AA67" s="616"/>
      <c r="AB67" s="616"/>
      <c r="AC67" s="616"/>
      <c r="AD67" s="616"/>
      <c r="AE67" s="615">
        <f t="shared" si="58"/>
        <v>0</v>
      </c>
      <c r="AF67" s="615">
        <f t="shared" si="59"/>
        <v>0</v>
      </c>
      <c r="AG67" s="616">
        <f t="shared" si="60"/>
        <v>0</v>
      </c>
      <c r="AH67" s="616">
        <f t="shared" si="61"/>
        <v>0</v>
      </c>
      <c r="AI67" s="616">
        <f t="shared" si="62"/>
        <v>0</v>
      </c>
      <c r="AJ67" s="616">
        <f t="shared" si="63"/>
        <v>0</v>
      </c>
      <c r="AK67" s="616">
        <f t="shared" si="64"/>
        <v>0</v>
      </c>
      <c r="AL67" s="616">
        <f t="shared" si="65"/>
        <v>0</v>
      </c>
      <c r="AM67" s="615">
        <f t="shared" si="66"/>
        <v>0</v>
      </c>
      <c r="AN67" s="616">
        <f t="shared" si="67"/>
        <v>0</v>
      </c>
      <c r="AO67" s="616">
        <f t="shared" si="68"/>
        <v>0</v>
      </c>
      <c r="AP67" s="616">
        <f t="shared" si="69"/>
        <v>0</v>
      </c>
      <c r="AQ67" s="637">
        <f t="shared" si="70"/>
        <v>0</v>
      </c>
      <c r="AR67" s="638">
        <f t="shared" si="55"/>
        <v>0</v>
      </c>
      <c r="AS67" s="616">
        <f t="shared" si="31"/>
        <v>0</v>
      </c>
      <c r="AT67" s="616">
        <f t="shared" si="32"/>
        <v>0</v>
      </c>
      <c r="AU67" s="616">
        <f t="shared" si="33"/>
        <v>0</v>
      </c>
      <c r="AV67" s="616">
        <f t="shared" si="34"/>
        <v>0</v>
      </c>
      <c r="AW67" s="616">
        <f t="shared" si="35"/>
        <v>0</v>
      </c>
      <c r="AX67" s="616">
        <f t="shared" si="36"/>
        <v>0</v>
      </c>
      <c r="AY67" s="616"/>
      <c r="AZ67" s="615">
        <f t="shared" si="37"/>
        <v>0</v>
      </c>
      <c r="BA67" s="616">
        <f t="shared" si="38"/>
        <v>0</v>
      </c>
      <c r="BB67" s="616">
        <f t="shared" si="39"/>
        <v>0</v>
      </c>
      <c r="BC67" s="616">
        <f t="shared" si="40"/>
        <v>0</v>
      </c>
      <c r="BD67" s="616">
        <f t="shared" si="41"/>
        <v>0</v>
      </c>
      <c r="BE67" s="616">
        <f t="shared" si="42"/>
        <v>0</v>
      </c>
      <c r="BF67" s="616">
        <f t="shared" si="43"/>
        <v>0</v>
      </c>
      <c r="BG67" s="616"/>
      <c r="BH67" s="615">
        <f t="shared" si="44"/>
        <v>0</v>
      </c>
      <c r="BI67" s="616">
        <f t="shared" si="45"/>
        <v>0</v>
      </c>
      <c r="BJ67" s="616">
        <f t="shared" si="46"/>
        <v>0</v>
      </c>
      <c r="BK67" s="616">
        <f t="shared" si="47"/>
        <v>0</v>
      </c>
      <c r="BL67" s="616">
        <f t="shared" si="48"/>
        <v>0</v>
      </c>
      <c r="BM67" s="616">
        <f t="shared" si="49"/>
        <v>0</v>
      </c>
      <c r="BN67" s="616">
        <f t="shared" si="50"/>
        <v>0</v>
      </c>
      <c r="BO67" s="616"/>
      <c r="BP67" s="304"/>
    </row>
    <row r="68" s="130" customFormat="1" ht="24" spans="1:68">
      <c r="A68" s="497" t="s">
        <v>226</v>
      </c>
      <c r="B68" s="497" t="s">
        <v>206</v>
      </c>
      <c r="C68" s="497" t="s">
        <v>282</v>
      </c>
      <c r="D68" s="497" t="s">
        <v>279</v>
      </c>
      <c r="E68" s="615">
        <f t="shared" si="51"/>
        <v>0</v>
      </c>
      <c r="F68" s="615">
        <f t="shared" si="56"/>
        <v>0</v>
      </c>
      <c r="G68" s="616"/>
      <c r="H68" s="616"/>
      <c r="I68" s="616"/>
      <c r="J68" s="616"/>
      <c r="K68" s="616"/>
      <c r="L68" s="616"/>
      <c r="M68" s="615">
        <f t="shared" si="71"/>
        <v>0</v>
      </c>
      <c r="N68" s="616"/>
      <c r="O68" s="616"/>
      <c r="P68" s="616"/>
      <c r="Q68" s="616"/>
      <c r="R68" s="615">
        <f t="shared" si="53"/>
        <v>0</v>
      </c>
      <c r="S68" s="615">
        <f t="shared" si="57"/>
        <v>0</v>
      </c>
      <c r="T68" s="616"/>
      <c r="U68" s="616"/>
      <c r="V68" s="616"/>
      <c r="W68" s="616"/>
      <c r="X68" s="616"/>
      <c r="Y68" s="616"/>
      <c r="Z68" s="615">
        <f t="shared" si="54"/>
        <v>0</v>
      </c>
      <c r="AA68" s="616"/>
      <c r="AB68" s="616"/>
      <c r="AC68" s="616"/>
      <c r="AD68" s="616"/>
      <c r="AE68" s="615">
        <f t="shared" si="58"/>
        <v>0</v>
      </c>
      <c r="AF68" s="615">
        <f t="shared" si="59"/>
        <v>0</v>
      </c>
      <c r="AG68" s="616">
        <f t="shared" si="60"/>
        <v>0</v>
      </c>
      <c r="AH68" s="616">
        <f t="shared" si="61"/>
        <v>0</v>
      </c>
      <c r="AI68" s="616">
        <f t="shared" si="62"/>
        <v>0</v>
      </c>
      <c r="AJ68" s="616">
        <f t="shared" si="63"/>
        <v>0</v>
      </c>
      <c r="AK68" s="616">
        <f t="shared" si="64"/>
        <v>0</v>
      </c>
      <c r="AL68" s="616">
        <f t="shared" si="65"/>
        <v>0</v>
      </c>
      <c r="AM68" s="615">
        <f t="shared" si="66"/>
        <v>0</v>
      </c>
      <c r="AN68" s="616">
        <f t="shared" si="67"/>
        <v>0</v>
      </c>
      <c r="AO68" s="616">
        <f t="shared" si="68"/>
        <v>0</v>
      </c>
      <c r="AP68" s="616">
        <f t="shared" si="69"/>
        <v>0</v>
      </c>
      <c r="AQ68" s="637">
        <f t="shared" si="70"/>
        <v>0</v>
      </c>
      <c r="AR68" s="638">
        <f t="shared" si="55"/>
        <v>0</v>
      </c>
      <c r="AS68" s="616">
        <f t="shared" si="31"/>
        <v>0</v>
      </c>
      <c r="AT68" s="616">
        <f t="shared" si="32"/>
        <v>0</v>
      </c>
      <c r="AU68" s="616">
        <f t="shared" si="33"/>
        <v>0</v>
      </c>
      <c r="AV68" s="616">
        <f t="shared" si="34"/>
        <v>0</v>
      </c>
      <c r="AW68" s="616">
        <f t="shared" si="35"/>
        <v>0</v>
      </c>
      <c r="AX68" s="616">
        <f t="shared" si="36"/>
        <v>0</v>
      </c>
      <c r="AY68" s="616"/>
      <c r="AZ68" s="615">
        <f t="shared" si="37"/>
        <v>0</v>
      </c>
      <c r="BA68" s="616">
        <f t="shared" si="38"/>
        <v>0</v>
      </c>
      <c r="BB68" s="616">
        <f t="shared" si="39"/>
        <v>0</v>
      </c>
      <c r="BC68" s="616">
        <f t="shared" si="40"/>
        <v>0</v>
      </c>
      <c r="BD68" s="616">
        <f t="shared" si="41"/>
        <v>0</v>
      </c>
      <c r="BE68" s="616">
        <f t="shared" si="42"/>
        <v>0</v>
      </c>
      <c r="BF68" s="616">
        <f t="shared" si="43"/>
        <v>0</v>
      </c>
      <c r="BG68" s="616"/>
      <c r="BH68" s="615">
        <f t="shared" si="44"/>
        <v>0</v>
      </c>
      <c r="BI68" s="616">
        <f t="shared" si="45"/>
        <v>0</v>
      </c>
      <c r="BJ68" s="616">
        <f t="shared" si="46"/>
        <v>0</v>
      </c>
      <c r="BK68" s="616">
        <f t="shared" si="47"/>
        <v>0</v>
      </c>
      <c r="BL68" s="616">
        <f t="shared" si="48"/>
        <v>0</v>
      </c>
      <c r="BM68" s="616">
        <f t="shared" si="49"/>
        <v>0</v>
      </c>
      <c r="BN68" s="616">
        <f t="shared" si="50"/>
        <v>0</v>
      </c>
      <c r="BO68" s="616"/>
      <c r="BP68" s="304"/>
    </row>
    <row r="69" s="130" customFormat="1" ht="24" spans="1:68">
      <c r="A69" s="497" t="s">
        <v>226</v>
      </c>
      <c r="B69" s="497" t="s">
        <v>206</v>
      </c>
      <c r="C69" s="497" t="s">
        <v>283</v>
      </c>
      <c r="D69" s="497" t="s">
        <v>279</v>
      </c>
      <c r="E69" s="615">
        <f t="shared" si="51"/>
        <v>0</v>
      </c>
      <c r="F69" s="615">
        <f t="shared" si="56"/>
        <v>0</v>
      </c>
      <c r="G69" s="616"/>
      <c r="H69" s="616"/>
      <c r="I69" s="616"/>
      <c r="J69" s="616"/>
      <c r="K69" s="616"/>
      <c r="L69" s="616"/>
      <c r="M69" s="615">
        <f t="shared" si="71"/>
        <v>0</v>
      </c>
      <c r="N69" s="616"/>
      <c r="O69" s="616"/>
      <c r="P69" s="616"/>
      <c r="Q69" s="616"/>
      <c r="R69" s="615">
        <f t="shared" si="53"/>
        <v>0</v>
      </c>
      <c r="S69" s="615">
        <f t="shared" si="57"/>
        <v>0</v>
      </c>
      <c r="T69" s="616"/>
      <c r="U69" s="616"/>
      <c r="V69" s="616"/>
      <c r="W69" s="616"/>
      <c r="X69" s="616"/>
      <c r="Y69" s="616"/>
      <c r="Z69" s="615">
        <f t="shared" si="54"/>
        <v>0</v>
      </c>
      <c r="AA69" s="616"/>
      <c r="AB69" s="616"/>
      <c r="AC69" s="616"/>
      <c r="AD69" s="616"/>
      <c r="AE69" s="615">
        <f t="shared" si="58"/>
        <v>0</v>
      </c>
      <c r="AF69" s="615">
        <f t="shared" si="59"/>
        <v>0</v>
      </c>
      <c r="AG69" s="616">
        <f t="shared" si="60"/>
        <v>0</v>
      </c>
      <c r="AH69" s="616">
        <f t="shared" si="61"/>
        <v>0</v>
      </c>
      <c r="AI69" s="616">
        <f t="shared" si="62"/>
        <v>0</v>
      </c>
      <c r="AJ69" s="616">
        <f t="shared" si="63"/>
        <v>0</v>
      </c>
      <c r="AK69" s="616">
        <f t="shared" si="64"/>
        <v>0</v>
      </c>
      <c r="AL69" s="616">
        <f t="shared" si="65"/>
        <v>0</v>
      </c>
      <c r="AM69" s="615">
        <f t="shared" si="66"/>
        <v>0</v>
      </c>
      <c r="AN69" s="616">
        <f t="shared" si="67"/>
        <v>0</v>
      </c>
      <c r="AO69" s="616">
        <f t="shared" si="68"/>
        <v>0</v>
      </c>
      <c r="AP69" s="616">
        <f t="shared" si="69"/>
        <v>0</v>
      </c>
      <c r="AQ69" s="637">
        <f t="shared" si="70"/>
        <v>0</v>
      </c>
      <c r="AR69" s="638">
        <f t="shared" si="55"/>
        <v>0</v>
      </c>
      <c r="AS69" s="616">
        <f t="shared" si="31"/>
        <v>0</v>
      </c>
      <c r="AT69" s="616">
        <f t="shared" si="32"/>
        <v>0</v>
      </c>
      <c r="AU69" s="616">
        <f t="shared" si="33"/>
        <v>0</v>
      </c>
      <c r="AV69" s="616">
        <f t="shared" si="34"/>
        <v>0</v>
      </c>
      <c r="AW69" s="616">
        <f t="shared" si="35"/>
        <v>0</v>
      </c>
      <c r="AX69" s="616">
        <f t="shared" si="36"/>
        <v>0</v>
      </c>
      <c r="AY69" s="616"/>
      <c r="AZ69" s="615">
        <f t="shared" si="37"/>
        <v>0</v>
      </c>
      <c r="BA69" s="616">
        <f t="shared" si="38"/>
        <v>0</v>
      </c>
      <c r="BB69" s="616">
        <f t="shared" si="39"/>
        <v>0</v>
      </c>
      <c r="BC69" s="616">
        <f t="shared" si="40"/>
        <v>0</v>
      </c>
      <c r="BD69" s="616">
        <f t="shared" si="41"/>
        <v>0</v>
      </c>
      <c r="BE69" s="616">
        <f t="shared" si="42"/>
        <v>0</v>
      </c>
      <c r="BF69" s="616">
        <f t="shared" si="43"/>
        <v>0</v>
      </c>
      <c r="BG69" s="616"/>
      <c r="BH69" s="615">
        <f t="shared" si="44"/>
        <v>0</v>
      </c>
      <c r="BI69" s="616">
        <f t="shared" si="45"/>
        <v>0</v>
      </c>
      <c r="BJ69" s="616">
        <f t="shared" si="46"/>
        <v>0</v>
      </c>
      <c r="BK69" s="616">
        <f t="shared" si="47"/>
        <v>0</v>
      </c>
      <c r="BL69" s="616">
        <f t="shared" si="48"/>
        <v>0</v>
      </c>
      <c r="BM69" s="616">
        <f t="shared" si="49"/>
        <v>0</v>
      </c>
      <c r="BN69" s="616">
        <f t="shared" si="50"/>
        <v>0</v>
      </c>
      <c r="BO69" s="616"/>
      <c r="BP69" s="304"/>
    </row>
    <row r="70" s="130" customFormat="1" ht="24" spans="1:68">
      <c r="A70" s="497" t="s">
        <v>202</v>
      </c>
      <c r="B70" s="497" t="s">
        <v>203</v>
      </c>
      <c r="C70" s="497" t="s">
        <v>284</v>
      </c>
      <c r="D70" s="497" t="s">
        <v>285</v>
      </c>
      <c r="E70" s="615">
        <f t="shared" si="51"/>
        <v>105.38</v>
      </c>
      <c r="F70" s="615">
        <f t="shared" si="56"/>
        <v>96.98</v>
      </c>
      <c r="G70" s="616">
        <v>39.45</v>
      </c>
      <c r="H70" s="616">
        <v>23.41</v>
      </c>
      <c r="I70" s="616">
        <v>3.55</v>
      </c>
      <c r="J70" s="616"/>
      <c r="K70" s="616">
        <v>2.11</v>
      </c>
      <c r="L70" s="616">
        <v>28.46</v>
      </c>
      <c r="M70" s="615">
        <f t="shared" si="71"/>
        <v>8.4</v>
      </c>
      <c r="N70" s="616"/>
      <c r="O70" s="616"/>
      <c r="P70" s="616">
        <v>4.4</v>
      </c>
      <c r="Q70" s="616">
        <v>4</v>
      </c>
      <c r="R70" s="615">
        <f t="shared" si="53"/>
        <v>7.11</v>
      </c>
      <c r="S70" s="615">
        <f t="shared" si="57"/>
        <v>5.97</v>
      </c>
      <c r="T70" s="616">
        <v>2.34</v>
      </c>
      <c r="U70" s="616">
        <v>1.64</v>
      </c>
      <c r="V70" s="616">
        <v>-0.12</v>
      </c>
      <c r="W70" s="616"/>
      <c r="X70" s="616">
        <v>0.13</v>
      </c>
      <c r="Y70" s="616">
        <v>1.98</v>
      </c>
      <c r="Z70" s="615">
        <f t="shared" si="54"/>
        <v>1.14</v>
      </c>
      <c r="AA70" s="616"/>
      <c r="AB70" s="616">
        <v>0.6</v>
      </c>
      <c r="AC70" s="616">
        <v>0.71</v>
      </c>
      <c r="AD70" s="616">
        <v>-0.17</v>
      </c>
      <c r="AE70" s="615">
        <f t="shared" si="58"/>
        <v>112.49</v>
      </c>
      <c r="AF70" s="615">
        <f t="shared" si="59"/>
        <v>102.95</v>
      </c>
      <c r="AG70" s="616">
        <f t="shared" si="60"/>
        <v>41.79</v>
      </c>
      <c r="AH70" s="616">
        <f t="shared" si="61"/>
        <v>25.05</v>
      </c>
      <c r="AI70" s="616">
        <f t="shared" si="62"/>
        <v>3.43</v>
      </c>
      <c r="AJ70" s="616">
        <f t="shared" si="63"/>
        <v>0</v>
      </c>
      <c r="AK70" s="616">
        <f t="shared" si="64"/>
        <v>2.24</v>
      </c>
      <c r="AL70" s="616">
        <f t="shared" si="65"/>
        <v>30.44</v>
      </c>
      <c r="AM70" s="615">
        <f t="shared" si="66"/>
        <v>9.54</v>
      </c>
      <c r="AN70" s="616">
        <f t="shared" si="67"/>
        <v>0</v>
      </c>
      <c r="AO70" s="616">
        <f t="shared" si="68"/>
        <v>0.6</v>
      </c>
      <c r="AP70" s="616">
        <f t="shared" si="69"/>
        <v>5.11</v>
      </c>
      <c r="AQ70" s="637">
        <f t="shared" si="70"/>
        <v>3.83</v>
      </c>
      <c r="AR70" s="638">
        <f t="shared" si="55"/>
        <v>32.02568</v>
      </c>
      <c r="AS70" s="616">
        <f t="shared" si="31"/>
        <v>15.1792</v>
      </c>
      <c r="AT70" s="616">
        <f t="shared" si="32"/>
        <v>5.0288</v>
      </c>
      <c r="AU70" s="616">
        <f t="shared" si="33"/>
        <v>3.7716</v>
      </c>
      <c r="AV70" s="616">
        <f t="shared" si="34"/>
        <v>0.12572</v>
      </c>
      <c r="AW70" s="616">
        <f t="shared" si="35"/>
        <v>0.37716</v>
      </c>
      <c r="AX70" s="616">
        <f t="shared" si="36"/>
        <v>7.5432</v>
      </c>
      <c r="AY70" s="616"/>
      <c r="AZ70" s="615">
        <f t="shared" si="37"/>
        <v>2.00104</v>
      </c>
      <c r="BA70" s="616">
        <f t="shared" si="38"/>
        <v>0.9344</v>
      </c>
      <c r="BB70" s="616">
        <f t="shared" si="39"/>
        <v>0.3184</v>
      </c>
      <c r="BC70" s="616">
        <f t="shared" si="40"/>
        <v>0.2388</v>
      </c>
      <c r="BD70" s="616">
        <f t="shared" si="41"/>
        <v>0.00796</v>
      </c>
      <c r="BE70" s="616">
        <f t="shared" si="42"/>
        <v>0.02388</v>
      </c>
      <c r="BF70" s="616">
        <f t="shared" si="43"/>
        <v>0.4776</v>
      </c>
      <c r="BG70" s="616"/>
      <c r="BH70" s="615">
        <f t="shared" si="44"/>
        <v>34.02672</v>
      </c>
      <c r="BI70" s="616">
        <f t="shared" si="45"/>
        <v>16.1136</v>
      </c>
      <c r="BJ70" s="616">
        <f t="shared" si="46"/>
        <v>5.3472</v>
      </c>
      <c r="BK70" s="616">
        <f t="shared" si="47"/>
        <v>4.0104</v>
      </c>
      <c r="BL70" s="616">
        <f t="shared" si="48"/>
        <v>0.13368</v>
      </c>
      <c r="BM70" s="616">
        <f t="shared" si="49"/>
        <v>0.40104</v>
      </c>
      <c r="BN70" s="616">
        <f t="shared" si="50"/>
        <v>8.0208</v>
      </c>
      <c r="BO70" s="616"/>
      <c r="BP70" s="304"/>
    </row>
    <row r="71" s="131" customFormat="1" ht="24" spans="1:68">
      <c r="A71" s="497" t="s">
        <v>202</v>
      </c>
      <c r="B71" s="497" t="s">
        <v>206</v>
      </c>
      <c r="C71" s="497" t="s">
        <v>286</v>
      </c>
      <c r="D71" s="497" t="s">
        <v>287</v>
      </c>
      <c r="E71" s="617">
        <f t="shared" si="51"/>
        <v>0</v>
      </c>
      <c r="F71" s="617">
        <f t="shared" si="56"/>
        <v>0</v>
      </c>
      <c r="G71" s="618"/>
      <c r="H71" s="618"/>
      <c r="I71" s="618"/>
      <c r="J71" s="618"/>
      <c r="K71" s="618"/>
      <c r="L71" s="618"/>
      <c r="M71" s="617">
        <f t="shared" si="71"/>
        <v>0</v>
      </c>
      <c r="N71" s="618"/>
      <c r="O71" s="618"/>
      <c r="P71" s="618"/>
      <c r="Q71" s="618"/>
      <c r="R71" s="617">
        <f t="shared" si="53"/>
        <v>0</v>
      </c>
      <c r="S71" s="615">
        <f t="shared" si="57"/>
        <v>0</v>
      </c>
      <c r="T71" s="618"/>
      <c r="U71" s="618"/>
      <c r="V71" s="618"/>
      <c r="W71" s="618"/>
      <c r="X71" s="618"/>
      <c r="Y71" s="618"/>
      <c r="Z71" s="617">
        <f t="shared" si="54"/>
        <v>0</v>
      </c>
      <c r="AA71" s="618"/>
      <c r="AB71" s="618"/>
      <c r="AC71" s="618"/>
      <c r="AD71" s="618"/>
      <c r="AE71" s="615">
        <f t="shared" si="58"/>
        <v>0</v>
      </c>
      <c r="AF71" s="615">
        <f t="shared" si="59"/>
        <v>0</v>
      </c>
      <c r="AG71" s="616">
        <f t="shared" si="60"/>
        <v>0</v>
      </c>
      <c r="AH71" s="616">
        <f t="shared" si="61"/>
        <v>0</v>
      </c>
      <c r="AI71" s="616">
        <f t="shared" si="62"/>
        <v>0</v>
      </c>
      <c r="AJ71" s="616">
        <f t="shared" si="63"/>
        <v>0</v>
      </c>
      <c r="AK71" s="616">
        <f t="shared" si="64"/>
        <v>0</v>
      </c>
      <c r="AL71" s="616">
        <f t="shared" si="65"/>
        <v>0</v>
      </c>
      <c r="AM71" s="615">
        <f t="shared" si="66"/>
        <v>0</v>
      </c>
      <c r="AN71" s="616">
        <f t="shared" si="67"/>
        <v>0</v>
      </c>
      <c r="AO71" s="616">
        <f t="shared" si="68"/>
        <v>0</v>
      </c>
      <c r="AP71" s="616">
        <f t="shared" si="69"/>
        <v>0</v>
      </c>
      <c r="AQ71" s="637">
        <f t="shared" si="70"/>
        <v>0</v>
      </c>
      <c r="AR71" s="639">
        <f t="shared" si="55"/>
        <v>0</v>
      </c>
      <c r="AS71" s="616">
        <f t="shared" si="31"/>
        <v>0</v>
      </c>
      <c r="AT71" s="616">
        <f t="shared" si="32"/>
        <v>0</v>
      </c>
      <c r="AU71" s="616">
        <f t="shared" si="33"/>
        <v>0</v>
      </c>
      <c r="AV71" s="616">
        <f t="shared" si="34"/>
        <v>0</v>
      </c>
      <c r="AW71" s="616">
        <f t="shared" si="35"/>
        <v>0</v>
      </c>
      <c r="AX71" s="616">
        <f t="shared" si="36"/>
        <v>0</v>
      </c>
      <c r="AY71" s="618"/>
      <c r="AZ71" s="615">
        <f t="shared" si="37"/>
        <v>0</v>
      </c>
      <c r="BA71" s="616">
        <f t="shared" si="38"/>
        <v>0</v>
      </c>
      <c r="BB71" s="616">
        <f t="shared" si="39"/>
        <v>0</v>
      </c>
      <c r="BC71" s="616">
        <f t="shared" si="40"/>
        <v>0</v>
      </c>
      <c r="BD71" s="616">
        <f t="shared" si="41"/>
        <v>0</v>
      </c>
      <c r="BE71" s="616">
        <f t="shared" si="42"/>
        <v>0</v>
      </c>
      <c r="BF71" s="616">
        <f t="shared" si="43"/>
        <v>0</v>
      </c>
      <c r="BG71" s="616"/>
      <c r="BH71" s="615">
        <f t="shared" si="44"/>
        <v>0</v>
      </c>
      <c r="BI71" s="616">
        <f t="shared" si="45"/>
        <v>0</v>
      </c>
      <c r="BJ71" s="616">
        <f t="shared" si="46"/>
        <v>0</v>
      </c>
      <c r="BK71" s="616">
        <f t="shared" si="47"/>
        <v>0</v>
      </c>
      <c r="BL71" s="616">
        <f t="shared" si="48"/>
        <v>0</v>
      </c>
      <c r="BM71" s="616">
        <f t="shared" si="49"/>
        <v>0</v>
      </c>
      <c r="BN71" s="616">
        <f t="shared" si="50"/>
        <v>0</v>
      </c>
      <c r="BO71" s="616"/>
      <c r="BP71" s="304"/>
    </row>
    <row r="72" s="131" customFormat="1" ht="36" spans="1:68">
      <c r="A72" s="497" t="s">
        <v>202</v>
      </c>
      <c r="B72" s="497" t="s">
        <v>203</v>
      </c>
      <c r="C72" s="497" t="s">
        <v>288</v>
      </c>
      <c r="D72" s="497" t="s">
        <v>289</v>
      </c>
      <c r="E72" s="617">
        <f t="shared" ref="E72:E102" si="72">F72+M72</f>
        <v>1111.73</v>
      </c>
      <c r="F72" s="617">
        <f t="shared" si="56"/>
        <v>974.51</v>
      </c>
      <c r="G72" s="618">
        <v>369.62</v>
      </c>
      <c r="H72" s="618">
        <v>268.24</v>
      </c>
      <c r="I72" s="618">
        <v>30.29</v>
      </c>
      <c r="J72" s="618">
        <v>0.24</v>
      </c>
      <c r="K72" s="618"/>
      <c r="L72" s="618">
        <v>306.12</v>
      </c>
      <c r="M72" s="617">
        <f t="shared" si="71"/>
        <v>137.22</v>
      </c>
      <c r="N72" s="618">
        <v>12.72</v>
      </c>
      <c r="O72" s="618">
        <v>30</v>
      </c>
      <c r="P72" s="618">
        <v>49.5</v>
      </c>
      <c r="Q72" s="618">
        <v>45</v>
      </c>
      <c r="R72" s="617">
        <f t="shared" ref="R72:R103" si="73">S72+Z72</f>
        <v>-2.21</v>
      </c>
      <c r="S72" s="615">
        <f t="shared" si="57"/>
        <v>-5.07</v>
      </c>
      <c r="T72" s="618">
        <v>-3.63</v>
      </c>
      <c r="U72" s="618">
        <v>-0.52</v>
      </c>
      <c r="V72" s="618">
        <v>-0.62</v>
      </c>
      <c r="W72" s="618">
        <v>-0.12</v>
      </c>
      <c r="X72" s="618"/>
      <c r="Y72" s="618">
        <v>-0.18</v>
      </c>
      <c r="Z72" s="617">
        <f t="shared" ref="Z72:Z103" si="74">SUM(AA72:AD72)</f>
        <v>2.86</v>
      </c>
      <c r="AA72" s="618">
        <v>0.3</v>
      </c>
      <c r="AB72" s="618">
        <f>0.3+2.55</f>
        <v>2.85</v>
      </c>
      <c r="AC72" s="618">
        <v>-0.96</v>
      </c>
      <c r="AD72" s="618">
        <v>0.67</v>
      </c>
      <c r="AE72" s="615">
        <f t="shared" si="58"/>
        <v>1109.52</v>
      </c>
      <c r="AF72" s="615">
        <f t="shared" si="59"/>
        <v>969.44</v>
      </c>
      <c r="AG72" s="616">
        <f t="shared" si="60"/>
        <v>365.99</v>
      </c>
      <c r="AH72" s="616">
        <f t="shared" si="61"/>
        <v>267.72</v>
      </c>
      <c r="AI72" s="616">
        <f t="shared" si="62"/>
        <v>29.67</v>
      </c>
      <c r="AJ72" s="616">
        <f t="shared" si="63"/>
        <v>0.12</v>
      </c>
      <c r="AK72" s="616">
        <f t="shared" si="64"/>
        <v>0</v>
      </c>
      <c r="AL72" s="616">
        <f t="shared" si="65"/>
        <v>305.94</v>
      </c>
      <c r="AM72" s="615">
        <f t="shared" si="66"/>
        <v>140.08</v>
      </c>
      <c r="AN72" s="616">
        <f t="shared" si="67"/>
        <v>13.02</v>
      </c>
      <c r="AO72" s="616">
        <f t="shared" si="68"/>
        <v>32.85</v>
      </c>
      <c r="AP72" s="616">
        <f t="shared" si="69"/>
        <v>48.54</v>
      </c>
      <c r="AQ72" s="637">
        <f t="shared" si="70"/>
        <v>45.67</v>
      </c>
      <c r="AR72" s="639">
        <f t="shared" ref="AR72:AR103" si="75">SUM(AS72:AY72)</f>
        <v>326.82968</v>
      </c>
      <c r="AS72" s="616">
        <f t="shared" si="31"/>
        <v>155.8832</v>
      </c>
      <c r="AT72" s="616">
        <f t="shared" si="32"/>
        <v>51.0288</v>
      </c>
      <c r="AU72" s="616">
        <f t="shared" si="33"/>
        <v>38.2716</v>
      </c>
      <c r="AV72" s="616">
        <f t="shared" si="34"/>
        <v>1.27572</v>
      </c>
      <c r="AW72" s="616">
        <f t="shared" si="35"/>
        <v>3.82716</v>
      </c>
      <c r="AX72" s="616">
        <f t="shared" si="36"/>
        <v>76.5432</v>
      </c>
      <c r="AY72" s="618"/>
      <c r="AZ72" s="615">
        <f t="shared" si="37"/>
        <v>-1.9042</v>
      </c>
      <c r="BA72" s="616">
        <f t="shared" si="38"/>
        <v>-0.792</v>
      </c>
      <c r="BB72" s="616">
        <f t="shared" si="39"/>
        <v>-0.332</v>
      </c>
      <c r="BC72" s="616">
        <f t="shared" si="40"/>
        <v>-0.249</v>
      </c>
      <c r="BD72" s="616">
        <f t="shared" si="41"/>
        <v>-0.0083</v>
      </c>
      <c r="BE72" s="616">
        <f t="shared" si="42"/>
        <v>-0.0249</v>
      </c>
      <c r="BF72" s="616">
        <f t="shared" si="43"/>
        <v>-0.498</v>
      </c>
      <c r="BG72" s="616"/>
      <c r="BH72" s="615">
        <f t="shared" si="44"/>
        <v>324.92548</v>
      </c>
      <c r="BI72" s="616">
        <f t="shared" si="45"/>
        <v>155.0912</v>
      </c>
      <c r="BJ72" s="616">
        <f t="shared" si="46"/>
        <v>50.6968</v>
      </c>
      <c r="BK72" s="616">
        <f t="shared" si="47"/>
        <v>38.0226</v>
      </c>
      <c r="BL72" s="616">
        <f t="shared" si="48"/>
        <v>1.26742</v>
      </c>
      <c r="BM72" s="616">
        <f t="shared" si="49"/>
        <v>3.80226</v>
      </c>
      <c r="BN72" s="616">
        <f t="shared" si="50"/>
        <v>76.0452</v>
      </c>
      <c r="BO72" s="616"/>
      <c r="BP72" s="304" t="s">
        <v>290</v>
      </c>
    </row>
    <row r="73" s="131" customFormat="1" ht="24" spans="1:68">
      <c r="A73" s="497" t="s">
        <v>202</v>
      </c>
      <c r="B73" s="497" t="s">
        <v>206</v>
      </c>
      <c r="C73" s="497" t="s">
        <v>291</v>
      </c>
      <c r="D73" s="497" t="s">
        <v>292</v>
      </c>
      <c r="E73" s="617">
        <f t="shared" si="72"/>
        <v>0</v>
      </c>
      <c r="F73" s="617">
        <f t="shared" ref="F73:F104" si="76">SUM(G73:L73)</f>
        <v>0</v>
      </c>
      <c r="G73" s="618"/>
      <c r="H73" s="618"/>
      <c r="I73" s="618"/>
      <c r="J73" s="618"/>
      <c r="K73" s="618"/>
      <c r="L73" s="618"/>
      <c r="M73" s="617">
        <f t="shared" si="71"/>
        <v>0</v>
      </c>
      <c r="N73" s="618"/>
      <c r="O73" s="618"/>
      <c r="P73" s="618"/>
      <c r="Q73" s="618"/>
      <c r="R73" s="617">
        <f t="shared" si="73"/>
        <v>0</v>
      </c>
      <c r="S73" s="615">
        <f t="shared" ref="S73:S104" si="77">SUM(T73:Y73)</f>
        <v>0</v>
      </c>
      <c r="T73" s="618"/>
      <c r="U73" s="618"/>
      <c r="V73" s="618"/>
      <c r="W73" s="618"/>
      <c r="X73" s="618"/>
      <c r="Y73" s="618"/>
      <c r="Z73" s="617">
        <f t="shared" si="74"/>
        <v>0</v>
      </c>
      <c r="AA73" s="618"/>
      <c r="AB73" s="618"/>
      <c r="AC73" s="618"/>
      <c r="AD73" s="618"/>
      <c r="AE73" s="615">
        <f t="shared" ref="AE73:AE104" si="78">AF73+AM73</f>
        <v>0</v>
      </c>
      <c r="AF73" s="615">
        <f t="shared" ref="AF73:AF104" si="79">SUM(AG73:AL73)</f>
        <v>0</v>
      </c>
      <c r="AG73" s="616">
        <f t="shared" ref="AG73:AG104" si="80">G73+T73</f>
        <v>0</v>
      </c>
      <c r="AH73" s="616">
        <f t="shared" ref="AH73:AH104" si="81">H73+U73</f>
        <v>0</v>
      </c>
      <c r="AI73" s="616">
        <f t="shared" ref="AI73:AI104" si="82">I73+V73</f>
        <v>0</v>
      </c>
      <c r="AJ73" s="616">
        <f t="shared" ref="AJ73:AJ104" si="83">J73+W73</f>
        <v>0</v>
      </c>
      <c r="AK73" s="616">
        <f t="shared" ref="AK73:AK104" si="84">K73+X73</f>
        <v>0</v>
      </c>
      <c r="AL73" s="616">
        <f t="shared" ref="AL73:AL104" si="85">L73+Y73</f>
        <v>0</v>
      </c>
      <c r="AM73" s="615">
        <f t="shared" ref="AM73:AM104" si="86">SUM(AN73:AQ73)</f>
        <v>0</v>
      </c>
      <c r="AN73" s="616">
        <f t="shared" ref="AN73:AN104" si="87">N73+AA73</f>
        <v>0</v>
      </c>
      <c r="AO73" s="616">
        <f t="shared" ref="AO73:AO104" si="88">O73+AB73</f>
        <v>0</v>
      </c>
      <c r="AP73" s="616">
        <f t="shared" ref="AP73:AP104" si="89">P73+AC73</f>
        <v>0</v>
      </c>
      <c r="AQ73" s="637">
        <f t="shared" ref="AQ73:AQ104" si="90">Q73+AD73</f>
        <v>0</v>
      </c>
      <c r="AR73" s="639">
        <f t="shared" si="75"/>
        <v>0</v>
      </c>
      <c r="AS73" s="616">
        <f t="shared" ref="AS73:AS137" si="91">(G73+H73+I73+L73)*0.16</f>
        <v>0</v>
      </c>
      <c r="AT73" s="616">
        <f t="shared" ref="AT73:AT137" si="92">(G73+H73)*0.08</f>
        <v>0</v>
      </c>
      <c r="AU73" s="616">
        <f t="shared" ref="AU73:AU137" si="93">(G73+H73)*0.06</f>
        <v>0</v>
      </c>
      <c r="AV73" s="616">
        <f t="shared" ref="AV73:AV137" si="94">(G73+H73)*0.002</f>
        <v>0</v>
      </c>
      <c r="AW73" s="616">
        <f t="shared" ref="AW73:AW137" si="95">(G73+H73)*0.006</f>
        <v>0</v>
      </c>
      <c r="AX73" s="616">
        <f t="shared" ref="AX73:AX137" si="96">(G73+H73)*0.12</f>
        <v>0</v>
      </c>
      <c r="AY73" s="618"/>
      <c r="AZ73" s="615">
        <f t="shared" ref="AZ73:AZ137" si="97">SUM(BA73:BG73)</f>
        <v>0</v>
      </c>
      <c r="BA73" s="616">
        <f t="shared" ref="BA73:BA137" si="98">(T73+U73+V73+Y73)*0.16</f>
        <v>0</v>
      </c>
      <c r="BB73" s="616">
        <f t="shared" ref="BB73:BB137" si="99">(T73+U73)*0.08</f>
        <v>0</v>
      </c>
      <c r="BC73" s="616">
        <f t="shared" ref="BC73:BC137" si="100">(T73+U73)*0.06</f>
        <v>0</v>
      </c>
      <c r="BD73" s="616">
        <f t="shared" ref="BD73:BD137" si="101">(T73+U73)*0.002</f>
        <v>0</v>
      </c>
      <c r="BE73" s="616">
        <f t="shared" ref="BE73:BE137" si="102">(T73+U73)*0.006</f>
        <v>0</v>
      </c>
      <c r="BF73" s="616">
        <f t="shared" ref="BF73:BF137" si="103">(T73+U73)*0.12</f>
        <v>0</v>
      </c>
      <c r="BG73" s="616"/>
      <c r="BH73" s="615">
        <f t="shared" ref="BH73:BH137" si="104">SUM(BI73:BO73)</f>
        <v>0</v>
      </c>
      <c r="BI73" s="616">
        <f t="shared" ref="BI73:BI137" si="105">(AG73+AH73+AI73+AL73)*0.16</f>
        <v>0</v>
      </c>
      <c r="BJ73" s="616">
        <f t="shared" ref="BJ73:BJ137" si="106">(AG73+AH73)*0.08</f>
        <v>0</v>
      </c>
      <c r="BK73" s="616">
        <f t="shared" ref="BK73:BK137" si="107">(AG73+AH73)*0.06</f>
        <v>0</v>
      </c>
      <c r="BL73" s="616">
        <f t="shared" ref="BL73:BL137" si="108">(AG73+AH73)*0.002</f>
        <v>0</v>
      </c>
      <c r="BM73" s="616">
        <f t="shared" ref="BM73:BM137" si="109">(AG73+AH73)*0.006</f>
        <v>0</v>
      </c>
      <c r="BN73" s="616">
        <f t="shared" ref="BN73:BN137" si="110">(AG73+AH73)*0.12</f>
        <v>0</v>
      </c>
      <c r="BO73" s="616"/>
      <c r="BP73" s="304"/>
    </row>
    <row r="74" s="131" customFormat="1" ht="24" spans="1:68">
      <c r="A74" s="497" t="s">
        <v>215</v>
      </c>
      <c r="B74" s="497" t="s">
        <v>203</v>
      </c>
      <c r="C74" s="497" t="s">
        <v>293</v>
      </c>
      <c r="D74" s="645" t="s">
        <v>294</v>
      </c>
      <c r="E74" s="617">
        <f t="shared" si="72"/>
        <v>160.63</v>
      </c>
      <c r="F74" s="617">
        <f t="shared" si="76"/>
        <v>149.08</v>
      </c>
      <c r="G74" s="619">
        <v>65.46</v>
      </c>
      <c r="H74" s="619">
        <v>37.75</v>
      </c>
      <c r="I74" s="619">
        <v>5.45</v>
      </c>
      <c r="J74" s="618"/>
      <c r="K74" s="618"/>
      <c r="L74" s="618">
        <v>40.42</v>
      </c>
      <c r="M74" s="617">
        <f t="shared" si="71"/>
        <v>11.55</v>
      </c>
      <c r="N74" s="618"/>
      <c r="O74" s="618"/>
      <c r="P74" s="618">
        <v>6.05</v>
      </c>
      <c r="Q74" s="618">
        <v>5.5</v>
      </c>
      <c r="R74" s="617">
        <f t="shared" si="73"/>
        <v>-160.63</v>
      </c>
      <c r="S74" s="615">
        <f t="shared" si="77"/>
        <v>-149.08</v>
      </c>
      <c r="T74" s="618">
        <v>-65.46</v>
      </c>
      <c r="U74" s="618">
        <v>-37.75</v>
      </c>
      <c r="V74" s="618">
        <v>-5.45</v>
      </c>
      <c r="W74" s="618"/>
      <c r="X74" s="618"/>
      <c r="Y74" s="618">
        <v>-40.42</v>
      </c>
      <c r="Z74" s="617">
        <f t="shared" si="74"/>
        <v>-11.55</v>
      </c>
      <c r="AA74" s="618"/>
      <c r="AB74" s="618"/>
      <c r="AC74" s="618">
        <v>-6.05</v>
      </c>
      <c r="AD74" s="618">
        <v>-5.5</v>
      </c>
      <c r="AE74" s="615">
        <f t="shared" si="78"/>
        <v>0</v>
      </c>
      <c r="AF74" s="615">
        <f t="shared" si="79"/>
        <v>0</v>
      </c>
      <c r="AG74" s="616">
        <f t="shared" si="80"/>
        <v>0</v>
      </c>
      <c r="AH74" s="616">
        <f t="shared" si="81"/>
        <v>0</v>
      </c>
      <c r="AI74" s="616">
        <f t="shared" si="82"/>
        <v>0</v>
      </c>
      <c r="AJ74" s="616">
        <f t="shared" si="83"/>
        <v>0</v>
      </c>
      <c r="AK74" s="616">
        <f t="shared" si="84"/>
        <v>0</v>
      </c>
      <c r="AL74" s="616">
        <f t="shared" si="85"/>
        <v>0</v>
      </c>
      <c r="AM74" s="615">
        <f t="shared" si="86"/>
        <v>0</v>
      </c>
      <c r="AN74" s="616">
        <f t="shared" si="87"/>
        <v>0</v>
      </c>
      <c r="AO74" s="616">
        <f t="shared" si="88"/>
        <v>0</v>
      </c>
      <c r="AP74" s="616">
        <f t="shared" si="89"/>
        <v>0</v>
      </c>
      <c r="AQ74" s="637">
        <f t="shared" si="90"/>
        <v>0</v>
      </c>
      <c r="AR74" s="639">
        <f t="shared" si="75"/>
        <v>51.51308</v>
      </c>
      <c r="AS74" s="616">
        <f t="shared" si="91"/>
        <v>23.8528</v>
      </c>
      <c r="AT74" s="616">
        <f t="shared" si="92"/>
        <v>8.2568</v>
      </c>
      <c r="AU74" s="616">
        <f t="shared" si="93"/>
        <v>6.1926</v>
      </c>
      <c r="AV74" s="616">
        <f t="shared" si="94"/>
        <v>0.20642</v>
      </c>
      <c r="AW74" s="616">
        <f t="shared" si="95"/>
        <v>0.61926</v>
      </c>
      <c r="AX74" s="616">
        <f t="shared" si="96"/>
        <v>12.3852</v>
      </c>
      <c r="AY74" s="618"/>
      <c r="AZ74" s="615">
        <f t="shared" si="97"/>
        <v>-51.51308</v>
      </c>
      <c r="BA74" s="616">
        <f t="shared" si="98"/>
        <v>-23.8528</v>
      </c>
      <c r="BB74" s="616">
        <f t="shared" si="99"/>
        <v>-8.2568</v>
      </c>
      <c r="BC74" s="616">
        <f t="shared" si="100"/>
        <v>-6.1926</v>
      </c>
      <c r="BD74" s="616">
        <f t="shared" si="101"/>
        <v>-0.20642</v>
      </c>
      <c r="BE74" s="616">
        <f t="shared" si="102"/>
        <v>-0.61926</v>
      </c>
      <c r="BF74" s="616">
        <f t="shared" si="103"/>
        <v>-12.3852</v>
      </c>
      <c r="BG74" s="616"/>
      <c r="BH74" s="615">
        <f t="shared" si="104"/>
        <v>0</v>
      </c>
      <c r="BI74" s="616">
        <f t="shared" si="105"/>
        <v>0</v>
      </c>
      <c r="BJ74" s="616">
        <f t="shared" si="106"/>
        <v>0</v>
      </c>
      <c r="BK74" s="616">
        <f t="shared" si="107"/>
        <v>0</v>
      </c>
      <c r="BL74" s="616">
        <f t="shared" si="108"/>
        <v>0</v>
      </c>
      <c r="BM74" s="616">
        <f t="shared" si="109"/>
        <v>0</v>
      </c>
      <c r="BN74" s="616">
        <f t="shared" si="110"/>
        <v>0</v>
      </c>
      <c r="BO74" s="616"/>
      <c r="BP74" s="304" t="s">
        <v>295</v>
      </c>
    </row>
    <row r="75" s="131" customFormat="1" ht="24" spans="1:68">
      <c r="A75" s="497" t="s">
        <v>215</v>
      </c>
      <c r="B75" s="497" t="s">
        <v>206</v>
      </c>
      <c r="C75" s="497" t="s">
        <v>296</v>
      </c>
      <c r="D75" s="645" t="s">
        <v>297</v>
      </c>
      <c r="E75" s="617">
        <f t="shared" si="72"/>
        <v>0</v>
      </c>
      <c r="F75" s="617">
        <f t="shared" si="76"/>
        <v>0</v>
      </c>
      <c r="G75" s="618"/>
      <c r="H75" s="618"/>
      <c r="I75" s="618"/>
      <c r="J75" s="618"/>
      <c r="K75" s="618"/>
      <c r="L75" s="618"/>
      <c r="M75" s="617">
        <f t="shared" si="71"/>
        <v>0</v>
      </c>
      <c r="N75" s="618"/>
      <c r="O75" s="618"/>
      <c r="P75" s="618"/>
      <c r="Q75" s="618"/>
      <c r="R75" s="617">
        <f t="shared" si="73"/>
        <v>0</v>
      </c>
      <c r="S75" s="615">
        <f t="shared" si="77"/>
        <v>0</v>
      </c>
      <c r="T75" s="619"/>
      <c r="U75" s="619"/>
      <c r="V75" s="619"/>
      <c r="W75" s="618"/>
      <c r="X75" s="618"/>
      <c r="Y75" s="618"/>
      <c r="Z75" s="617">
        <f t="shared" si="74"/>
        <v>0</v>
      </c>
      <c r="AA75" s="618"/>
      <c r="AB75" s="618"/>
      <c r="AC75" s="618"/>
      <c r="AD75" s="618"/>
      <c r="AE75" s="615">
        <f t="shared" si="78"/>
        <v>0</v>
      </c>
      <c r="AF75" s="615">
        <f t="shared" si="79"/>
        <v>0</v>
      </c>
      <c r="AG75" s="616">
        <f t="shared" si="80"/>
        <v>0</v>
      </c>
      <c r="AH75" s="616">
        <f t="shared" si="81"/>
        <v>0</v>
      </c>
      <c r="AI75" s="616">
        <f t="shared" si="82"/>
        <v>0</v>
      </c>
      <c r="AJ75" s="616">
        <f t="shared" si="83"/>
        <v>0</v>
      </c>
      <c r="AK75" s="616">
        <f t="shared" si="84"/>
        <v>0</v>
      </c>
      <c r="AL75" s="616">
        <f t="shared" si="85"/>
        <v>0</v>
      </c>
      <c r="AM75" s="615">
        <f t="shared" si="86"/>
        <v>0</v>
      </c>
      <c r="AN75" s="616">
        <f t="shared" si="87"/>
        <v>0</v>
      </c>
      <c r="AO75" s="616">
        <f t="shared" si="88"/>
        <v>0</v>
      </c>
      <c r="AP75" s="616">
        <f t="shared" si="89"/>
        <v>0</v>
      </c>
      <c r="AQ75" s="637">
        <f t="shared" si="90"/>
        <v>0</v>
      </c>
      <c r="AR75" s="639">
        <f t="shared" si="75"/>
        <v>0</v>
      </c>
      <c r="AS75" s="616">
        <f t="shared" si="91"/>
        <v>0</v>
      </c>
      <c r="AT75" s="616">
        <f t="shared" si="92"/>
        <v>0</v>
      </c>
      <c r="AU75" s="616">
        <f t="shared" si="93"/>
        <v>0</v>
      </c>
      <c r="AV75" s="616">
        <f t="shared" si="94"/>
        <v>0</v>
      </c>
      <c r="AW75" s="616">
        <f t="shared" si="95"/>
        <v>0</v>
      </c>
      <c r="AX75" s="616">
        <f t="shared" si="96"/>
        <v>0</v>
      </c>
      <c r="AY75" s="618"/>
      <c r="AZ75" s="615">
        <f t="shared" si="97"/>
        <v>0</v>
      </c>
      <c r="BA75" s="616">
        <f t="shared" si="98"/>
        <v>0</v>
      </c>
      <c r="BB75" s="616">
        <f t="shared" si="99"/>
        <v>0</v>
      </c>
      <c r="BC75" s="616">
        <f t="shared" si="100"/>
        <v>0</v>
      </c>
      <c r="BD75" s="616">
        <f t="shared" si="101"/>
        <v>0</v>
      </c>
      <c r="BE75" s="616">
        <f t="shared" si="102"/>
        <v>0</v>
      </c>
      <c r="BF75" s="616">
        <f t="shared" si="103"/>
        <v>0</v>
      </c>
      <c r="BG75" s="616"/>
      <c r="BH75" s="615">
        <f t="shared" si="104"/>
        <v>0</v>
      </c>
      <c r="BI75" s="616">
        <f t="shared" si="105"/>
        <v>0</v>
      </c>
      <c r="BJ75" s="616">
        <f t="shared" si="106"/>
        <v>0</v>
      </c>
      <c r="BK75" s="616">
        <f t="shared" si="107"/>
        <v>0</v>
      </c>
      <c r="BL75" s="616">
        <f t="shared" si="108"/>
        <v>0</v>
      </c>
      <c r="BM75" s="616">
        <f t="shared" si="109"/>
        <v>0</v>
      </c>
      <c r="BN75" s="616">
        <f t="shared" si="110"/>
        <v>0</v>
      </c>
      <c r="BO75" s="616"/>
      <c r="BP75" s="304"/>
    </row>
    <row r="76" s="131" customFormat="1" ht="24" spans="1:68">
      <c r="A76" s="497" t="s">
        <v>261</v>
      </c>
      <c r="B76" s="497" t="s">
        <v>203</v>
      </c>
      <c r="C76" s="497" t="s">
        <v>298</v>
      </c>
      <c r="D76" s="497" t="s">
        <v>294</v>
      </c>
      <c r="E76" s="617">
        <f t="shared" si="72"/>
        <v>213.79</v>
      </c>
      <c r="F76" s="617">
        <f t="shared" si="76"/>
        <v>156.68</v>
      </c>
      <c r="G76" s="618">
        <v>59.8</v>
      </c>
      <c r="H76" s="618">
        <v>41.63</v>
      </c>
      <c r="I76" s="618">
        <v>4.98</v>
      </c>
      <c r="J76" s="618">
        <v>1.44</v>
      </c>
      <c r="K76" s="618"/>
      <c r="L76" s="618">
        <v>48.83</v>
      </c>
      <c r="M76" s="617">
        <f t="shared" si="71"/>
        <v>57.11</v>
      </c>
      <c r="N76" s="619">
        <v>41.36</v>
      </c>
      <c r="O76" s="618"/>
      <c r="P76" s="618">
        <v>8.25</v>
      </c>
      <c r="Q76" s="618">
        <v>7.5</v>
      </c>
      <c r="R76" s="617">
        <f t="shared" si="73"/>
        <v>-44.72</v>
      </c>
      <c r="S76" s="615">
        <f t="shared" si="77"/>
        <v>-45.89</v>
      </c>
      <c r="T76" s="618">
        <v>-32.01</v>
      </c>
      <c r="U76" s="618"/>
      <c r="V76" s="618">
        <v>-0.92</v>
      </c>
      <c r="W76" s="618">
        <v>-0.48</v>
      </c>
      <c r="X76" s="618"/>
      <c r="Y76" s="618">
        <v>-12.48</v>
      </c>
      <c r="Z76" s="617">
        <f t="shared" si="74"/>
        <v>1.17</v>
      </c>
      <c r="AA76" s="618">
        <v>1.05</v>
      </c>
      <c r="AB76" s="618">
        <f>0.3+0.3</f>
        <v>0.6</v>
      </c>
      <c r="AC76" s="618">
        <v>-0.48</v>
      </c>
      <c r="AD76" s="618"/>
      <c r="AE76" s="615">
        <f t="shared" si="78"/>
        <v>169.07</v>
      </c>
      <c r="AF76" s="615">
        <f t="shared" si="79"/>
        <v>110.79</v>
      </c>
      <c r="AG76" s="616">
        <f t="shared" si="80"/>
        <v>27.79</v>
      </c>
      <c r="AH76" s="616">
        <f t="shared" si="81"/>
        <v>41.63</v>
      </c>
      <c r="AI76" s="616">
        <f t="shared" si="82"/>
        <v>4.06</v>
      </c>
      <c r="AJ76" s="616">
        <f t="shared" si="83"/>
        <v>0.96</v>
      </c>
      <c r="AK76" s="616">
        <f t="shared" si="84"/>
        <v>0</v>
      </c>
      <c r="AL76" s="616">
        <f t="shared" si="85"/>
        <v>36.35</v>
      </c>
      <c r="AM76" s="615">
        <f t="shared" si="86"/>
        <v>58.28</v>
      </c>
      <c r="AN76" s="616">
        <f t="shared" si="87"/>
        <v>42.41</v>
      </c>
      <c r="AO76" s="616">
        <f t="shared" si="88"/>
        <v>0.6</v>
      </c>
      <c r="AP76" s="616">
        <f t="shared" si="89"/>
        <v>7.77</v>
      </c>
      <c r="AQ76" s="637">
        <f t="shared" si="90"/>
        <v>7.5</v>
      </c>
      <c r="AR76" s="639">
        <f t="shared" si="75"/>
        <v>52.02164</v>
      </c>
      <c r="AS76" s="616">
        <f t="shared" si="91"/>
        <v>24.8384</v>
      </c>
      <c r="AT76" s="616">
        <f t="shared" si="92"/>
        <v>8.1144</v>
      </c>
      <c r="AU76" s="616">
        <f t="shared" si="93"/>
        <v>6.0858</v>
      </c>
      <c r="AV76" s="616">
        <f t="shared" si="94"/>
        <v>0.20286</v>
      </c>
      <c r="AW76" s="616">
        <f t="shared" si="95"/>
        <v>0.60858</v>
      </c>
      <c r="AX76" s="616">
        <f t="shared" si="96"/>
        <v>12.1716</v>
      </c>
      <c r="AY76" s="618"/>
      <c r="AZ76" s="615">
        <f t="shared" si="97"/>
        <v>-15.84428</v>
      </c>
      <c r="BA76" s="616">
        <f t="shared" si="98"/>
        <v>-7.2656</v>
      </c>
      <c r="BB76" s="616">
        <f t="shared" si="99"/>
        <v>-2.5608</v>
      </c>
      <c r="BC76" s="616">
        <f t="shared" si="100"/>
        <v>-1.9206</v>
      </c>
      <c r="BD76" s="616">
        <f t="shared" si="101"/>
        <v>-0.06402</v>
      </c>
      <c r="BE76" s="616">
        <f t="shared" si="102"/>
        <v>-0.19206</v>
      </c>
      <c r="BF76" s="616">
        <f t="shared" si="103"/>
        <v>-3.8412</v>
      </c>
      <c r="BG76" s="616"/>
      <c r="BH76" s="615">
        <f t="shared" si="104"/>
        <v>36.17736</v>
      </c>
      <c r="BI76" s="616">
        <f t="shared" si="105"/>
        <v>17.5728</v>
      </c>
      <c r="BJ76" s="616">
        <f t="shared" si="106"/>
        <v>5.5536</v>
      </c>
      <c r="BK76" s="616">
        <f t="shared" si="107"/>
        <v>4.1652</v>
      </c>
      <c r="BL76" s="616">
        <f t="shared" si="108"/>
        <v>0.13884</v>
      </c>
      <c r="BM76" s="616">
        <f t="shared" si="109"/>
        <v>0.41652</v>
      </c>
      <c r="BN76" s="616">
        <f t="shared" si="110"/>
        <v>8.3304</v>
      </c>
      <c r="BO76" s="616"/>
      <c r="BP76" s="497" t="s">
        <v>299</v>
      </c>
    </row>
    <row r="77" s="131" customFormat="1" ht="24" spans="1:68">
      <c r="A77" s="497" t="s">
        <v>215</v>
      </c>
      <c r="B77" s="497" t="s">
        <v>203</v>
      </c>
      <c r="C77" s="497" t="s">
        <v>300</v>
      </c>
      <c r="D77" s="497" t="s">
        <v>294</v>
      </c>
      <c r="E77" s="617">
        <f t="shared" si="72"/>
        <v>111.19</v>
      </c>
      <c r="F77" s="617">
        <f t="shared" si="76"/>
        <v>92.62</v>
      </c>
      <c r="G77" s="619">
        <v>37.06</v>
      </c>
      <c r="H77" s="619">
        <v>23.64</v>
      </c>
      <c r="I77" s="619">
        <v>3.09</v>
      </c>
      <c r="J77" s="618"/>
      <c r="K77" s="618"/>
      <c r="L77" s="618">
        <v>28.83</v>
      </c>
      <c r="M77" s="617">
        <f t="shared" si="71"/>
        <v>18.57</v>
      </c>
      <c r="N77" s="618">
        <v>10.17</v>
      </c>
      <c r="O77" s="618"/>
      <c r="P77" s="618">
        <v>4.4</v>
      </c>
      <c r="Q77" s="618">
        <v>4</v>
      </c>
      <c r="R77" s="617">
        <f t="shared" si="73"/>
        <v>10.24</v>
      </c>
      <c r="S77" s="615">
        <f t="shared" si="77"/>
        <v>8.01</v>
      </c>
      <c r="T77" s="618">
        <v>3.09</v>
      </c>
      <c r="U77" s="618">
        <v>2.06</v>
      </c>
      <c r="V77" s="618">
        <v>0.36</v>
      </c>
      <c r="W77" s="618"/>
      <c r="X77" s="618"/>
      <c r="Y77" s="618">
        <v>2.5</v>
      </c>
      <c r="Z77" s="617">
        <f t="shared" si="74"/>
        <v>2.23</v>
      </c>
      <c r="AA77" s="618">
        <v>0.6</v>
      </c>
      <c r="AB77" s="618">
        <f>0.3+0.45</f>
        <v>0.75</v>
      </c>
      <c r="AC77" s="618">
        <v>0.38</v>
      </c>
      <c r="AD77" s="618">
        <v>0.5</v>
      </c>
      <c r="AE77" s="615">
        <f t="shared" si="78"/>
        <v>121.43</v>
      </c>
      <c r="AF77" s="615">
        <f t="shared" si="79"/>
        <v>100.63</v>
      </c>
      <c r="AG77" s="616">
        <f t="shared" si="80"/>
        <v>40.15</v>
      </c>
      <c r="AH77" s="616">
        <f t="shared" si="81"/>
        <v>25.7</v>
      </c>
      <c r="AI77" s="616">
        <f t="shared" si="82"/>
        <v>3.45</v>
      </c>
      <c r="AJ77" s="616">
        <f t="shared" si="83"/>
        <v>0</v>
      </c>
      <c r="AK77" s="616">
        <f t="shared" si="84"/>
        <v>0</v>
      </c>
      <c r="AL77" s="616">
        <f t="shared" si="85"/>
        <v>31.33</v>
      </c>
      <c r="AM77" s="615">
        <f t="shared" si="86"/>
        <v>20.8</v>
      </c>
      <c r="AN77" s="616">
        <f t="shared" si="87"/>
        <v>10.77</v>
      </c>
      <c r="AO77" s="616">
        <f t="shared" si="88"/>
        <v>0.75</v>
      </c>
      <c r="AP77" s="616">
        <f t="shared" si="89"/>
        <v>4.78</v>
      </c>
      <c r="AQ77" s="637">
        <f t="shared" si="90"/>
        <v>4.5</v>
      </c>
      <c r="AR77" s="639">
        <f t="shared" si="75"/>
        <v>31.0868</v>
      </c>
      <c r="AS77" s="616">
        <f t="shared" si="91"/>
        <v>14.8192</v>
      </c>
      <c r="AT77" s="616">
        <f t="shared" si="92"/>
        <v>4.856</v>
      </c>
      <c r="AU77" s="616">
        <f t="shared" si="93"/>
        <v>3.642</v>
      </c>
      <c r="AV77" s="616">
        <f t="shared" si="94"/>
        <v>0.1214</v>
      </c>
      <c r="AW77" s="616">
        <f t="shared" si="95"/>
        <v>0.3642</v>
      </c>
      <c r="AX77" s="616">
        <f t="shared" si="96"/>
        <v>7.284</v>
      </c>
      <c r="AY77" s="618"/>
      <c r="AZ77" s="615">
        <f t="shared" si="97"/>
        <v>2.6618</v>
      </c>
      <c r="BA77" s="616">
        <f t="shared" si="98"/>
        <v>1.2816</v>
      </c>
      <c r="BB77" s="616">
        <f t="shared" si="99"/>
        <v>0.412</v>
      </c>
      <c r="BC77" s="616">
        <f t="shared" si="100"/>
        <v>0.309</v>
      </c>
      <c r="BD77" s="616">
        <f t="shared" si="101"/>
        <v>0.0103</v>
      </c>
      <c r="BE77" s="616">
        <f t="shared" si="102"/>
        <v>0.0309</v>
      </c>
      <c r="BF77" s="616">
        <f t="shared" si="103"/>
        <v>0.618</v>
      </c>
      <c r="BG77" s="616"/>
      <c r="BH77" s="615">
        <f t="shared" si="104"/>
        <v>33.7486</v>
      </c>
      <c r="BI77" s="616">
        <f t="shared" si="105"/>
        <v>16.1008</v>
      </c>
      <c r="BJ77" s="616">
        <f t="shared" si="106"/>
        <v>5.268</v>
      </c>
      <c r="BK77" s="616">
        <f t="shared" si="107"/>
        <v>3.951</v>
      </c>
      <c r="BL77" s="616">
        <f t="shared" si="108"/>
        <v>0.1317</v>
      </c>
      <c r="BM77" s="616">
        <f t="shared" si="109"/>
        <v>0.3951</v>
      </c>
      <c r="BN77" s="616">
        <f t="shared" si="110"/>
        <v>7.902</v>
      </c>
      <c r="BO77" s="616"/>
      <c r="BP77" s="304" t="s">
        <v>301</v>
      </c>
    </row>
    <row r="78" s="131" customFormat="1" ht="24" spans="1:68">
      <c r="A78" s="497" t="s">
        <v>261</v>
      </c>
      <c r="B78" s="497" t="s">
        <v>206</v>
      </c>
      <c r="C78" s="497" t="s">
        <v>302</v>
      </c>
      <c r="D78" s="497" t="s">
        <v>297</v>
      </c>
      <c r="E78" s="617">
        <f t="shared" si="72"/>
        <v>0</v>
      </c>
      <c r="F78" s="617">
        <f t="shared" si="76"/>
        <v>0</v>
      </c>
      <c r="G78" s="618"/>
      <c r="H78" s="618"/>
      <c r="I78" s="618"/>
      <c r="J78" s="618"/>
      <c r="K78" s="618"/>
      <c r="L78" s="618"/>
      <c r="M78" s="617">
        <f t="shared" ref="M77:M103" si="111">SUM(N78:Q78)</f>
        <v>0</v>
      </c>
      <c r="N78" s="618"/>
      <c r="O78" s="618"/>
      <c r="P78" s="618"/>
      <c r="Q78" s="618"/>
      <c r="R78" s="617">
        <f t="shared" si="73"/>
        <v>0</v>
      </c>
      <c r="S78" s="615">
        <f t="shared" si="77"/>
        <v>0</v>
      </c>
      <c r="T78" s="618"/>
      <c r="U78" s="618"/>
      <c r="V78" s="618"/>
      <c r="W78" s="618"/>
      <c r="X78" s="618"/>
      <c r="Y78" s="618"/>
      <c r="Z78" s="617">
        <f t="shared" si="74"/>
        <v>0</v>
      </c>
      <c r="AA78" s="618"/>
      <c r="AB78" s="618"/>
      <c r="AC78" s="618"/>
      <c r="AD78" s="618"/>
      <c r="AE78" s="615">
        <f t="shared" si="78"/>
        <v>0</v>
      </c>
      <c r="AF78" s="615">
        <f t="shared" si="79"/>
        <v>0</v>
      </c>
      <c r="AG78" s="616">
        <f t="shared" si="80"/>
        <v>0</v>
      </c>
      <c r="AH78" s="616">
        <f t="shared" si="81"/>
        <v>0</v>
      </c>
      <c r="AI78" s="616">
        <f t="shared" si="82"/>
        <v>0</v>
      </c>
      <c r="AJ78" s="616">
        <f t="shared" si="83"/>
        <v>0</v>
      </c>
      <c r="AK78" s="616">
        <f t="shared" si="84"/>
        <v>0</v>
      </c>
      <c r="AL78" s="616">
        <f t="shared" si="85"/>
        <v>0</v>
      </c>
      <c r="AM78" s="615">
        <f t="shared" si="86"/>
        <v>0</v>
      </c>
      <c r="AN78" s="616">
        <f t="shared" si="87"/>
        <v>0</v>
      </c>
      <c r="AO78" s="616">
        <f t="shared" si="88"/>
        <v>0</v>
      </c>
      <c r="AP78" s="616">
        <f t="shared" si="89"/>
        <v>0</v>
      </c>
      <c r="AQ78" s="637">
        <f t="shared" si="90"/>
        <v>0</v>
      </c>
      <c r="AR78" s="639">
        <f t="shared" si="75"/>
        <v>0</v>
      </c>
      <c r="AS78" s="616">
        <f t="shared" si="91"/>
        <v>0</v>
      </c>
      <c r="AT78" s="616">
        <f t="shared" si="92"/>
        <v>0</v>
      </c>
      <c r="AU78" s="616">
        <f t="shared" si="93"/>
        <v>0</v>
      </c>
      <c r="AV78" s="616">
        <f t="shared" si="94"/>
        <v>0</v>
      </c>
      <c r="AW78" s="616">
        <f t="shared" si="95"/>
        <v>0</v>
      </c>
      <c r="AX78" s="616">
        <f t="shared" si="96"/>
        <v>0</v>
      </c>
      <c r="AY78" s="618"/>
      <c r="AZ78" s="615">
        <f t="shared" si="97"/>
        <v>0</v>
      </c>
      <c r="BA78" s="616">
        <f t="shared" si="98"/>
        <v>0</v>
      </c>
      <c r="BB78" s="616">
        <f t="shared" si="99"/>
        <v>0</v>
      </c>
      <c r="BC78" s="616">
        <f t="shared" si="100"/>
        <v>0</v>
      </c>
      <c r="BD78" s="616">
        <f t="shared" si="101"/>
        <v>0</v>
      </c>
      <c r="BE78" s="616">
        <f t="shared" si="102"/>
        <v>0</v>
      </c>
      <c r="BF78" s="616">
        <f t="shared" si="103"/>
        <v>0</v>
      </c>
      <c r="BG78" s="616"/>
      <c r="BH78" s="615">
        <f t="shared" si="104"/>
        <v>0</v>
      </c>
      <c r="BI78" s="616">
        <f t="shared" si="105"/>
        <v>0</v>
      </c>
      <c r="BJ78" s="616">
        <f t="shared" si="106"/>
        <v>0</v>
      </c>
      <c r="BK78" s="616">
        <f t="shared" si="107"/>
        <v>0</v>
      </c>
      <c r="BL78" s="616">
        <f t="shared" si="108"/>
        <v>0</v>
      </c>
      <c r="BM78" s="616">
        <f t="shared" si="109"/>
        <v>0</v>
      </c>
      <c r="BN78" s="616">
        <f t="shared" si="110"/>
        <v>0</v>
      </c>
      <c r="BO78" s="616"/>
      <c r="BP78" s="304"/>
    </row>
    <row r="79" s="131" customFormat="1" ht="36" spans="1:68">
      <c r="A79" s="497" t="s">
        <v>261</v>
      </c>
      <c r="B79" s="497" t="s">
        <v>206</v>
      </c>
      <c r="C79" s="497" t="s">
        <v>303</v>
      </c>
      <c r="D79" s="497" t="s">
        <v>297</v>
      </c>
      <c r="E79" s="617">
        <f t="shared" si="72"/>
        <v>0</v>
      </c>
      <c r="F79" s="617">
        <f t="shared" si="76"/>
        <v>0</v>
      </c>
      <c r="G79" s="618"/>
      <c r="H79" s="618"/>
      <c r="I79" s="618"/>
      <c r="J79" s="618"/>
      <c r="K79" s="618"/>
      <c r="L79" s="618"/>
      <c r="M79" s="617">
        <f t="shared" si="111"/>
        <v>0</v>
      </c>
      <c r="N79" s="618"/>
      <c r="O79" s="618"/>
      <c r="P79" s="618"/>
      <c r="Q79" s="618"/>
      <c r="R79" s="617">
        <f t="shared" si="73"/>
        <v>0</v>
      </c>
      <c r="S79" s="615">
        <f t="shared" si="77"/>
        <v>0</v>
      </c>
      <c r="T79" s="618"/>
      <c r="U79" s="618"/>
      <c r="V79" s="618"/>
      <c r="W79" s="618"/>
      <c r="X79" s="618"/>
      <c r="Y79" s="618"/>
      <c r="Z79" s="617">
        <f t="shared" si="74"/>
        <v>0</v>
      </c>
      <c r="AA79" s="618"/>
      <c r="AB79" s="618"/>
      <c r="AC79" s="618"/>
      <c r="AD79" s="618"/>
      <c r="AE79" s="615">
        <f t="shared" si="78"/>
        <v>0</v>
      </c>
      <c r="AF79" s="615">
        <f t="shared" si="79"/>
        <v>0</v>
      </c>
      <c r="AG79" s="616">
        <f t="shared" si="80"/>
        <v>0</v>
      </c>
      <c r="AH79" s="616">
        <f t="shared" si="81"/>
        <v>0</v>
      </c>
      <c r="AI79" s="616">
        <f t="shared" si="82"/>
        <v>0</v>
      </c>
      <c r="AJ79" s="616">
        <f t="shared" si="83"/>
        <v>0</v>
      </c>
      <c r="AK79" s="616">
        <f t="shared" si="84"/>
        <v>0</v>
      </c>
      <c r="AL79" s="616">
        <f t="shared" si="85"/>
        <v>0</v>
      </c>
      <c r="AM79" s="615">
        <f t="shared" si="86"/>
        <v>0</v>
      </c>
      <c r="AN79" s="616">
        <f t="shared" si="87"/>
        <v>0</v>
      </c>
      <c r="AO79" s="616">
        <f t="shared" si="88"/>
        <v>0</v>
      </c>
      <c r="AP79" s="616">
        <f t="shared" si="89"/>
        <v>0</v>
      </c>
      <c r="AQ79" s="637">
        <f t="shared" si="90"/>
        <v>0</v>
      </c>
      <c r="AR79" s="639">
        <f t="shared" si="75"/>
        <v>0</v>
      </c>
      <c r="AS79" s="616">
        <f t="shared" si="91"/>
        <v>0</v>
      </c>
      <c r="AT79" s="616">
        <f t="shared" si="92"/>
        <v>0</v>
      </c>
      <c r="AU79" s="616">
        <f t="shared" si="93"/>
        <v>0</v>
      </c>
      <c r="AV79" s="616">
        <f t="shared" si="94"/>
        <v>0</v>
      </c>
      <c r="AW79" s="616">
        <f t="shared" si="95"/>
        <v>0</v>
      </c>
      <c r="AX79" s="616">
        <f t="shared" si="96"/>
        <v>0</v>
      </c>
      <c r="AY79" s="618"/>
      <c r="AZ79" s="615">
        <f t="shared" si="97"/>
        <v>0</v>
      </c>
      <c r="BA79" s="616">
        <f t="shared" si="98"/>
        <v>0</v>
      </c>
      <c r="BB79" s="616">
        <f t="shared" si="99"/>
        <v>0</v>
      </c>
      <c r="BC79" s="616">
        <f t="shared" si="100"/>
        <v>0</v>
      </c>
      <c r="BD79" s="616">
        <f t="shared" si="101"/>
        <v>0</v>
      </c>
      <c r="BE79" s="616">
        <f t="shared" si="102"/>
        <v>0</v>
      </c>
      <c r="BF79" s="616">
        <f t="shared" si="103"/>
        <v>0</v>
      </c>
      <c r="BG79" s="616"/>
      <c r="BH79" s="615">
        <f t="shared" si="104"/>
        <v>0</v>
      </c>
      <c r="BI79" s="616">
        <f t="shared" si="105"/>
        <v>0</v>
      </c>
      <c r="BJ79" s="616">
        <f t="shared" si="106"/>
        <v>0</v>
      </c>
      <c r="BK79" s="616">
        <f t="shared" si="107"/>
        <v>0</v>
      </c>
      <c r="BL79" s="616">
        <f t="shared" si="108"/>
        <v>0</v>
      </c>
      <c r="BM79" s="616">
        <f t="shared" si="109"/>
        <v>0</v>
      </c>
      <c r="BN79" s="616">
        <f t="shared" si="110"/>
        <v>0</v>
      </c>
      <c r="BO79" s="616"/>
      <c r="BP79" s="304"/>
    </row>
    <row r="80" s="131" customFormat="1" ht="24" spans="1:68">
      <c r="A80" s="497" t="s">
        <v>215</v>
      </c>
      <c r="B80" s="497" t="s">
        <v>206</v>
      </c>
      <c r="C80" s="497" t="s">
        <v>304</v>
      </c>
      <c r="D80" s="497" t="s">
        <v>297</v>
      </c>
      <c r="E80" s="617">
        <f t="shared" si="72"/>
        <v>0</v>
      </c>
      <c r="F80" s="617">
        <f t="shared" si="76"/>
        <v>0</v>
      </c>
      <c r="G80" s="618"/>
      <c r="H80" s="618"/>
      <c r="I80" s="618"/>
      <c r="J80" s="618"/>
      <c r="K80" s="618"/>
      <c r="L80" s="618"/>
      <c r="M80" s="617">
        <f t="shared" si="111"/>
        <v>0</v>
      </c>
      <c r="N80" s="618"/>
      <c r="O80" s="618"/>
      <c r="P80" s="618"/>
      <c r="Q80" s="618"/>
      <c r="R80" s="617">
        <f t="shared" si="73"/>
        <v>0</v>
      </c>
      <c r="S80" s="615">
        <f t="shared" si="77"/>
        <v>0</v>
      </c>
      <c r="T80" s="619"/>
      <c r="U80" s="619"/>
      <c r="V80" s="619"/>
      <c r="W80" s="618"/>
      <c r="X80" s="618"/>
      <c r="Y80" s="618"/>
      <c r="Z80" s="617">
        <f t="shared" si="74"/>
        <v>0</v>
      </c>
      <c r="AA80" s="619"/>
      <c r="AB80" s="618"/>
      <c r="AC80" s="618"/>
      <c r="AD80" s="618"/>
      <c r="AE80" s="615">
        <f t="shared" si="78"/>
        <v>0</v>
      </c>
      <c r="AF80" s="615">
        <f t="shared" si="79"/>
        <v>0</v>
      </c>
      <c r="AG80" s="616">
        <f t="shared" si="80"/>
        <v>0</v>
      </c>
      <c r="AH80" s="616">
        <f t="shared" si="81"/>
        <v>0</v>
      </c>
      <c r="AI80" s="616">
        <f t="shared" si="82"/>
        <v>0</v>
      </c>
      <c r="AJ80" s="616">
        <f t="shared" si="83"/>
        <v>0</v>
      </c>
      <c r="AK80" s="616">
        <f t="shared" si="84"/>
        <v>0</v>
      </c>
      <c r="AL80" s="616">
        <f t="shared" si="85"/>
        <v>0</v>
      </c>
      <c r="AM80" s="615">
        <f t="shared" si="86"/>
        <v>0</v>
      </c>
      <c r="AN80" s="616">
        <f t="shared" si="87"/>
        <v>0</v>
      </c>
      <c r="AO80" s="616">
        <f t="shared" si="88"/>
        <v>0</v>
      </c>
      <c r="AP80" s="616">
        <f t="shared" si="89"/>
        <v>0</v>
      </c>
      <c r="AQ80" s="637">
        <f t="shared" si="90"/>
        <v>0</v>
      </c>
      <c r="AR80" s="639">
        <f t="shared" si="75"/>
        <v>0</v>
      </c>
      <c r="AS80" s="616">
        <f t="shared" si="91"/>
        <v>0</v>
      </c>
      <c r="AT80" s="616">
        <f t="shared" si="92"/>
        <v>0</v>
      </c>
      <c r="AU80" s="616">
        <f t="shared" si="93"/>
        <v>0</v>
      </c>
      <c r="AV80" s="616">
        <f t="shared" si="94"/>
        <v>0</v>
      </c>
      <c r="AW80" s="616">
        <f t="shared" si="95"/>
        <v>0</v>
      </c>
      <c r="AX80" s="616">
        <f t="shared" si="96"/>
        <v>0</v>
      </c>
      <c r="AY80" s="618"/>
      <c r="AZ80" s="615">
        <f t="shared" si="97"/>
        <v>0</v>
      </c>
      <c r="BA80" s="616">
        <f t="shared" si="98"/>
        <v>0</v>
      </c>
      <c r="BB80" s="616">
        <f t="shared" si="99"/>
        <v>0</v>
      </c>
      <c r="BC80" s="616">
        <f t="shared" si="100"/>
        <v>0</v>
      </c>
      <c r="BD80" s="616">
        <f t="shared" si="101"/>
        <v>0</v>
      </c>
      <c r="BE80" s="616">
        <f t="shared" si="102"/>
        <v>0</v>
      </c>
      <c r="BF80" s="616">
        <f t="shared" si="103"/>
        <v>0</v>
      </c>
      <c r="BG80" s="616"/>
      <c r="BH80" s="615">
        <f t="shared" si="104"/>
        <v>0</v>
      </c>
      <c r="BI80" s="616">
        <f t="shared" si="105"/>
        <v>0</v>
      </c>
      <c r="BJ80" s="616">
        <f t="shared" si="106"/>
        <v>0</v>
      </c>
      <c r="BK80" s="616">
        <f t="shared" si="107"/>
        <v>0</v>
      </c>
      <c r="BL80" s="616">
        <f t="shared" si="108"/>
        <v>0</v>
      </c>
      <c r="BM80" s="616">
        <f t="shared" si="109"/>
        <v>0</v>
      </c>
      <c r="BN80" s="616">
        <f t="shared" si="110"/>
        <v>0</v>
      </c>
      <c r="BO80" s="616"/>
      <c r="BP80" s="304"/>
    </row>
    <row r="81" s="131" customFormat="1" ht="24" spans="1:68">
      <c r="A81" s="497" t="s">
        <v>215</v>
      </c>
      <c r="B81" s="497" t="s">
        <v>206</v>
      </c>
      <c r="C81" s="497" t="s">
        <v>305</v>
      </c>
      <c r="D81" s="497" t="s">
        <v>297</v>
      </c>
      <c r="E81" s="617">
        <f t="shared" si="72"/>
        <v>0</v>
      </c>
      <c r="F81" s="617">
        <f t="shared" si="76"/>
        <v>0</v>
      </c>
      <c r="G81" s="618"/>
      <c r="H81" s="618"/>
      <c r="I81" s="618"/>
      <c r="J81" s="618"/>
      <c r="K81" s="618"/>
      <c r="L81" s="618"/>
      <c r="M81" s="617">
        <f t="shared" si="111"/>
        <v>0</v>
      </c>
      <c r="N81" s="618"/>
      <c r="O81" s="618"/>
      <c r="P81" s="618"/>
      <c r="Q81" s="618"/>
      <c r="R81" s="617">
        <f t="shared" si="73"/>
        <v>0</v>
      </c>
      <c r="S81" s="615">
        <f t="shared" si="77"/>
        <v>0</v>
      </c>
      <c r="T81" s="619"/>
      <c r="U81" s="619"/>
      <c r="V81" s="619"/>
      <c r="W81" s="618"/>
      <c r="X81" s="618"/>
      <c r="Y81" s="618"/>
      <c r="Z81" s="617">
        <f t="shared" si="74"/>
        <v>0</v>
      </c>
      <c r="AA81" s="619"/>
      <c r="AB81" s="618"/>
      <c r="AC81" s="618"/>
      <c r="AD81" s="618"/>
      <c r="AE81" s="615">
        <f t="shared" si="78"/>
        <v>0</v>
      </c>
      <c r="AF81" s="615">
        <f t="shared" si="79"/>
        <v>0</v>
      </c>
      <c r="AG81" s="616">
        <f t="shared" si="80"/>
        <v>0</v>
      </c>
      <c r="AH81" s="616">
        <f t="shared" si="81"/>
        <v>0</v>
      </c>
      <c r="AI81" s="616">
        <f t="shared" si="82"/>
        <v>0</v>
      </c>
      <c r="AJ81" s="616">
        <f t="shared" si="83"/>
        <v>0</v>
      </c>
      <c r="AK81" s="616">
        <f t="shared" si="84"/>
        <v>0</v>
      </c>
      <c r="AL81" s="616">
        <f t="shared" si="85"/>
        <v>0</v>
      </c>
      <c r="AM81" s="615">
        <f t="shared" si="86"/>
        <v>0</v>
      </c>
      <c r="AN81" s="616">
        <f t="shared" si="87"/>
        <v>0</v>
      </c>
      <c r="AO81" s="616">
        <f t="shared" si="88"/>
        <v>0</v>
      </c>
      <c r="AP81" s="616">
        <f t="shared" si="89"/>
        <v>0</v>
      </c>
      <c r="AQ81" s="637">
        <f t="shared" si="90"/>
        <v>0</v>
      </c>
      <c r="AR81" s="639">
        <f t="shared" si="75"/>
        <v>0</v>
      </c>
      <c r="AS81" s="616">
        <f t="shared" si="91"/>
        <v>0</v>
      </c>
      <c r="AT81" s="616">
        <f t="shared" si="92"/>
        <v>0</v>
      </c>
      <c r="AU81" s="616">
        <f t="shared" si="93"/>
        <v>0</v>
      </c>
      <c r="AV81" s="616">
        <f t="shared" si="94"/>
        <v>0</v>
      </c>
      <c r="AW81" s="616">
        <f t="shared" si="95"/>
        <v>0</v>
      </c>
      <c r="AX81" s="616">
        <f t="shared" si="96"/>
        <v>0</v>
      </c>
      <c r="AY81" s="618"/>
      <c r="AZ81" s="615">
        <f t="shared" si="97"/>
        <v>0</v>
      </c>
      <c r="BA81" s="616">
        <f t="shared" si="98"/>
        <v>0</v>
      </c>
      <c r="BB81" s="616">
        <f t="shared" si="99"/>
        <v>0</v>
      </c>
      <c r="BC81" s="616">
        <f t="shared" si="100"/>
        <v>0</v>
      </c>
      <c r="BD81" s="616">
        <f t="shared" si="101"/>
        <v>0</v>
      </c>
      <c r="BE81" s="616">
        <f t="shared" si="102"/>
        <v>0</v>
      </c>
      <c r="BF81" s="616">
        <f t="shared" si="103"/>
        <v>0</v>
      </c>
      <c r="BG81" s="616"/>
      <c r="BH81" s="615">
        <f t="shared" si="104"/>
        <v>0</v>
      </c>
      <c r="BI81" s="616">
        <f t="shared" si="105"/>
        <v>0</v>
      </c>
      <c r="BJ81" s="616">
        <f t="shared" si="106"/>
        <v>0</v>
      </c>
      <c r="BK81" s="616">
        <f t="shared" si="107"/>
        <v>0</v>
      </c>
      <c r="BL81" s="616">
        <f t="shared" si="108"/>
        <v>0</v>
      </c>
      <c r="BM81" s="616">
        <f t="shared" si="109"/>
        <v>0</v>
      </c>
      <c r="BN81" s="616">
        <f t="shared" si="110"/>
        <v>0</v>
      </c>
      <c r="BO81" s="616"/>
      <c r="BP81" s="304"/>
    </row>
    <row r="82" s="131" customFormat="1" ht="24" spans="1:68">
      <c r="A82" s="497" t="s">
        <v>215</v>
      </c>
      <c r="B82" s="497" t="s">
        <v>206</v>
      </c>
      <c r="C82" s="497" t="s">
        <v>306</v>
      </c>
      <c r="D82" s="497" t="s">
        <v>297</v>
      </c>
      <c r="E82" s="617">
        <f t="shared" si="72"/>
        <v>0</v>
      </c>
      <c r="F82" s="617">
        <f t="shared" si="76"/>
        <v>0</v>
      </c>
      <c r="G82" s="618"/>
      <c r="H82" s="618"/>
      <c r="I82" s="618"/>
      <c r="J82" s="618"/>
      <c r="K82" s="618"/>
      <c r="L82" s="618"/>
      <c r="M82" s="617">
        <f t="shared" si="111"/>
        <v>0</v>
      </c>
      <c r="N82" s="618"/>
      <c r="O82" s="618"/>
      <c r="P82" s="618"/>
      <c r="Q82" s="618"/>
      <c r="R82" s="617">
        <f t="shared" si="73"/>
        <v>0</v>
      </c>
      <c r="S82" s="615">
        <f t="shared" si="77"/>
        <v>0</v>
      </c>
      <c r="T82" s="619"/>
      <c r="U82" s="619"/>
      <c r="V82" s="619"/>
      <c r="W82" s="618"/>
      <c r="X82" s="618"/>
      <c r="Y82" s="618"/>
      <c r="Z82" s="617">
        <f t="shared" si="74"/>
        <v>0</v>
      </c>
      <c r="AA82" s="619"/>
      <c r="AB82" s="618"/>
      <c r="AC82" s="618"/>
      <c r="AD82" s="618"/>
      <c r="AE82" s="615">
        <f t="shared" si="78"/>
        <v>0</v>
      </c>
      <c r="AF82" s="615">
        <f t="shared" si="79"/>
        <v>0</v>
      </c>
      <c r="AG82" s="616">
        <f t="shared" si="80"/>
        <v>0</v>
      </c>
      <c r="AH82" s="616">
        <f t="shared" si="81"/>
        <v>0</v>
      </c>
      <c r="AI82" s="616">
        <f t="shared" si="82"/>
        <v>0</v>
      </c>
      <c r="AJ82" s="616">
        <f t="shared" si="83"/>
        <v>0</v>
      </c>
      <c r="AK82" s="616">
        <f t="shared" si="84"/>
        <v>0</v>
      </c>
      <c r="AL82" s="616">
        <f t="shared" si="85"/>
        <v>0</v>
      </c>
      <c r="AM82" s="615">
        <f t="shared" si="86"/>
        <v>0</v>
      </c>
      <c r="AN82" s="616">
        <f t="shared" si="87"/>
        <v>0</v>
      </c>
      <c r="AO82" s="616">
        <f t="shared" si="88"/>
        <v>0</v>
      </c>
      <c r="AP82" s="616">
        <f t="shared" si="89"/>
        <v>0</v>
      </c>
      <c r="AQ82" s="637">
        <f t="shared" si="90"/>
        <v>0</v>
      </c>
      <c r="AR82" s="639">
        <f t="shared" si="75"/>
        <v>0</v>
      </c>
      <c r="AS82" s="616">
        <f t="shared" si="91"/>
        <v>0</v>
      </c>
      <c r="AT82" s="616">
        <f t="shared" si="92"/>
        <v>0</v>
      </c>
      <c r="AU82" s="616">
        <f t="shared" si="93"/>
        <v>0</v>
      </c>
      <c r="AV82" s="616">
        <f t="shared" si="94"/>
        <v>0</v>
      </c>
      <c r="AW82" s="616">
        <f t="shared" si="95"/>
        <v>0</v>
      </c>
      <c r="AX82" s="616">
        <f t="shared" si="96"/>
        <v>0</v>
      </c>
      <c r="AY82" s="618"/>
      <c r="AZ82" s="615">
        <f t="shared" si="97"/>
        <v>0</v>
      </c>
      <c r="BA82" s="616">
        <f t="shared" si="98"/>
        <v>0</v>
      </c>
      <c r="BB82" s="616">
        <f t="shared" si="99"/>
        <v>0</v>
      </c>
      <c r="BC82" s="616">
        <f t="shared" si="100"/>
        <v>0</v>
      </c>
      <c r="BD82" s="616">
        <f t="shared" si="101"/>
        <v>0</v>
      </c>
      <c r="BE82" s="616">
        <f t="shared" si="102"/>
        <v>0</v>
      </c>
      <c r="BF82" s="616">
        <f t="shared" si="103"/>
        <v>0</v>
      </c>
      <c r="BG82" s="616"/>
      <c r="BH82" s="615">
        <f t="shared" si="104"/>
        <v>0</v>
      </c>
      <c r="BI82" s="616">
        <f t="shared" si="105"/>
        <v>0</v>
      </c>
      <c r="BJ82" s="616">
        <f t="shared" si="106"/>
        <v>0</v>
      </c>
      <c r="BK82" s="616">
        <f t="shared" si="107"/>
        <v>0</v>
      </c>
      <c r="BL82" s="616">
        <f t="shared" si="108"/>
        <v>0</v>
      </c>
      <c r="BM82" s="616">
        <f t="shared" si="109"/>
        <v>0</v>
      </c>
      <c r="BN82" s="616">
        <f t="shared" si="110"/>
        <v>0</v>
      </c>
      <c r="BO82" s="616"/>
      <c r="BP82" s="304"/>
    </row>
    <row r="83" s="131" customFormat="1" ht="36" spans="1:68">
      <c r="A83" s="497" t="s">
        <v>261</v>
      </c>
      <c r="B83" s="497" t="s">
        <v>203</v>
      </c>
      <c r="C83" s="497" t="s">
        <v>307</v>
      </c>
      <c r="D83" s="497" t="s">
        <v>308</v>
      </c>
      <c r="E83" s="617">
        <f t="shared" si="72"/>
        <v>76.47</v>
      </c>
      <c r="F83" s="617">
        <f t="shared" si="76"/>
        <v>61.05</v>
      </c>
      <c r="G83" s="618">
        <v>23.86</v>
      </c>
      <c r="H83" s="618">
        <v>15.41</v>
      </c>
      <c r="I83" s="618">
        <v>1.99</v>
      </c>
      <c r="J83" s="618">
        <v>0.72</v>
      </c>
      <c r="K83" s="618"/>
      <c r="L83" s="618">
        <v>19.07</v>
      </c>
      <c r="M83" s="617">
        <f t="shared" si="111"/>
        <v>15.42</v>
      </c>
      <c r="N83" s="618">
        <v>10.17</v>
      </c>
      <c r="O83" s="618"/>
      <c r="P83" s="618">
        <v>2.75</v>
      </c>
      <c r="Q83" s="618">
        <v>2.5</v>
      </c>
      <c r="R83" s="617">
        <f t="shared" si="73"/>
        <v>3.4</v>
      </c>
      <c r="S83" s="615">
        <f t="shared" si="77"/>
        <v>3.52</v>
      </c>
      <c r="T83" s="618">
        <v>2.16</v>
      </c>
      <c r="U83" s="618"/>
      <c r="V83" s="618"/>
      <c r="W83" s="618">
        <v>-0.24</v>
      </c>
      <c r="X83" s="618"/>
      <c r="Y83" s="618">
        <v>1.6</v>
      </c>
      <c r="Z83" s="617">
        <f t="shared" si="74"/>
        <v>-0.12</v>
      </c>
      <c r="AA83" s="618">
        <v>-0.8</v>
      </c>
      <c r="AB83" s="618">
        <v>0.3</v>
      </c>
      <c r="AC83" s="618">
        <v>0.38</v>
      </c>
      <c r="AD83" s="618"/>
      <c r="AE83" s="615">
        <f t="shared" si="78"/>
        <v>79.87</v>
      </c>
      <c r="AF83" s="615">
        <f t="shared" si="79"/>
        <v>64.57</v>
      </c>
      <c r="AG83" s="616">
        <f t="shared" si="80"/>
        <v>26.02</v>
      </c>
      <c r="AH83" s="616">
        <f t="shared" si="81"/>
        <v>15.41</v>
      </c>
      <c r="AI83" s="616">
        <f t="shared" si="82"/>
        <v>1.99</v>
      </c>
      <c r="AJ83" s="616">
        <f t="shared" si="83"/>
        <v>0.48</v>
      </c>
      <c r="AK83" s="616">
        <f t="shared" si="84"/>
        <v>0</v>
      </c>
      <c r="AL83" s="616">
        <f t="shared" si="85"/>
        <v>20.67</v>
      </c>
      <c r="AM83" s="615">
        <f t="shared" si="86"/>
        <v>15.3</v>
      </c>
      <c r="AN83" s="616">
        <f t="shared" si="87"/>
        <v>9.37</v>
      </c>
      <c r="AO83" s="616">
        <f t="shared" si="88"/>
        <v>0.3</v>
      </c>
      <c r="AP83" s="616">
        <f t="shared" si="89"/>
        <v>3.13</v>
      </c>
      <c r="AQ83" s="637">
        <f t="shared" si="90"/>
        <v>2.5</v>
      </c>
      <c r="AR83" s="639">
        <f t="shared" si="75"/>
        <v>20.17716</v>
      </c>
      <c r="AS83" s="616">
        <f t="shared" si="91"/>
        <v>9.6528</v>
      </c>
      <c r="AT83" s="616">
        <f t="shared" si="92"/>
        <v>3.1416</v>
      </c>
      <c r="AU83" s="616">
        <f t="shared" si="93"/>
        <v>2.3562</v>
      </c>
      <c r="AV83" s="616">
        <f t="shared" si="94"/>
        <v>0.07854</v>
      </c>
      <c r="AW83" s="616">
        <f t="shared" si="95"/>
        <v>0.23562</v>
      </c>
      <c r="AX83" s="616">
        <f t="shared" si="96"/>
        <v>4.7124</v>
      </c>
      <c r="AY83" s="618"/>
      <c r="AZ83" s="615">
        <f t="shared" si="97"/>
        <v>1.18048</v>
      </c>
      <c r="BA83" s="616">
        <f t="shared" si="98"/>
        <v>0.6016</v>
      </c>
      <c r="BB83" s="616">
        <f t="shared" si="99"/>
        <v>0.1728</v>
      </c>
      <c r="BC83" s="616">
        <f t="shared" si="100"/>
        <v>0.1296</v>
      </c>
      <c r="BD83" s="616">
        <f t="shared" si="101"/>
        <v>0.00432</v>
      </c>
      <c r="BE83" s="616">
        <f t="shared" si="102"/>
        <v>0.01296</v>
      </c>
      <c r="BF83" s="616">
        <f t="shared" si="103"/>
        <v>0.2592</v>
      </c>
      <c r="BG83" s="616"/>
      <c r="BH83" s="615">
        <f t="shared" si="104"/>
        <v>21.35764</v>
      </c>
      <c r="BI83" s="616">
        <f t="shared" si="105"/>
        <v>10.2544</v>
      </c>
      <c r="BJ83" s="616">
        <f t="shared" si="106"/>
        <v>3.3144</v>
      </c>
      <c r="BK83" s="616">
        <f t="shared" si="107"/>
        <v>2.4858</v>
      </c>
      <c r="BL83" s="616">
        <f t="shared" si="108"/>
        <v>0.08286</v>
      </c>
      <c r="BM83" s="616">
        <f t="shared" si="109"/>
        <v>0.24858</v>
      </c>
      <c r="BN83" s="616">
        <f t="shared" si="110"/>
        <v>4.9716</v>
      </c>
      <c r="BO83" s="616"/>
      <c r="BP83" s="304"/>
    </row>
    <row r="84" s="131" customFormat="1" ht="36" spans="1:68">
      <c r="A84" s="497" t="s">
        <v>261</v>
      </c>
      <c r="B84" s="497" t="s">
        <v>206</v>
      </c>
      <c r="C84" s="497" t="s">
        <v>309</v>
      </c>
      <c r="D84" s="497" t="s">
        <v>308</v>
      </c>
      <c r="E84" s="617">
        <f t="shared" si="72"/>
        <v>0</v>
      </c>
      <c r="F84" s="617">
        <f t="shared" si="76"/>
        <v>0</v>
      </c>
      <c r="G84" s="618"/>
      <c r="H84" s="618"/>
      <c r="I84" s="618"/>
      <c r="J84" s="618"/>
      <c r="K84" s="618"/>
      <c r="L84" s="618"/>
      <c r="M84" s="617">
        <f t="shared" si="111"/>
        <v>0</v>
      </c>
      <c r="N84" s="618"/>
      <c r="O84" s="618"/>
      <c r="P84" s="618"/>
      <c r="Q84" s="618"/>
      <c r="R84" s="617">
        <f t="shared" si="73"/>
        <v>0</v>
      </c>
      <c r="S84" s="615">
        <f t="shared" si="77"/>
        <v>0</v>
      </c>
      <c r="T84" s="618"/>
      <c r="U84" s="618"/>
      <c r="V84" s="618"/>
      <c r="W84" s="618"/>
      <c r="X84" s="618"/>
      <c r="Y84" s="618"/>
      <c r="Z84" s="617">
        <f t="shared" si="74"/>
        <v>0</v>
      </c>
      <c r="AA84" s="618"/>
      <c r="AB84" s="618"/>
      <c r="AC84" s="618"/>
      <c r="AD84" s="618"/>
      <c r="AE84" s="615">
        <f t="shared" si="78"/>
        <v>0</v>
      </c>
      <c r="AF84" s="615">
        <f t="shared" si="79"/>
        <v>0</v>
      </c>
      <c r="AG84" s="616">
        <f t="shared" si="80"/>
        <v>0</v>
      </c>
      <c r="AH84" s="616">
        <f t="shared" si="81"/>
        <v>0</v>
      </c>
      <c r="AI84" s="616">
        <f t="shared" si="82"/>
        <v>0</v>
      </c>
      <c r="AJ84" s="616">
        <f t="shared" si="83"/>
        <v>0</v>
      </c>
      <c r="AK84" s="616">
        <f t="shared" si="84"/>
        <v>0</v>
      </c>
      <c r="AL84" s="616">
        <f t="shared" si="85"/>
        <v>0</v>
      </c>
      <c r="AM84" s="615">
        <f t="shared" si="86"/>
        <v>0</v>
      </c>
      <c r="AN84" s="616">
        <f t="shared" si="87"/>
        <v>0</v>
      </c>
      <c r="AO84" s="616">
        <f t="shared" si="88"/>
        <v>0</v>
      </c>
      <c r="AP84" s="616">
        <f t="shared" si="89"/>
        <v>0</v>
      </c>
      <c r="AQ84" s="637">
        <f t="shared" si="90"/>
        <v>0</v>
      </c>
      <c r="AR84" s="639">
        <f t="shared" si="75"/>
        <v>0</v>
      </c>
      <c r="AS84" s="616">
        <f t="shared" si="91"/>
        <v>0</v>
      </c>
      <c r="AT84" s="616">
        <f t="shared" si="92"/>
        <v>0</v>
      </c>
      <c r="AU84" s="616">
        <f t="shared" si="93"/>
        <v>0</v>
      </c>
      <c r="AV84" s="616">
        <f t="shared" si="94"/>
        <v>0</v>
      </c>
      <c r="AW84" s="616">
        <f t="shared" si="95"/>
        <v>0</v>
      </c>
      <c r="AX84" s="616">
        <f t="shared" si="96"/>
        <v>0</v>
      </c>
      <c r="AY84" s="618"/>
      <c r="AZ84" s="615">
        <f t="shared" si="97"/>
        <v>0</v>
      </c>
      <c r="BA84" s="616">
        <f t="shared" si="98"/>
        <v>0</v>
      </c>
      <c r="BB84" s="616">
        <f t="shared" si="99"/>
        <v>0</v>
      </c>
      <c r="BC84" s="616">
        <f t="shared" si="100"/>
        <v>0</v>
      </c>
      <c r="BD84" s="616">
        <f t="shared" si="101"/>
        <v>0</v>
      </c>
      <c r="BE84" s="616">
        <f t="shared" si="102"/>
        <v>0</v>
      </c>
      <c r="BF84" s="616">
        <f t="shared" si="103"/>
        <v>0</v>
      </c>
      <c r="BG84" s="616"/>
      <c r="BH84" s="615">
        <f t="shared" si="104"/>
        <v>0</v>
      </c>
      <c r="BI84" s="616">
        <f t="shared" si="105"/>
        <v>0</v>
      </c>
      <c r="BJ84" s="616">
        <f t="shared" si="106"/>
        <v>0</v>
      </c>
      <c r="BK84" s="616">
        <f t="shared" si="107"/>
        <v>0</v>
      </c>
      <c r="BL84" s="616">
        <f t="shared" si="108"/>
        <v>0</v>
      </c>
      <c r="BM84" s="616">
        <f t="shared" si="109"/>
        <v>0</v>
      </c>
      <c r="BN84" s="616">
        <f t="shared" si="110"/>
        <v>0</v>
      </c>
      <c r="BO84" s="616"/>
      <c r="BP84" s="304"/>
    </row>
    <row r="85" s="131" customFormat="1" ht="36" spans="1:68">
      <c r="A85" s="497" t="s">
        <v>261</v>
      </c>
      <c r="B85" s="497" t="s">
        <v>206</v>
      </c>
      <c r="C85" s="497" t="s">
        <v>310</v>
      </c>
      <c r="D85" s="497" t="s">
        <v>308</v>
      </c>
      <c r="E85" s="617">
        <f t="shared" si="72"/>
        <v>0</v>
      </c>
      <c r="F85" s="617">
        <f t="shared" si="76"/>
        <v>0</v>
      </c>
      <c r="G85" s="618"/>
      <c r="H85" s="618"/>
      <c r="I85" s="618"/>
      <c r="J85" s="618"/>
      <c r="K85" s="618"/>
      <c r="L85" s="618"/>
      <c r="M85" s="617">
        <f t="shared" si="111"/>
        <v>0</v>
      </c>
      <c r="N85" s="618"/>
      <c r="O85" s="618"/>
      <c r="P85" s="618"/>
      <c r="Q85" s="618"/>
      <c r="R85" s="617">
        <f t="shared" si="73"/>
        <v>0</v>
      </c>
      <c r="S85" s="615">
        <f t="shared" si="77"/>
        <v>0</v>
      </c>
      <c r="T85" s="618"/>
      <c r="U85" s="618"/>
      <c r="V85" s="618"/>
      <c r="W85" s="618"/>
      <c r="X85" s="618"/>
      <c r="Y85" s="618"/>
      <c r="Z85" s="617">
        <f t="shared" si="74"/>
        <v>0</v>
      </c>
      <c r="AA85" s="618"/>
      <c r="AB85" s="618"/>
      <c r="AC85" s="618"/>
      <c r="AD85" s="618"/>
      <c r="AE85" s="615">
        <f t="shared" si="78"/>
        <v>0</v>
      </c>
      <c r="AF85" s="615">
        <f t="shared" si="79"/>
        <v>0</v>
      </c>
      <c r="AG85" s="616">
        <f t="shared" si="80"/>
        <v>0</v>
      </c>
      <c r="AH85" s="616">
        <f t="shared" si="81"/>
        <v>0</v>
      </c>
      <c r="AI85" s="616">
        <f t="shared" si="82"/>
        <v>0</v>
      </c>
      <c r="AJ85" s="616">
        <f t="shared" si="83"/>
        <v>0</v>
      </c>
      <c r="AK85" s="616">
        <f t="shared" si="84"/>
        <v>0</v>
      </c>
      <c r="AL85" s="616">
        <f t="shared" si="85"/>
        <v>0</v>
      </c>
      <c r="AM85" s="615">
        <f t="shared" si="86"/>
        <v>0</v>
      </c>
      <c r="AN85" s="616">
        <f t="shared" si="87"/>
        <v>0</v>
      </c>
      <c r="AO85" s="616">
        <f t="shared" si="88"/>
        <v>0</v>
      </c>
      <c r="AP85" s="616">
        <f t="shared" si="89"/>
        <v>0</v>
      </c>
      <c r="AQ85" s="637">
        <f t="shared" si="90"/>
        <v>0</v>
      </c>
      <c r="AR85" s="639">
        <f t="shared" si="75"/>
        <v>0</v>
      </c>
      <c r="AS85" s="616">
        <f t="shared" si="91"/>
        <v>0</v>
      </c>
      <c r="AT85" s="616">
        <f t="shared" si="92"/>
        <v>0</v>
      </c>
      <c r="AU85" s="616">
        <f t="shared" si="93"/>
        <v>0</v>
      </c>
      <c r="AV85" s="616">
        <f t="shared" si="94"/>
        <v>0</v>
      </c>
      <c r="AW85" s="616">
        <f t="shared" si="95"/>
        <v>0</v>
      </c>
      <c r="AX85" s="616">
        <f t="shared" si="96"/>
        <v>0</v>
      </c>
      <c r="AY85" s="618"/>
      <c r="AZ85" s="615">
        <f t="shared" si="97"/>
        <v>0</v>
      </c>
      <c r="BA85" s="616">
        <f t="shared" si="98"/>
        <v>0</v>
      </c>
      <c r="BB85" s="616">
        <f t="shared" si="99"/>
        <v>0</v>
      </c>
      <c r="BC85" s="616">
        <f t="shared" si="100"/>
        <v>0</v>
      </c>
      <c r="BD85" s="616">
        <f t="shared" si="101"/>
        <v>0</v>
      </c>
      <c r="BE85" s="616">
        <f t="shared" si="102"/>
        <v>0</v>
      </c>
      <c r="BF85" s="616">
        <f t="shared" si="103"/>
        <v>0</v>
      </c>
      <c r="BG85" s="616"/>
      <c r="BH85" s="615">
        <f t="shared" si="104"/>
        <v>0</v>
      </c>
      <c r="BI85" s="616">
        <f t="shared" si="105"/>
        <v>0</v>
      </c>
      <c r="BJ85" s="616">
        <f t="shared" si="106"/>
        <v>0</v>
      </c>
      <c r="BK85" s="616">
        <f t="shared" si="107"/>
        <v>0</v>
      </c>
      <c r="BL85" s="616">
        <f t="shared" si="108"/>
        <v>0</v>
      </c>
      <c r="BM85" s="616">
        <f t="shared" si="109"/>
        <v>0</v>
      </c>
      <c r="BN85" s="616">
        <f t="shared" si="110"/>
        <v>0</v>
      </c>
      <c r="BO85" s="616"/>
      <c r="BP85" s="304"/>
    </row>
    <row r="86" s="131" customFormat="1" ht="24" spans="1:68">
      <c r="A86" s="497" t="s">
        <v>202</v>
      </c>
      <c r="B86" s="497" t="s">
        <v>203</v>
      </c>
      <c r="C86" s="497" t="s">
        <v>311</v>
      </c>
      <c r="D86" s="497" t="s">
        <v>312</v>
      </c>
      <c r="E86" s="617">
        <f t="shared" si="72"/>
        <v>66.07</v>
      </c>
      <c r="F86" s="617">
        <f t="shared" si="76"/>
        <v>53.19</v>
      </c>
      <c r="G86" s="618">
        <v>21.04</v>
      </c>
      <c r="H86" s="618">
        <v>13.43</v>
      </c>
      <c r="I86" s="618">
        <v>1.75</v>
      </c>
      <c r="J86" s="618"/>
      <c r="K86" s="618"/>
      <c r="L86" s="618">
        <v>16.97</v>
      </c>
      <c r="M86" s="617">
        <f t="shared" si="111"/>
        <v>12.88</v>
      </c>
      <c r="N86" s="618">
        <v>7.63</v>
      </c>
      <c r="O86" s="618"/>
      <c r="P86" s="618">
        <v>2.75</v>
      </c>
      <c r="Q86" s="618">
        <v>2.5</v>
      </c>
      <c r="R86" s="617">
        <f t="shared" si="73"/>
        <v>3.06</v>
      </c>
      <c r="S86" s="615">
        <f t="shared" si="77"/>
        <v>3.21</v>
      </c>
      <c r="T86" s="618">
        <v>1.23</v>
      </c>
      <c r="U86" s="618">
        <v>0.94</v>
      </c>
      <c r="V86" s="618">
        <v>-0.23</v>
      </c>
      <c r="W86" s="618"/>
      <c r="X86" s="618"/>
      <c r="Y86" s="618">
        <v>1.27</v>
      </c>
      <c r="Z86" s="617">
        <f t="shared" si="74"/>
        <v>-0.15</v>
      </c>
      <c r="AA86" s="618">
        <v>0.18</v>
      </c>
      <c r="AB86" s="618"/>
      <c r="AC86" s="618">
        <v>-0.33</v>
      </c>
      <c r="AD86" s="618"/>
      <c r="AE86" s="615">
        <f t="shared" si="78"/>
        <v>69.13</v>
      </c>
      <c r="AF86" s="615">
        <f t="shared" si="79"/>
        <v>56.4</v>
      </c>
      <c r="AG86" s="616">
        <f t="shared" si="80"/>
        <v>22.27</v>
      </c>
      <c r="AH86" s="616">
        <f t="shared" si="81"/>
        <v>14.37</v>
      </c>
      <c r="AI86" s="616">
        <f t="shared" si="82"/>
        <v>1.52</v>
      </c>
      <c r="AJ86" s="616">
        <f t="shared" si="83"/>
        <v>0</v>
      </c>
      <c r="AK86" s="616">
        <f t="shared" si="84"/>
        <v>0</v>
      </c>
      <c r="AL86" s="616">
        <f t="shared" si="85"/>
        <v>18.24</v>
      </c>
      <c r="AM86" s="615">
        <f t="shared" si="86"/>
        <v>12.73</v>
      </c>
      <c r="AN86" s="616">
        <f t="shared" si="87"/>
        <v>7.81</v>
      </c>
      <c r="AO86" s="616">
        <f t="shared" si="88"/>
        <v>0</v>
      </c>
      <c r="AP86" s="616">
        <f t="shared" si="89"/>
        <v>2.42</v>
      </c>
      <c r="AQ86" s="637">
        <f t="shared" si="90"/>
        <v>2.5</v>
      </c>
      <c r="AR86" s="639">
        <f t="shared" si="75"/>
        <v>17.74836</v>
      </c>
      <c r="AS86" s="616">
        <f t="shared" si="91"/>
        <v>8.5104</v>
      </c>
      <c r="AT86" s="616">
        <f t="shared" si="92"/>
        <v>2.7576</v>
      </c>
      <c r="AU86" s="616">
        <f t="shared" si="93"/>
        <v>2.0682</v>
      </c>
      <c r="AV86" s="616">
        <f t="shared" si="94"/>
        <v>0.06894</v>
      </c>
      <c r="AW86" s="616">
        <f t="shared" si="95"/>
        <v>0.20682</v>
      </c>
      <c r="AX86" s="616">
        <f t="shared" si="96"/>
        <v>4.1364</v>
      </c>
      <c r="AY86" s="618"/>
      <c r="AZ86" s="615">
        <f t="shared" si="97"/>
        <v>1.09516</v>
      </c>
      <c r="BA86" s="616">
        <f t="shared" si="98"/>
        <v>0.5136</v>
      </c>
      <c r="BB86" s="616">
        <f t="shared" si="99"/>
        <v>0.1736</v>
      </c>
      <c r="BC86" s="616">
        <f t="shared" si="100"/>
        <v>0.1302</v>
      </c>
      <c r="BD86" s="616">
        <f t="shared" si="101"/>
        <v>0.00434</v>
      </c>
      <c r="BE86" s="616">
        <f t="shared" si="102"/>
        <v>0.01302</v>
      </c>
      <c r="BF86" s="616">
        <f t="shared" si="103"/>
        <v>0.2604</v>
      </c>
      <c r="BG86" s="616"/>
      <c r="BH86" s="615">
        <f t="shared" si="104"/>
        <v>18.84352</v>
      </c>
      <c r="BI86" s="616">
        <f t="shared" si="105"/>
        <v>9.024</v>
      </c>
      <c r="BJ86" s="616">
        <f t="shared" si="106"/>
        <v>2.9312</v>
      </c>
      <c r="BK86" s="616">
        <f t="shared" si="107"/>
        <v>2.1984</v>
      </c>
      <c r="BL86" s="616">
        <f t="shared" si="108"/>
        <v>0.07328</v>
      </c>
      <c r="BM86" s="616">
        <f t="shared" si="109"/>
        <v>0.21984</v>
      </c>
      <c r="BN86" s="616">
        <f t="shared" si="110"/>
        <v>4.3968</v>
      </c>
      <c r="BO86" s="616"/>
      <c r="BP86" s="304"/>
    </row>
    <row r="87" s="131" customFormat="1" ht="24" spans="1:68">
      <c r="A87" s="497" t="s">
        <v>202</v>
      </c>
      <c r="B87" s="497" t="s">
        <v>206</v>
      </c>
      <c r="C87" s="497" t="s">
        <v>313</v>
      </c>
      <c r="D87" s="497" t="s">
        <v>314</v>
      </c>
      <c r="E87" s="617">
        <f t="shared" si="72"/>
        <v>0</v>
      </c>
      <c r="F87" s="617">
        <f t="shared" si="76"/>
        <v>0</v>
      </c>
      <c r="G87" s="618"/>
      <c r="H87" s="618"/>
      <c r="I87" s="618"/>
      <c r="J87" s="618"/>
      <c r="K87" s="618"/>
      <c r="L87" s="618"/>
      <c r="M87" s="617">
        <f t="shared" si="111"/>
        <v>0</v>
      </c>
      <c r="N87" s="618"/>
      <c r="O87" s="618"/>
      <c r="P87" s="618"/>
      <c r="Q87" s="618"/>
      <c r="R87" s="617">
        <f t="shared" si="73"/>
        <v>0</v>
      </c>
      <c r="S87" s="615">
        <f t="shared" si="77"/>
        <v>0</v>
      </c>
      <c r="T87" s="618"/>
      <c r="U87" s="618"/>
      <c r="V87" s="618"/>
      <c r="W87" s="618"/>
      <c r="X87" s="618"/>
      <c r="Y87" s="618"/>
      <c r="Z87" s="617">
        <f t="shared" si="74"/>
        <v>0</v>
      </c>
      <c r="AA87" s="618"/>
      <c r="AB87" s="618"/>
      <c r="AC87" s="618"/>
      <c r="AD87" s="618"/>
      <c r="AE87" s="615">
        <f t="shared" si="78"/>
        <v>0</v>
      </c>
      <c r="AF87" s="615">
        <f t="shared" si="79"/>
        <v>0</v>
      </c>
      <c r="AG87" s="616">
        <f t="shared" si="80"/>
        <v>0</v>
      </c>
      <c r="AH87" s="616">
        <f t="shared" si="81"/>
        <v>0</v>
      </c>
      <c r="AI87" s="616">
        <f t="shared" si="82"/>
        <v>0</v>
      </c>
      <c r="AJ87" s="616">
        <f t="shared" si="83"/>
        <v>0</v>
      </c>
      <c r="AK87" s="616">
        <f t="shared" si="84"/>
        <v>0</v>
      </c>
      <c r="AL87" s="616">
        <f t="shared" si="85"/>
        <v>0</v>
      </c>
      <c r="AM87" s="615">
        <f t="shared" si="86"/>
        <v>0</v>
      </c>
      <c r="AN87" s="616">
        <f t="shared" si="87"/>
        <v>0</v>
      </c>
      <c r="AO87" s="616">
        <f t="shared" si="88"/>
        <v>0</v>
      </c>
      <c r="AP87" s="616">
        <f t="shared" si="89"/>
        <v>0</v>
      </c>
      <c r="AQ87" s="637">
        <f t="shared" si="90"/>
        <v>0</v>
      </c>
      <c r="AR87" s="639">
        <f t="shared" si="75"/>
        <v>0</v>
      </c>
      <c r="AS87" s="616">
        <f t="shared" si="91"/>
        <v>0</v>
      </c>
      <c r="AT87" s="616">
        <f t="shared" si="92"/>
        <v>0</v>
      </c>
      <c r="AU87" s="616">
        <f t="shared" si="93"/>
        <v>0</v>
      </c>
      <c r="AV87" s="616">
        <f t="shared" si="94"/>
        <v>0</v>
      </c>
      <c r="AW87" s="616">
        <f t="shared" si="95"/>
        <v>0</v>
      </c>
      <c r="AX87" s="616">
        <f t="shared" si="96"/>
        <v>0</v>
      </c>
      <c r="AY87" s="618"/>
      <c r="AZ87" s="615">
        <f t="shared" si="97"/>
        <v>0</v>
      </c>
      <c r="BA87" s="616">
        <f t="shared" si="98"/>
        <v>0</v>
      </c>
      <c r="BB87" s="616">
        <f t="shared" si="99"/>
        <v>0</v>
      </c>
      <c r="BC87" s="616">
        <f t="shared" si="100"/>
        <v>0</v>
      </c>
      <c r="BD87" s="616">
        <f t="shared" si="101"/>
        <v>0</v>
      </c>
      <c r="BE87" s="616">
        <f t="shared" si="102"/>
        <v>0</v>
      </c>
      <c r="BF87" s="616">
        <f t="shared" si="103"/>
        <v>0</v>
      </c>
      <c r="BG87" s="616"/>
      <c r="BH87" s="615">
        <f t="shared" si="104"/>
        <v>0</v>
      </c>
      <c r="BI87" s="616">
        <f t="shared" si="105"/>
        <v>0</v>
      </c>
      <c r="BJ87" s="616">
        <f t="shared" si="106"/>
        <v>0</v>
      </c>
      <c r="BK87" s="616">
        <f t="shared" si="107"/>
        <v>0</v>
      </c>
      <c r="BL87" s="616">
        <f t="shared" si="108"/>
        <v>0</v>
      </c>
      <c r="BM87" s="616">
        <f t="shared" si="109"/>
        <v>0</v>
      </c>
      <c r="BN87" s="616">
        <f t="shared" si="110"/>
        <v>0</v>
      </c>
      <c r="BO87" s="616"/>
      <c r="BP87" s="304"/>
    </row>
    <row r="88" s="131" customFormat="1" ht="24" spans="1:68">
      <c r="A88" s="497" t="s">
        <v>215</v>
      </c>
      <c r="B88" s="497" t="s">
        <v>203</v>
      </c>
      <c r="C88" s="497" t="s">
        <v>315</v>
      </c>
      <c r="D88" s="497" t="s">
        <v>316</v>
      </c>
      <c r="E88" s="617">
        <f t="shared" si="72"/>
        <v>74.6</v>
      </c>
      <c r="F88" s="617">
        <f t="shared" si="76"/>
        <v>68.3</v>
      </c>
      <c r="G88" s="619">
        <v>27.19</v>
      </c>
      <c r="H88" s="619">
        <v>17.34</v>
      </c>
      <c r="I88" s="619">
        <v>2.27</v>
      </c>
      <c r="J88" s="618"/>
      <c r="K88" s="618"/>
      <c r="L88" s="618">
        <v>21.5</v>
      </c>
      <c r="M88" s="617">
        <f t="shared" si="111"/>
        <v>6.3</v>
      </c>
      <c r="N88" s="618"/>
      <c r="O88" s="618"/>
      <c r="P88" s="618">
        <v>3.3</v>
      </c>
      <c r="Q88" s="618">
        <v>3</v>
      </c>
      <c r="R88" s="617">
        <f t="shared" si="73"/>
        <v>-7.03</v>
      </c>
      <c r="S88" s="615">
        <f t="shared" si="77"/>
        <v>-7.55</v>
      </c>
      <c r="T88" s="618">
        <v>-2.78</v>
      </c>
      <c r="U88" s="618">
        <v>-2.12</v>
      </c>
      <c r="V88" s="618">
        <v>0</v>
      </c>
      <c r="W88" s="618"/>
      <c r="X88" s="618"/>
      <c r="Y88" s="618">
        <v>-2.65</v>
      </c>
      <c r="Z88" s="617">
        <f t="shared" si="74"/>
        <v>0.52</v>
      </c>
      <c r="AA88" s="618"/>
      <c r="AB88" s="618">
        <v>0.3</v>
      </c>
      <c r="AC88" s="618">
        <v>0.22</v>
      </c>
      <c r="AD88" s="618"/>
      <c r="AE88" s="615">
        <f t="shared" si="78"/>
        <v>67.57</v>
      </c>
      <c r="AF88" s="615">
        <f t="shared" si="79"/>
        <v>60.75</v>
      </c>
      <c r="AG88" s="616">
        <f t="shared" si="80"/>
        <v>24.41</v>
      </c>
      <c r="AH88" s="616">
        <f t="shared" si="81"/>
        <v>15.22</v>
      </c>
      <c r="AI88" s="616">
        <f t="shared" si="82"/>
        <v>2.27</v>
      </c>
      <c r="AJ88" s="616">
        <f t="shared" si="83"/>
        <v>0</v>
      </c>
      <c r="AK88" s="616">
        <f t="shared" si="84"/>
        <v>0</v>
      </c>
      <c r="AL88" s="616">
        <f t="shared" si="85"/>
        <v>18.85</v>
      </c>
      <c r="AM88" s="615">
        <f t="shared" si="86"/>
        <v>6.82</v>
      </c>
      <c r="AN88" s="616">
        <f t="shared" si="87"/>
        <v>0</v>
      </c>
      <c r="AO88" s="616">
        <f t="shared" si="88"/>
        <v>0.3</v>
      </c>
      <c r="AP88" s="616">
        <f t="shared" si="89"/>
        <v>3.52</v>
      </c>
      <c r="AQ88" s="637">
        <f t="shared" si="90"/>
        <v>3</v>
      </c>
      <c r="AR88" s="639">
        <f t="shared" si="75"/>
        <v>22.86204</v>
      </c>
      <c r="AS88" s="616">
        <f t="shared" si="91"/>
        <v>10.928</v>
      </c>
      <c r="AT88" s="616">
        <f t="shared" si="92"/>
        <v>3.5624</v>
      </c>
      <c r="AU88" s="616">
        <f t="shared" si="93"/>
        <v>2.6718</v>
      </c>
      <c r="AV88" s="616">
        <f t="shared" si="94"/>
        <v>0.08906</v>
      </c>
      <c r="AW88" s="616">
        <f t="shared" si="95"/>
        <v>0.26718</v>
      </c>
      <c r="AX88" s="616">
        <f t="shared" si="96"/>
        <v>5.3436</v>
      </c>
      <c r="AY88" s="618"/>
      <c r="AZ88" s="615">
        <f t="shared" si="97"/>
        <v>-2.5212</v>
      </c>
      <c r="BA88" s="616">
        <f t="shared" si="98"/>
        <v>-1.208</v>
      </c>
      <c r="BB88" s="616">
        <f t="shared" si="99"/>
        <v>-0.392</v>
      </c>
      <c r="BC88" s="616">
        <f t="shared" si="100"/>
        <v>-0.294</v>
      </c>
      <c r="BD88" s="616">
        <f t="shared" si="101"/>
        <v>-0.0098</v>
      </c>
      <c r="BE88" s="616">
        <f t="shared" si="102"/>
        <v>-0.0294</v>
      </c>
      <c r="BF88" s="616">
        <f t="shared" si="103"/>
        <v>-0.588</v>
      </c>
      <c r="BG88" s="616"/>
      <c r="BH88" s="615">
        <f t="shared" si="104"/>
        <v>20.34084</v>
      </c>
      <c r="BI88" s="616">
        <f t="shared" si="105"/>
        <v>9.72</v>
      </c>
      <c r="BJ88" s="616">
        <f t="shared" si="106"/>
        <v>3.1704</v>
      </c>
      <c r="BK88" s="616">
        <f t="shared" si="107"/>
        <v>2.3778</v>
      </c>
      <c r="BL88" s="616">
        <f t="shared" si="108"/>
        <v>0.07926</v>
      </c>
      <c r="BM88" s="616">
        <f t="shared" si="109"/>
        <v>0.23778</v>
      </c>
      <c r="BN88" s="616">
        <f t="shared" si="110"/>
        <v>4.7556</v>
      </c>
      <c r="BO88" s="616"/>
      <c r="BP88" s="304" t="s">
        <v>317</v>
      </c>
    </row>
    <row r="89" s="131" customFormat="1" ht="24" spans="1:68">
      <c r="A89" s="497" t="s">
        <v>215</v>
      </c>
      <c r="B89" s="497" t="s">
        <v>206</v>
      </c>
      <c r="C89" s="497" t="s">
        <v>318</v>
      </c>
      <c r="D89" s="497" t="s">
        <v>319</v>
      </c>
      <c r="E89" s="617">
        <f t="shared" si="72"/>
        <v>0</v>
      </c>
      <c r="F89" s="617">
        <f t="shared" si="76"/>
        <v>0</v>
      </c>
      <c r="G89" s="618"/>
      <c r="H89" s="618"/>
      <c r="I89" s="618"/>
      <c r="J89" s="618"/>
      <c r="K89" s="618"/>
      <c r="L89" s="618"/>
      <c r="M89" s="617">
        <f t="shared" si="111"/>
        <v>0</v>
      </c>
      <c r="N89" s="618"/>
      <c r="O89" s="618"/>
      <c r="P89" s="618"/>
      <c r="Q89" s="618"/>
      <c r="R89" s="617">
        <f t="shared" si="73"/>
        <v>0</v>
      </c>
      <c r="S89" s="615">
        <f t="shared" si="77"/>
        <v>0</v>
      </c>
      <c r="T89" s="619"/>
      <c r="U89" s="619"/>
      <c r="V89" s="619"/>
      <c r="W89" s="618"/>
      <c r="X89" s="618"/>
      <c r="Y89" s="618"/>
      <c r="Z89" s="617">
        <f t="shared" si="74"/>
        <v>0</v>
      </c>
      <c r="AA89" s="618"/>
      <c r="AB89" s="618"/>
      <c r="AC89" s="618"/>
      <c r="AD89" s="618"/>
      <c r="AE89" s="615">
        <f t="shared" si="78"/>
        <v>0</v>
      </c>
      <c r="AF89" s="615">
        <f t="shared" si="79"/>
        <v>0</v>
      </c>
      <c r="AG89" s="616">
        <f t="shared" si="80"/>
        <v>0</v>
      </c>
      <c r="AH89" s="616">
        <f t="shared" si="81"/>
        <v>0</v>
      </c>
      <c r="AI89" s="616">
        <f t="shared" si="82"/>
        <v>0</v>
      </c>
      <c r="AJ89" s="616">
        <f t="shared" si="83"/>
        <v>0</v>
      </c>
      <c r="AK89" s="616">
        <f t="shared" si="84"/>
        <v>0</v>
      </c>
      <c r="AL89" s="616">
        <f t="shared" si="85"/>
        <v>0</v>
      </c>
      <c r="AM89" s="615">
        <f t="shared" si="86"/>
        <v>0</v>
      </c>
      <c r="AN89" s="616">
        <f t="shared" si="87"/>
        <v>0</v>
      </c>
      <c r="AO89" s="616">
        <f t="shared" si="88"/>
        <v>0</v>
      </c>
      <c r="AP89" s="616">
        <f t="shared" si="89"/>
        <v>0</v>
      </c>
      <c r="AQ89" s="637">
        <f t="shared" si="90"/>
        <v>0</v>
      </c>
      <c r="AR89" s="639">
        <f t="shared" si="75"/>
        <v>0</v>
      </c>
      <c r="AS89" s="616">
        <f t="shared" si="91"/>
        <v>0</v>
      </c>
      <c r="AT89" s="616">
        <f t="shared" si="92"/>
        <v>0</v>
      </c>
      <c r="AU89" s="616">
        <f t="shared" si="93"/>
        <v>0</v>
      </c>
      <c r="AV89" s="616">
        <f t="shared" si="94"/>
        <v>0</v>
      </c>
      <c r="AW89" s="616">
        <f t="shared" si="95"/>
        <v>0</v>
      </c>
      <c r="AX89" s="616">
        <f t="shared" si="96"/>
        <v>0</v>
      </c>
      <c r="AY89" s="618"/>
      <c r="AZ89" s="615">
        <f t="shared" si="97"/>
        <v>0</v>
      </c>
      <c r="BA89" s="616">
        <f t="shared" si="98"/>
        <v>0</v>
      </c>
      <c r="BB89" s="616">
        <f t="shared" si="99"/>
        <v>0</v>
      </c>
      <c r="BC89" s="616">
        <f t="shared" si="100"/>
        <v>0</v>
      </c>
      <c r="BD89" s="616">
        <f t="shared" si="101"/>
        <v>0</v>
      </c>
      <c r="BE89" s="616">
        <f t="shared" si="102"/>
        <v>0</v>
      </c>
      <c r="BF89" s="616">
        <f t="shared" si="103"/>
        <v>0</v>
      </c>
      <c r="BG89" s="616"/>
      <c r="BH89" s="615">
        <f t="shared" si="104"/>
        <v>0</v>
      </c>
      <c r="BI89" s="616">
        <f t="shared" si="105"/>
        <v>0</v>
      </c>
      <c r="BJ89" s="616">
        <f t="shared" si="106"/>
        <v>0</v>
      </c>
      <c r="BK89" s="616">
        <f t="shared" si="107"/>
        <v>0</v>
      </c>
      <c r="BL89" s="616">
        <f t="shared" si="108"/>
        <v>0</v>
      </c>
      <c r="BM89" s="616">
        <f t="shared" si="109"/>
        <v>0</v>
      </c>
      <c r="BN89" s="616">
        <f t="shared" si="110"/>
        <v>0</v>
      </c>
      <c r="BO89" s="616"/>
      <c r="BP89" s="304"/>
    </row>
    <row r="90" s="131" customFormat="1" ht="24" spans="1:68">
      <c r="A90" s="497" t="s">
        <v>202</v>
      </c>
      <c r="B90" s="497" t="s">
        <v>203</v>
      </c>
      <c r="C90" s="497" t="s">
        <v>320</v>
      </c>
      <c r="D90" s="497" t="s">
        <v>321</v>
      </c>
      <c r="E90" s="617">
        <f t="shared" si="72"/>
        <v>0</v>
      </c>
      <c r="F90" s="617">
        <f t="shared" si="76"/>
        <v>0</v>
      </c>
      <c r="G90" s="618"/>
      <c r="H90" s="618"/>
      <c r="I90" s="618"/>
      <c r="J90" s="618"/>
      <c r="K90" s="618"/>
      <c r="L90" s="618"/>
      <c r="M90" s="617">
        <f t="shared" si="111"/>
        <v>0</v>
      </c>
      <c r="N90" s="618"/>
      <c r="O90" s="618"/>
      <c r="P90" s="618"/>
      <c r="Q90" s="618"/>
      <c r="R90" s="617">
        <f t="shared" si="73"/>
        <v>0.66</v>
      </c>
      <c r="S90" s="615">
        <f t="shared" si="77"/>
        <v>0</v>
      </c>
      <c r="T90" s="618"/>
      <c r="U90" s="618"/>
      <c r="V90" s="618"/>
      <c r="W90" s="618"/>
      <c r="X90" s="618"/>
      <c r="Y90" s="618"/>
      <c r="Z90" s="617">
        <f t="shared" si="74"/>
        <v>0.66</v>
      </c>
      <c r="AA90" s="618"/>
      <c r="AB90" s="618"/>
      <c r="AC90" s="618">
        <v>0.66</v>
      </c>
      <c r="AD90" s="618"/>
      <c r="AE90" s="615">
        <f t="shared" si="78"/>
        <v>0.66</v>
      </c>
      <c r="AF90" s="615">
        <f t="shared" si="79"/>
        <v>0</v>
      </c>
      <c r="AG90" s="616">
        <f t="shared" si="80"/>
        <v>0</v>
      </c>
      <c r="AH90" s="616">
        <f t="shared" si="81"/>
        <v>0</v>
      </c>
      <c r="AI90" s="616">
        <f t="shared" si="82"/>
        <v>0</v>
      </c>
      <c r="AJ90" s="616">
        <f t="shared" si="83"/>
        <v>0</v>
      </c>
      <c r="AK90" s="616">
        <f t="shared" si="84"/>
        <v>0</v>
      </c>
      <c r="AL90" s="616">
        <f t="shared" si="85"/>
        <v>0</v>
      </c>
      <c r="AM90" s="615">
        <f t="shared" si="86"/>
        <v>0.66</v>
      </c>
      <c r="AN90" s="616">
        <f t="shared" si="87"/>
        <v>0</v>
      </c>
      <c r="AO90" s="616">
        <f t="shared" si="88"/>
        <v>0</v>
      </c>
      <c r="AP90" s="616">
        <f t="shared" si="89"/>
        <v>0.66</v>
      </c>
      <c r="AQ90" s="637">
        <f t="shared" si="90"/>
        <v>0</v>
      </c>
      <c r="AR90" s="639">
        <f t="shared" si="75"/>
        <v>0</v>
      </c>
      <c r="AS90" s="616">
        <f t="shared" si="91"/>
        <v>0</v>
      </c>
      <c r="AT90" s="616">
        <f t="shared" si="92"/>
        <v>0</v>
      </c>
      <c r="AU90" s="616">
        <f t="shared" si="93"/>
        <v>0</v>
      </c>
      <c r="AV90" s="616">
        <f t="shared" si="94"/>
        <v>0</v>
      </c>
      <c r="AW90" s="616">
        <f t="shared" si="95"/>
        <v>0</v>
      </c>
      <c r="AX90" s="616">
        <f t="shared" si="96"/>
        <v>0</v>
      </c>
      <c r="AY90" s="618"/>
      <c r="AZ90" s="615">
        <f t="shared" si="97"/>
        <v>0</v>
      </c>
      <c r="BA90" s="616">
        <f t="shared" si="98"/>
        <v>0</v>
      </c>
      <c r="BB90" s="616">
        <f t="shared" si="99"/>
        <v>0</v>
      </c>
      <c r="BC90" s="616">
        <f t="shared" si="100"/>
        <v>0</v>
      </c>
      <c r="BD90" s="616">
        <f t="shared" si="101"/>
        <v>0</v>
      </c>
      <c r="BE90" s="616">
        <f t="shared" si="102"/>
        <v>0</v>
      </c>
      <c r="BF90" s="616">
        <f t="shared" si="103"/>
        <v>0</v>
      </c>
      <c r="BG90" s="616"/>
      <c r="BH90" s="615">
        <f t="shared" si="104"/>
        <v>0</v>
      </c>
      <c r="BI90" s="616">
        <f t="shared" si="105"/>
        <v>0</v>
      </c>
      <c r="BJ90" s="616">
        <f t="shared" si="106"/>
        <v>0</v>
      </c>
      <c r="BK90" s="616">
        <f t="shared" si="107"/>
        <v>0</v>
      </c>
      <c r="BL90" s="616">
        <f t="shared" si="108"/>
        <v>0</v>
      </c>
      <c r="BM90" s="616">
        <f t="shared" si="109"/>
        <v>0</v>
      </c>
      <c r="BN90" s="616">
        <f t="shared" si="110"/>
        <v>0</v>
      </c>
      <c r="BO90" s="616"/>
      <c r="BP90" s="304"/>
    </row>
    <row r="91" s="131" customFormat="1" ht="36" spans="1:68">
      <c r="A91" s="497" t="s">
        <v>202</v>
      </c>
      <c r="B91" s="497" t="s">
        <v>203</v>
      </c>
      <c r="C91" s="497" t="s">
        <v>322</v>
      </c>
      <c r="D91" s="497" t="s">
        <v>321</v>
      </c>
      <c r="E91" s="617">
        <f t="shared" si="72"/>
        <v>24.58</v>
      </c>
      <c r="F91" s="617">
        <f t="shared" si="76"/>
        <v>19.94</v>
      </c>
      <c r="G91" s="618">
        <v>7.07</v>
      </c>
      <c r="H91" s="618">
        <v>5.32</v>
      </c>
      <c r="I91" s="618">
        <v>0.59</v>
      </c>
      <c r="J91" s="618"/>
      <c r="K91" s="618"/>
      <c r="L91" s="618">
        <v>6.96</v>
      </c>
      <c r="M91" s="617">
        <f t="shared" si="111"/>
        <v>4.64</v>
      </c>
      <c r="N91" s="618">
        <v>2.54</v>
      </c>
      <c r="O91" s="618"/>
      <c r="P91" s="618">
        <v>1.1</v>
      </c>
      <c r="Q91" s="618">
        <v>1</v>
      </c>
      <c r="R91" s="617">
        <f t="shared" si="73"/>
        <v>11.14</v>
      </c>
      <c r="S91" s="615">
        <f t="shared" si="77"/>
        <v>10.84</v>
      </c>
      <c r="T91" s="618">
        <v>6.75</v>
      </c>
      <c r="U91" s="618"/>
      <c r="V91" s="618"/>
      <c r="W91" s="618"/>
      <c r="X91" s="618"/>
      <c r="Y91" s="618">
        <v>4.09</v>
      </c>
      <c r="Z91" s="617">
        <f t="shared" si="74"/>
        <v>0.3</v>
      </c>
      <c r="AA91" s="618">
        <v>0.06</v>
      </c>
      <c r="AB91" s="618"/>
      <c r="AC91" s="618">
        <v>-0.01</v>
      </c>
      <c r="AD91" s="618">
        <v>0.25</v>
      </c>
      <c r="AE91" s="615">
        <f t="shared" si="78"/>
        <v>35.72</v>
      </c>
      <c r="AF91" s="615">
        <f t="shared" si="79"/>
        <v>30.78</v>
      </c>
      <c r="AG91" s="616">
        <f t="shared" si="80"/>
        <v>13.82</v>
      </c>
      <c r="AH91" s="616">
        <f t="shared" si="81"/>
        <v>5.32</v>
      </c>
      <c r="AI91" s="616">
        <f t="shared" si="82"/>
        <v>0.59</v>
      </c>
      <c r="AJ91" s="616">
        <f t="shared" si="83"/>
        <v>0</v>
      </c>
      <c r="AK91" s="616">
        <f t="shared" si="84"/>
        <v>0</v>
      </c>
      <c r="AL91" s="616">
        <f t="shared" si="85"/>
        <v>11.05</v>
      </c>
      <c r="AM91" s="615">
        <f t="shared" si="86"/>
        <v>4.94</v>
      </c>
      <c r="AN91" s="616">
        <f t="shared" si="87"/>
        <v>2.6</v>
      </c>
      <c r="AO91" s="616">
        <f t="shared" si="88"/>
        <v>0</v>
      </c>
      <c r="AP91" s="616">
        <f t="shared" si="89"/>
        <v>1.09</v>
      </c>
      <c r="AQ91" s="637">
        <f t="shared" si="90"/>
        <v>1.25</v>
      </c>
      <c r="AR91" s="639">
        <f t="shared" si="75"/>
        <v>6.51092</v>
      </c>
      <c r="AS91" s="616">
        <f t="shared" si="91"/>
        <v>3.1904</v>
      </c>
      <c r="AT91" s="616">
        <f t="shared" si="92"/>
        <v>0.9912</v>
      </c>
      <c r="AU91" s="616">
        <f t="shared" si="93"/>
        <v>0.7434</v>
      </c>
      <c r="AV91" s="616">
        <f t="shared" si="94"/>
        <v>0.02478</v>
      </c>
      <c r="AW91" s="616">
        <f t="shared" si="95"/>
        <v>0.07434</v>
      </c>
      <c r="AX91" s="616">
        <f t="shared" si="96"/>
        <v>1.4868</v>
      </c>
      <c r="AY91" s="618"/>
      <c r="AZ91" s="615">
        <f t="shared" si="97"/>
        <v>3.5434</v>
      </c>
      <c r="BA91" s="616">
        <f t="shared" si="98"/>
        <v>1.7344</v>
      </c>
      <c r="BB91" s="616">
        <f t="shared" si="99"/>
        <v>0.54</v>
      </c>
      <c r="BC91" s="616">
        <f t="shared" si="100"/>
        <v>0.405</v>
      </c>
      <c r="BD91" s="616">
        <f t="shared" si="101"/>
        <v>0.0135</v>
      </c>
      <c r="BE91" s="616">
        <f t="shared" si="102"/>
        <v>0.0405</v>
      </c>
      <c r="BF91" s="616">
        <f t="shared" si="103"/>
        <v>0.81</v>
      </c>
      <c r="BG91" s="616"/>
      <c r="BH91" s="615">
        <f t="shared" si="104"/>
        <v>10.05432</v>
      </c>
      <c r="BI91" s="616">
        <f t="shared" si="105"/>
        <v>4.9248</v>
      </c>
      <c r="BJ91" s="616">
        <f t="shared" si="106"/>
        <v>1.5312</v>
      </c>
      <c r="BK91" s="616">
        <f t="shared" si="107"/>
        <v>1.1484</v>
      </c>
      <c r="BL91" s="616">
        <f t="shared" si="108"/>
        <v>0.03828</v>
      </c>
      <c r="BM91" s="616">
        <f t="shared" si="109"/>
        <v>0.11484</v>
      </c>
      <c r="BN91" s="616">
        <f t="shared" si="110"/>
        <v>2.2968</v>
      </c>
      <c r="BO91" s="616"/>
      <c r="BP91" s="304"/>
    </row>
    <row r="92" s="131" customFormat="1" ht="24" spans="1:68">
      <c r="A92" s="497" t="s">
        <v>202</v>
      </c>
      <c r="B92" s="497" t="s">
        <v>203</v>
      </c>
      <c r="C92" s="497" t="s">
        <v>323</v>
      </c>
      <c r="D92" s="497" t="s">
        <v>321</v>
      </c>
      <c r="E92" s="617">
        <f t="shared" si="72"/>
        <v>60.87</v>
      </c>
      <c r="F92" s="617">
        <f t="shared" si="76"/>
        <v>55.62</v>
      </c>
      <c r="G92" s="618">
        <v>22.21</v>
      </c>
      <c r="H92" s="618">
        <v>14.26</v>
      </c>
      <c r="I92" s="618">
        <v>1.85</v>
      </c>
      <c r="J92" s="618"/>
      <c r="K92" s="618"/>
      <c r="L92" s="618">
        <v>17.3</v>
      </c>
      <c r="M92" s="617">
        <f t="shared" si="111"/>
        <v>5.25</v>
      </c>
      <c r="N92" s="618"/>
      <c r="O92" s="618"/>
      <c r="P92" s="618">
        <v>2.75</v>
      </c>
      <c r="Q92" s="618">
        <v>2.5</v>
      </c>
      <c r="R92" s="617">
        <f t="shared" si="73"/>
        <v>1.12</v>
      </c>
      <c r="S92" s="615">
        <f t="shared" si="77"/>
        <v>0.98</v>
      </c>
      <c r="T92" s="618">
        <v>0.43</v>
      </c>
      <c r="U92" s="618">
        <v>0.07</v>
      </c>
      <c r="V92" s="618">
        <v>0.01</v>
      </c>
      <c r="W92" s="618"/>
      <c r="X92" s="618"/>
      <c r="Y92" s="618">
        <v>0.47</v>
      </c>
      <c r="Z92" s="617">
        <f t="shared" si="74"/>
        <v>0.14</v>
      </c>
      <c r="AA92" s="618"/>
      <c r="AB92" s="618"/>
      <c r="AC92" s="618">
        <v>0.14</v>
      </c>
      <c r="AD92" s="618"/>
      <c r="AE92" s="615">
        <f t="shared" si="78"/>
        <v>61.99</v>
      </c>
      <c r="AF92" s="615">
        <f t="shared" si="79"/>
        <v>56.6</v>
      </c>
      <c r="AG92" s="616">
        <f t="shared" si="80"/>
        <v>22.64</v>
      </c>
      <c r="AH92" s="616">
        <f t="shared" si="81"/>
        <v>14.33</v>
      </c>
      <c r="AI92" s="616">
        <f t="shared" si="82"/>
        <v>1.86</v>
      </c>
      <c r="AJ92" s="616">
        <f t="shared" si="83"/>
        <v>0</v>
      </c>
      <c r="AK92" s="616">
        <f t="shared" si="84"/>
        <v>0</v>
      </c>
      <c r="AL92" s="616">
        <f t="shared" si="85"/>
        <v>17.77</v>
      </c>
      <c r="AM92" s="615">
        <f t="shared" si="86"/>
        <v>5.39</v>
      </c>
      <c r="AN92" s="616">
        <f t="shared" si="87"/>
        <v>0</v>
      </c>
      <c r="AO92" s="616">
        <f t="shared" si="88"/>
        <v>0</v>
      </c>
      <c r="AP92" s="616">
        <f t="shared" si="89"/>
        <v>2.89</v>
      </c>
      <c r="AQ92" s="637">
        <f t="shared" si="90"/>
        <v>2.5</v>
      </c>
      <c r="AR92" s="639">
        <f t="shared" si="75"/>
        <v>18.67316</v>
      </c>
      <c r="AS92" s="616">
        <f t="shared" si="91"/>
        <v>8.8992</v>
      </c>
      <c r="AT92" s="616">
        <f t="shared" si="92"/>
        <v>2.9176</v>
      </c>
      <c r="AU92" s="616">
        <f t="shared" si="93"/>
        <v>2.1882</v>
      </c>
      <c r="AV92" s="616">
        <f t="shared" si="94"/>
        <v>0.07294</v>
      </c>
      <c r="AW92" s="616">
        <f t="shared" si="95"/>
        <v>0.21882</v>
      </c>
      <c r="AX92" s="616">
        <f t="shared" si="96"/>
        <v>4.3764</v>
      </c>
      <c r="AY92" s="618"/>
      <c r="AZ92" s="615">
        <f t="shared" si="97"/>
        <v>0.2908</v>
      </c>
      <c r="BA92" s="616">
        <f t="shared" si="98"/>
        <v>0.1568</v>
      </c>
      <c r="BB92" s="616">
        <f t="shared" si="99"/>
        <v>0.04</v>
      </c>
      <c r="BC92" s="616">
        <f t="shared" si="100"/>
        <v>0.03</v>
      </c>
      <c r="BD92" s="616">
        <f t="shared" si="101"/>
        <v>0.001</v>
      </c>
      <c r="BE92" s="616">
        <f t="shared" si="102"/>
        <v>0.003</v>
      </c>
      <c r="BF92" s="616">
        <f t="shared" si="103"/>
        <v>0.06</v>
      </c>
      <c r="BG92" s="616"/>
      <c r="BH92" s="615">
        <f t="shared" si="104"/>
        <v>18.96396</v>
      </c>
      <c r="BI92" s="616">
        <f t="shared" si="105"/>
        <v>9.056</v>
      </c>
      <c r="BJ92" s="616">
        <f t="shared" si="106"/>
        <v>2.9576</v>
      </c>
      <c r="BK92" s="616">
        <f t="shared" si="107"/>
        <v>2.2182</v>
      </c>
      <c r="BL92" s="616">
        <f t="shared" si="108"/>
        <v>0.07394</v>
      </c>
      <c r="BM92" s="616">
        <f t="shared" si="109"/>
        <v>0.22182</v>
      </c>
      <c r="BN92" s="616">
        <f t="shared" si="110"/>
        <v>4.4364</v>
      </c>
      <c r="BO92" s="616"/>
      <c r="BP92" s="304"/>
    </row>
    <row r="93" s="131" customFormat="1" ht="24" spans="1:68">
      <c r="A93" s="497" t="s">
        <v>202</v>
      </c>
      <c r="B93" s="497" t="s">
        <v>203</v>
      </c>
      <c r="C93" s="497" t="s">
        <v>324</v>
      </c>
      <c r="D93" s="497" t="s">
        <v>321</v>
      </c>
      <c r="E93" s="617">
        <f t="shared" si="72"/>
        <v>12.18</v>
      </c>
      <c r="F93" s="617">
        <f t="shared" si="76"/>
        <v>11.13</v>
      </c>
      <c r="G93" s="618">
        <v>4.57</v>
      </c>
      <c r="H93" s="618">
        <v>2.8</v>
      </c>
      <c r="I93" s="618">
        <v>0.38</v>
      </c>
      <c r="J93" s="618"/>
      <c r="K93" s="618"/>
      <c r="L93" s="618">
        <v>3.38</v>
      </c>
      <c r="M93" s="617">
        <f t="shared" si="111"/>
        <v>1.05</v>
      </c>
      <c r="N93" s="618"/>
      <c r="O93" s="618"/>
      <c r="P93" s="618">
        <v>0.55</v>
      </c>
      <c r="Q93" s="618">
        <v>0.5</v>
      </c>
      <c r="R93" s="617">
        <f t="shared" si="73"/>
        <v>0.01</v>
      </c>
      <c r="S93" s="615">
        <f t="shared" si="77"/>
        <v>0</v>
      </c>
      <c r="T93" s="618"/>
      <c r="U93" s="618"/>
      <c r="V93" s="618"/>
      <c r="W93" s="618"/>
      <c r="X93" s="618"/>
      <c r="Y93" s="618"/>
      <c r="Z93" s="617">
        <f t="shared" si="74"/>
        <v>0.01</v>
      </c>
      <c r="AA93" s="618"/>
      <c r="AB93" s="618"/>
      <c r="AC93" s="618">
        <v>0.01</v>
      </c>
      <c r="AD93" s="618"/>
      <c r="AE93" s="615">
        <f t="shared" si="78"/>
        <v>12.19</v>
      </c>
      <c r="AF93" s="615">
        <f t="shared" si="79"/>
        <v>11.13</v>
      </c>
      <c r="AG93" s="616">
        <f t="shared" si="80"/>
        <v>4.57</v>
      </c>
      <c r="AH93" s="616">
        <f t="shared" si="81"/>
        <v>2.8</v>
      </c>
      <c r="AI93" s="616">
        <f t="shared" si="82"/>
        <v>0.38</v>
      </c>
      <c r="AJ93" s="616">
        <f t="shared" si="83"/>
        <v>0</v>
      </c>
      <c r="AK93" s="616">
        <f t="shared" si="84"/>
        <v>0</v>
      </c>
      <c r="AL93" s="616">
        <f t="shared" si="85"/>
        <v>3.38</v>
      </c>
      <c r="AM93" s="615">
        <f t="shared" si="86"/>
        <v>1.06</v>
      </c>
      <c r="AN93" s="616">
        <f t="shared" si="87"/>
        <v>0</v>
      </c>
      <c r="AO93" s="616">
        <f t="shared" si="88"/>
        <v>0</v>
      </c>
      <c r="AP93" s="616">
        <f t="shared" si="89"/>
        <v>0.56</v>
      </c>
      <c r="AQ93" s="637">
        <f t="shared" si="90"/>
        <v>0.5</v>
      </c>
      <c r="AR93" s="639">
        <f t="shared" si="75"/>
        <v>3.75596</v>
      </c>
      <c r="AS93" s="616">
        <f t="shared" si="91"/>
        <v>1.7808</v>
      </c>
      <c r="AT93" s="616">
        <f t="shared" si="92"/>
        <v>0.5896</v>
      </c>
      <c r="AU93" s="616">
        <f t="shared" si="93"/>
        <v>0.4422</v>
      </c>
      <c r="AV93" s="616">
        <f t="shared" si="94"/>
        <v>0.01474</v>
      </c>
      <c r="AW93" s="616">
        <f t="shared" si="95"/>
        <v>0.04422</v>
      </c>
      <c r="AX93" s="616">
        <f t="shared" si="96"/>
        <v>0.8844</v>
      </c>
      <c r="AY93" s="618"/>
      <c r="AZ93" s="615">
        <f t="shared" si="97"/>
        <v>0</v>
      </c>
      <c r="BA93" s="616">
        <f t="shared" si="98"/>
        <v>0</v>
      </c>
      <c r="BB93" s="616">
        <f t="shared" si="99"/>
        <v>0</v>
      </c>
      <c r="BC93" s="616">
        <f t="shared" si="100"/>
        <v>0</v>
      </c>
      <c r="BD93" s="616">
        <f t="shared" si="101"/>
        <v>0</v>
      </c>
      <c r="BE93" s="616">
        <f t="shared" si="102"/>
        <v>0</v>
      </c>
      <c r="BF93" s="616">
        <f t="shared" si="103"/>
        <v>0</v>
      </c>
      <c r="BG93" s="616"/>
      <c r="BH93" s="615">
        <f t="shared" si="104"/>
        <v>3.75596</v>
      </c>
      <c r="BI93" s="616">
        <f t="shared" si="105"/>
        <v>1.7808</v>
      </c>
      <c r="BJ93" s="616">
        <f t="shared" si="106"/>
        <v>0.5896</v>
      </c>
      <c r="BK93" s="616">
        <f t="shared" si="107"/>
        <v>0.4422</v>
      </c>
      <c r="BL93" s="616">
        <f t="shared" si="108"/>
        <v>0.01474</v>
      </c>
      <c r="BM93" s="616">
        <f t="shared" si="109"/>
        <v>0.04422</v>
      </c>
      <c r="BN93" s="616">
        <f t="shared" si="110"/>
        <v>0.8844</v>
      </c>
      <c r="BO93" s="616"/>
      <c r="BP93" s="304"/>
    </row>
    <row r="94" s="131" customFormat="1" ht="24" spans="1:68">
      <c r="A94" s="497" t="s">
        <v>202</v>
      </c>
      <c r="B94" s="497" t="s">
        <v>203</v>
      </c>
      <c r="C94" s="497" t="s">
        <v>325</v>
      </c>
      <c r="D94" s="497" t="s">
        <v>321</v>
      </c>
      <c r="E94" s="617">
        <f t="shared" si="72"/>
        <v>18.96</v>
      </c>
      <c r="F94" s="617">
        <f t="shared" si="76"/>
        <v>16.86</v>
      </c>
      <c r="G94" s="618">
        <v>4.88</v>
      </c>
      <c r="H94" s="618">
        <v>3.08</v>
      </c>
      <c r="I94" s="618">
        <v>0.95</v>
      </c>
      <c r="J94" s="618"/>
      <c r="K94" s="618"/>
      <c r="L94" s="618">
        <v>7.95</v>
      </c>
      <c r="M94" s="617">
        <f t="shared" si="111"/>
        <v>2.1</v>
      </c>
      <c r="N94" s="618"/>
      <c r="O94" s="618"/>
      <c r="P94" s="618">
        <v>1.1</v>
      </c>
      <c r="Q94" s="618">
        <v>1</v>
      </c>
      <c r="R94" s="617">
        <f t="shared" si="73"/>
        <v>-1.35</v>
      </c>
      <c r="S94" s="615">
        <f t="shared" si="77"/>
        <v>-1.42</v>
      </c>
      <c r="T94" s="618">
        <v>1.29</v>
      </c>
      <c r="U94" s="618">
        <v>0.83</v>
      </c>
      <c r="V94" s="618">
        <v>-0.35</v>
      </c>
      <c r="W94" s="618"/>
      <c r="X94" s="618"/>
      <c r="Y94" s="618">
        <v>-3.19</v>
      </c>
      <c r="Z94" s="617">
        <f t="shared" si="74"/>
        <v>0.07</v>
      </c>
      <c r="AA94" s="618"/>
      <c r="AB94" s="618"/>
      <c r="AC94" s="618">
        <v>0.07</v>
      </c>
      <c r="AD94" s="618"/>
      <c r="AE94" s="615">
        <f t="shared" si="78"/>
        <v>17.61</v>
      </c>
      <c r="AF94" s="615">
        <f t="shared" si="79"/>
        <v>15.44</v>
      </c>
      <c r="AG94" s="616">
        <f t="shared" si="80"/>
        <v>6.17</v>
      </c>
      <c r="AH94" s="616">
        <f t="shared" si="81"/>
        <v>3.91</v>
      </c>
      <c r="AI94" s="616">
        <f t="shared" si="82"/>
        <v>0.6</v>
      </c>
      <c r="AJ94" s="616">
        <f t="shared" si="83"/>
        <v>0</v>
      </c>
      <c r="AK94" s="616">
        <f t="shared" si="84"/>
        <v>0</v>
      </c>
      <c r="AL94" s="616">
        <f t="shared" si="85"/>
        <v>4.76</v>
      </c>
      <c r="AM94" s="615">
        <f t="shared" si="86"/>
        <v>2.17</v>
      </c>
      <c r="AN94" s="616">
        <f t="shared" si="87"/>
        <v>0</v>
      </c>
      <c r="AO94" s="616">
        <f t="shared" si="88"/>
        <v>0</v>
      </c>
      <c r="AP94" s="616">
        <f t="shared" si="89"/>
        <v>1.17</v>
      </c>
      <c r="AQ94" s="637">
        <f t="shared" si="90"/>
        <v>1</v>
      </c>
      <c r="AR94" s="639">
        <f t="shared" si="75"/>
        <v>4.83088</v>
      </c>
      <c r="AS94" s="616">
        <f t="shared" si="91"/>
        <v>2.6976</v>
      </c>
      <c r="AT94" s="616">
        <f t="shared" si="92"/>
        <v>0.6368</v>
      </c>
      <c r="AU94" s="616">
        <f t="shared" si="93"/>
        <v>0.4776</v>
      </c>
      <c r="AV94" s="616">
        <f t="shared" si="94"/>
        <v>0.01592</v>
      </c>
      <c r="AW94" s="616">
        <f t="shared" si="95"/>
        <v>0.04776</v>
      </c>
      <c r="AX94" s="616">
        <f t="shared" si="96"/>
        <v>0.9552</v>
      </c>
      <c r="AY94" s="618"/>
      <c r="AZ94" s="615">
        <f t="shared" si="97"/>
        <v>0.34096</v>
      </c>
      <c r="BA94" s="616">
        <f t="shared" si="98"/>
        <v>-0.2272</v>
      </c>
      <c r="BB94" s="616">
        <f t="shared" si="99"/>
        <v>0.1696</v>
      </c>
      <c r="BC94" s="616">
        <f t="shared" si="100"/>
        <v>0.1272</v>
      </c>
      <c r="BD94" s="616">
        <f t="shared" si="101"/>
        <v>0.00424</v>
      </c>
      <c r="BE94" s="616">
        <f t="shared" si="102"/>
        <v>0.01272</v>
      </c>
      <c r="BF94" s="616">
        <f t="shared" si="103"/>
        <v>0.2544</v>
      </c>
      <c r="BG94" s="616"/>
      <c r="BH94" s="615">
        <f t="shared" si="104"/>
        <v>5.17184</v>
      </c>
      <c r="BI94" s="616">
        <f t="shared" si="105"/>
        <v>2.4704</v>
      </c>
      <c r="BJ94" s="616">
        <f t="shared" si="106"/>
        <v>0.8064</v>
      </c>
      <c r="BK94" s="616">
        <f t="shared" si="107"/>
        <v>0.6048</v>
      </c>
      <c r="BL94" s="616">
        <f t="shared" si="108"/>
        <v>0.02016</v>
      </c>
      <c r="BM94" s="616">
        <f t="shared" si="109"/>
        <v>0.06048</v>
      </c>
      <c r="BN94" s="616">
        <f t="shared" si="110"/>
        <v>1.2096</v>
      </c>
      <c r="BO94" s="616"/>
      <c r="BP94" s="304"/>
    </row>
    <row r="95" s="131" customFormat="1" ht="24" spans="1:68">
      <c r="A95" s="497" t="s">
        <v>215</v>
      </c>
      <c r="B95" s="497" t="s">
        <v>203</v>
      </c>
      <c r="C95" s="497" t="s">
        <v>326</v>
      </c>
      <c r="D95" s="497" t="s">
        <v>321</v>
      </c>
      <c r="E95" s="617">
        <f t="shared" si="72"/>
        <v>24.822</v>
      </c>
      <c r="F95" s="617">
        <f t="shared" si="76"/>
        <v>22.722</v>
      </c>
      <c r="G95" s="619">
        <v>9.552</v>
      </c>
      <c r="H95" s="619">
        <v>5.604</v>
      </c>
      <c r="I95" s="619">
        <v>0.796</v>
      </c>
      <c r="J95" s="618"/>
      <c r="K95" s="618"/>
      <c r="L95" s="618">
        <v>6.77</v>
      </c>
      <c r="M95" s="617">
        <f t="shared" si="111"/>
        <v>2.1</v>
      </c>
      <c r="N95" s="618"/>
      <c r="O95" s="618"/>
      <c r="P95" s="618">
        <v>1.1</v>
      </c>
      <c r="Q95" s="618">
        <v>1</v>
      </c>
      <c r="R95" s="617">
        <f t="shared" si="73"/>
        <v>-5.75</v>
      </c>
      <c r="S95" s="615">
        <f t="shared" si="77"/>
        <v>-5.9</v>
      </c>
      <c r="T95" s="618">
        <v>-2.72</v>
      </c>
      <c r="U95" s="618">
        <v>-1.45</v>
      </c>
      <c r="V95" s="618"/>
      <c r="W95" s="618"/>
      <c r="X95" s="618"/>
      <c r="Y95" s="618">
        <v>-1.73</v>
      </c>
      <c r="Z95" s="617">
        <f t="shared" si="74"/>
        <v>0.15</v>
      </c>
      <c r="AA95" s="618"/>
      <c r="AB95" s="618">
        <v>0.15</v>
      </c>
      <c r="AC95" s="618"/>
      <c r="AD95" s="618"/>
      <c r="AE95" s="615">
        <f t="shared" si="78"/>
        <v>19.072</v>
      </c>
      <c r="AF95" s="615">
        <f t="shared" si="79"/>
        <v>16.822</v>
      </c>
      <c r="AG95" s="616">
        <f t="shared" si="80"/>
        <v>6.832</v>
      </c>
      <c r="AH95" s="616">
        <f t="shared" si="81"/>
        <v>4.154</v>
      </c>
      <c r="AI95" s="616">
        <f t="shared" si="82"/>
        <v>0.796</v>
      </c>
      <c r="AJ95" s="616">
        <f t="shared" si="83"/>
        <v>0</v>
      </c>
      <c r="AK95" s="616">
        <f t="shared" si="84"/>
        <v>0</v>
      </c>
      <c r="AL95" s="616">
        <f t="shared" si="85"/>
        <v>5.04</v>
      </c>
      <c r="AM95" s="615">
        <f t="shared" si="86"/>
        <v>2.25</v>
      </c>
      <c r="AN95" s="616">
        <f t="shared" si="87"/>
        <v>0</v>
      </c>
      <c r="AO95" s="616">
        <f t="shared" si="88"/>
        <v>0.15</v>
      </c>
      <c r="AP95" s="616">
        <f t="shared" si="89"/>
        <v>1.1</v>
      </c>
      <c r="AQ95" s="637">
        <f t="shared" si="90"/>
        <v>1</v>
      </c>
      <c r="AR95" s="639">
        <f t="shared" si="75"/>
        <v>7.697328</v>
      </c>
      <c r="AS95" s="616">
        <f t="shared" si="91"/>
        <v>3.63552</v>
      </c>
      <c r="AT95" s="616">
        <f t="shared" si="92"/>
        <v>1.21248</v>
      </c>
      <c r="AU95" s="616">
        <f t="shared" si="93"/>
        <v>0.90936</v>
      </c>
      <c r="AV95" s="616">
        <f t="shared" si="94"/>
        <v>0.030312</v>
      </c>
      <c r="AW95" s="616">
        <f t="shared" si="95"/>
        <v>0.090936</v>
      </c>
      <c r="AX95" s="616">
        <f t="shared" si="96"/>
        <v>1.81872</v>
      </c>
      <c r="AY95" s="618"/>
      <c r="AZ95" s="615">
        <f t="shared" si="97"/>
        <v>-2.06156</v>
      </c>
      <c r="BA95" s="616">
        <f t="shared" si="98"/>
        <v>-0.944</v>
      </c>
      <c r="BB95" s="616">
        <f t="shared" si="99"/>
        <v>-0.3336</v>
      </c>
      <c r="BC95" s="616">
        <f t="shared" si="100"/>
        <v>-0.2502</v>
      </c>
      <c r="BD95" s="616">
        <f t="shared" si="101"/>
        <v>-0.00834</v>
      </c>
      <c r="BE95" s="616">
        <f t="shared" si="102"/>
        <v>-0.02502</v>
      </c>
      <c r="BF95" s="616">
        <f t="shared" si="103"/>
        <v>-0.5004</v>
      </c>
      <c r="BG95" s="616"/>
      <c r="BH95" s="615">
        <f t="shared" si="104"/>
        <v>5.635768</v>
      </c>
      <c r="BI95" s="616">
        <f t="shared" si="105"/>
        <v>2.69152</v>
      </c>
      <c r="BJ95" s="616">
        <f t="shared" si="106"/>
        <v>0.87888</v>
      </c>
      <c r="BK95" s="616">
        <f t="shared" si="107"/>
        <v>0.65916</v>
      </c>
      <c r="BL95" s="616">
        <f t="shared" si="108"/>
        <v>0.021972</v>
      </c>
      <c r="BM95" s="616">
        <f t="shared" si="109"/>
        <v>0.065916</v>
      </c>
      <c r="BN95" s="616">
        <f t="shared" si="110"/>
        <v>1.31832</v>
      </c>
      <c r="BO95" s="616"/>
      <c r="BP95" s="304" t="s">
        <v>317</v>
      </c>
    </row>
    <row r="96" s="131" customFormat="1" ht="24" spans="1:68">
      <c r="A96" s="497" t="s">
        <v>202</v>
      </c>
      <c r="B96" s="497" t="s">
        <v>206</v>
      </c>
      <c r="C96" s="497" t="s">
        <v>327</v>
      </c>
      <c r="D96" s="497" t="s">
        <v>328</v>
      </c>
      <c r="E96" s="617">
        <f t="shared" si="72"/>
        <v>0</v>
      </c>
      <c r="F96" s="617">
        <f t="shared" si="76"/>
        <v>0</v>
      </c>
      <c r="G96" s="618"/>
      <c r="H96" s="618"/>
      <c r="I96" s="618"/>
      <c r="J96" s="618"/>
      <c r="K96" s="618"/>
      <c r="L96" s="618"/>
      <c r="M96" s="617">
        <f t="shared" si="111"/>
        <v>0</v>
      </c>
      <c r="N96" s="618"/>
      <c r="O96" s="618"/>
      <c r="P96" s="618"/>
      <c r="Q96" s="618"/>
      <c r="R96" s="617">
        <f t="shared" si="73"/>
        <v>0</v>
      </c>
      <c r="S96" s="615">
        <f t="shared" si="77"/>
        <v>0</v>
      </c>
      <c r="T96" s="618"/>
      <c r="U96" s="618"/>
      <c r="V96" s="618"/>
      <c r="W96" s="618"/>
      <c r="X96" s="618"/>
      <c r="Y96" s="618"/>
      <c r="Z96" s="617">
        <f t="shared" si="74"/>
        <v>0</v>
      </c>
      <c r="AA96" s="618"/>
      <c r="AB96" s="618"/>
      <c r="AC96" s="618"/>
      <c r="AD96" s="618"/>
      <c r="AE96" s="615">
        <f t="shared" si="78"/>
        <v>0</v>
      </c>
      <c r="AF96" s="615">
        <f t="shared" si="79"/>
        <v>0</v>
      </c>
      <c r="AG96" s="616">
        <f t="shared" si="80"/>
        <v>0</v>
      </c>
      <c r="AH96" s="616">
        <f t="shared" si="81"/>
        <v>0</v>
      </c>
      <c r="AI96" s="616">
        <f t="shared" si="82"/>
        <v>0</v>
      </c>
      <c r="AJ96" s="616">
        <f t="shared" si="83"/>
        <v>0</v>
      </c>
      <c r="AK96" s="616">
        <f t="shared" si="84"/>
        <v>0</v>
      </c>
      <c r="AL96" s="616">
        <f t="shared" si="85"/>
        <v>0</v>
      </c>
      <c r="AM96" s="615">
        <f t="shared" si="86"/>
        <v>0</v>
      </c>
      <c r="AN96" s="616">
        <f t="shared" si="87"/>
        <v>0</v>
      </c>
      <c r="AO96" s="616">
        <f t="shared" si="88"/>
        <v>0</v>
      </c>
      <c r="AP96" s="616">
        <f t="shared" si="89"/>
        <v>0</v>
      </c>
      <c r="AQ96" s="637">
        <f t="shared" si="90"/>
        <v>0</v>
      </c>
      <c r="AR96" s="639">
        <f t="shared" si="75"/>
        <v>0</v>
      </c>
      <c r="AS96" s="616">
        <f t="shared" si="91"/>
        <v>0</v>
      </c>
      <c r="AT96" s="616">
        <f t="shared" si="92"/>
        <v>0</v>
      </c>
      <c r="AU96" s="616">
        <f t="shared" si="93"/>
        <v>0</v>
      </c>
      <c r="AV96" s="616">
        <f t="shared" si="94"/>
        <v>0</v>
      </c>
      <c r="AW96" s="616">
        <f t="shared" si="95"/>
        <v>0</v>
      </c>
      <c r="AX96" s="616">
        <f t="shared" si="96"/>
        <v>0</v>
      </c>
      <c r="AY96" s="618"/>
      <c r="AZ96" s="615">
        <f t="shared" si="97"/>
        <v>0</v>
      </c>
      <c r="BA96" s="616">
        <f t="shared" si="98"/>
        <v>0</v>
      </c>
      <c r="BB96" s="616">
        <f t="shared" si="99"/>
        <v>0</v>
      </c>
      <c r="BC96" s="616">
        <f t="shared" si="100"/>
        <v>0</v>
      </c>
      <c r="BD96" s="616">
        <f t="shared" si="101"/>
        <v>0</v>
      </c>
      <c r="BE96" s="616">
        <f t="shared" si="102"/>
        <v>0</v>
      </c>
      <c r="BF96" s="616">
        <f t="shared" si="103"/>
        <v>0</v>
      </c>
      <c r="BG96" s="616"/>
      <c r="BH96" s="615">
        <f t="shared" si="104"/>
        <v>0</v>
      </c>
      <c r="BI96" s="616">
        <f t="shared" si="105"/>
        <v>0</v>
      </c>
      <c r="BJ96" s="616">
        <f t="shared" si="106"/>
        <v>0</v>
      </c>
      <c r="BK96" s="616">
        <f t="shared" si="107"/>
        <v>0</v>
      </c>
      <c r="BL96" s="616">
        <f t="shared" si="108"/>
        <v>0</v>
      </c>
      <c r="BM96" s="616">
        <f t="shared" si="109"/>
        <v>0</v>
      </c>
      <c r="BN96" s="616">
        <f t="shared" si="110"/>
        <v>0</v>
      </c>
      <c r="BO96" s="616"/>
      <c r="BP96" s="304"/>
    </row>
    <row r="97" s="131" customFormat="1" ht="24" spans="1:68">
      <c r="A97" s="497" t="s">
        <v>202</v>
      </c>
      <c r="B97" s="497" t="s">
        <v>206</v>
      </c>
      <c r="C97" s="497" t="s">
        <v>329</v>
      </c>
      <c r="D97" s="497" t="s">
        <v>328</v>
      </c>
      <c r="E97" s="617">
        <f t="shared" si="72"/>
        <v>0</v>
      </c>
      <c r="F97" s="617">
        <f t="shared" si="76"/>
        <v>0</v>
      </c>
      <c r="G97" s="618"/>
      <c r="H97" s="618"/>
      <c r="I97" s="618"/>
      <c r="J97" s="618"/>
      <c r="K97" s="618"/>
      <c r="L97" s="618"/>
      <c r="M97" s="617">
        <f t="shared" si="111"/>
        <v>0</v>
      </c>
      <c r="N97" s="618"/>
      <c r="O97" s="618"/>
      <c r="P97" s="618"/>
      <c r="Q97" s="618"/>
      <c r="R97" s="617">
        <f t="shared" si="73"/>
        <v>0</v>
      </c>
      <c r="S97" s="615">
        <f t="shared" si="77"/>
        <v>0</v>
      </c>
      <c r="T97" s="618"/>
      <c r="U97" s="618"/>
      <c r="V97" s="618"/>
      <c r="W97" s="618"/>
      <c r="X97" s="618"/>
      <c r="Y97" s="618"/>
      <c r="Z97" s="617">
        <f t="shared" si="74"/>
        <v>0</v>
      </c>
      <c r="AA97" s="618"/>
      <c r="AB97" s="618"/>
      <c r="AC97" s="618"/>
      <c r="AD97" s="618"/>
      <c r="AE97" s="615">
        <f t="shared" si="78"/>
        <v>0</v>
      </c>
      <c r="AF97" s="615">
        <f t="shared" si="79"/>
        <v>0</v>
      </c>
      <c r="AG97" s="616">
        <f t="shared" si="80"/>
        <v>0</v>
      </c>
      <c r="AH97" s="616">
        <f t="shared" si="81"/>
        <v>0</v>
      </c>
      <c r="AI97" s="616">
        <f t="shared" si="82"/>
        <v>0</v>
      </c>
      <c r="AJ97" s="616">
        <f t="shared" si="83"/>
        <v>0</v>
      </c>
      <c r="AK97" s="616">
        <f t="shared" si="84"/>
        <v>0</v>
      </c>
      <c r="AL97" s="616">
        <f t="shared" si="85"/>
        <v>0</v>
      </c>
      <c r="AM97" s="615">
        <f t="shared" si="86"/>
        <v>0</v>
      </c>
      <c r="AN97" s="616">
        <f t="shared" si="87"/>
        <v>0</v>
      </c>
      <c r="AO97" s="616">
        <f t="shared" si="88"/>
        <v>0</v>
      </c>
      <c r="AP97" s="616">
        <f t="shared" si="89"/>
        <v>0</v>
      </c>
      <c r="AQ97" s="637">
        <f t="shared" si="90"/>
        <v>0</v>
      </c>
      <c r="AR97" s="639">
        <f t="shared" si="75"/>
        <v>0</v>
      </c>
      <c r="AS97" s="616">
        <f t="shared" si="91"/>
        <v>0</v>
      </c>
      <c r="AT97" s="616">
        <f t="shared" si="92"/>
        <v>0</v>
      </c>
      <c r="AU97" s="616">
        <f t="shared" si="93"/>
        <v>0</v>
      </c>
      <c r="AV97" s="616">
        <f t="shared" si="94"/>
        <v>0</v>
      </c>
      <c r="AW97" s="616">
        <f t="shared" si="95"/>
        <v>0</v>
      </c>
      <c r="AX97" s="616">
        <f t="shared" si="96"/>
        <v>0</v>
      </c>
      <c r="AY97" s="618"/>
      <c r="AZ97" s="615">
        <f t="shared" si="97"/>
        <v>0</v>
      </c>
      <c r="BA97" s="616">
        <f t="shared" si="98"/>
        <v>0</v>
      </c>
      <c r="BB97" s="616">
        <f t="shared" si="99"/>
        <v>0</v>
      </c>
      <c r="BC97" s="616">
        <f t="shared" si="100"/>
        <v>0</v>
      </c>
      <c r="BD97" s="616">
        <f t="shared" si="101"/>
        <v>0</v>
      </c>
      <c r="BE97" s="616">
        <f t="shared" si="102"/>
        <v>0</v>
      </c>
      <c r="BF97" s="616">
        <f t="shared" si="103"/>
        <v>0</v>
      </c>
      <c r="BG97" s="616"/>
      <c r="BH97" s="615">
        <f t="shared" si="104"/>
        <v>0</v>
      </c>
      <c r="BI97" s="616">
        <f t="shared" si="105"/>
        <v>0</v>
      </c>
      <c r="BJ97" s="616">
        <f t="shared" si="106"/>
        <v>0</v>
      </c>
      <c r="BK97" s="616">
        <f t="shared" si="107"/>
        <v>0</v>
      </c>
      <c r="BL97" s="616">
        <f t="shared" si="108"/>
        <v>0</v>
      </c>
      <c r="BM97" s="616">
        <f t="shared" si="109"/>
        <v>0</v>
      </c>
      <c r="BN97" s="616">
        <f t="shared" si="110"/>
        <v>0</v>
      </c>
      <c r="BO97" s="616"/>
      <c r="BP97" s="304"/>
    </row>
    <row r="98" s="131" customFormat="1" ht="24" spans="1:68">
      <c r="A98" s="497" t="s">
        <v>202</v>
      </c>
      <c r="B98" s="497" t="s">
        <v>206</v>
      </c>
      <c r="C98" s="497" t="s">
        <v>330</v>
      </c>
      <c r="D98" s="497" t="s">
        <v>328</v>
      </c>
      <c r="E98" s="617">
        <f t="shared" si="72"/>
        <v>0</v>
      </c>
      <c r="F98" s="617">
        <f t="shared" si="76"/>
        <v>0</v>
      </c>
      <c r="G98" s="618"/>
      <c r="H98" s="618"/>
      <c r="I98" s="618"/>
      <c r="J98" s="618"/>
      <c r="K98" s="618"/>
      <c r="L98" s="618"/>
      <c r="M98" s="617">
        <f t="shared" si="111"/>
        <v>0</v>
      </c>
      <c r="N98" s="618"/>
      <c r="O98" s="618"/>
      <c r="P98" s="618"/>
      <c r="Q98" s="618"/>
      <c r="R98" s="617">
        <f t="shared" si="73"/>
        <v>0</v>
      </c>
      <c r="S98" s="615">
        <f t="shared" si="77"/>
        <v>0</v>
      </c>
      <c r="T98" s="618"/>
      <c r="U98" s="618"/>
      <c r="V98" s="618"/>
      <c r="W98" s="618"/>
      <c r="X98" s="618"/>
      <c r="Y98" s="618"/>
      <c r="Z98" s="617">
        <f t="shared" si="74"/>
        <v>0</v>
      </c>
      <c r="AA98" s="618"/>
      <c r="AB98" s="618"/>
      <c r="AC98" s="618"/>
      <c r="AD98" s="618"/>
      <c r="AE98" s="615">
        <f t="shared" si="78"/>
        <v>0</v>
      </c>
      <c r="AF98" s="615">
        <f t="shared" si="79"/>
        <v>0</v>
      </c>
      <c r="AG98" s="616">
        <f t="shared" si="80"/>
        <v>0</v>
      </c>
      <c r="AH98" s="616">
        <f t="shared" si="81"/>
        <v>0</v>
      </c>
      <c r="AI98" s="616">
        <f t="shared" si="82"/>
        <v>0</v>
      </c>
      <c r="AJ98" s="616">
        <f t="shared" si="83"/>
        <v>0</v>
      </c>
      <c r="AK98" s="616">
        <f t="shared" si="84"/>
        <v>0</v>
      </c>
      <c r="AL98" s="616">
        <f t="shared" si="85"/>
        <v>0</v>
      </c>
      <c r="AM98" s="615">
        <f t="shared" si="86"/>
        <v>0</v>
      </c>
      <c r="AN98" s="616">
        <f t="shared" si="87"/>
        <v>0</v>
      </c>
      <c r="AO98" s="616">
        <f t="shared" si="88"/>
        <v>0</v>
      </c>
      <c r="AP98" s="616">
        <f t="shared" si="89"/>
        <v>0</v>
      </c>
      <c r="AQ98" s="637">
        <f t="shared" si="90"/>
        <v>0</v>
      </c>
      <c r="AR98" s="639">
        <f t="shared" si="75"/>
        <v>0</v>
      </c>
      <c r="AS98" s="616">
        <f t="shared" si="91"/>
        <v>0</v>
      </c>
      <c r="AT98" s="616">
        <f t="shared" si="92"/>
        <v>0</v>
      </c>
      <c r="AU98" s="616">
        <f t="shared" si="93"/>
        <v>0</v>
      </c>
      <c r="AV98" s="616">
        <f t="shared" si="94"/>
        <v>0</v>
      </c>
      <c r="AW98" s="616">
        <f t="shared" si="95"/>
        <v>0</v>
      </c>
      <c r="AX98" s="616">
        <f t="shared" si="96"/>
        <v>0</v>
      </c>
      <c r="AY98" s="618"/>
      <c r="AZ98" s="615">
        <f t="shared" si="97"/>
        <v>0</v>
      </c>
      <c r="BA98" s="616">
        <f t="shared" si="98"/>
        <v>0</v>
      </c>
      <c r="BB98" s="616">
        <f t="shared" si="99"/>
        <v>0</v>
      </c>
      <c r="BC98" s="616">
        <f t="shared" si="100"/>
        <v>0</v>
      </c>
      <c r="BD98" s="616">
        <f t="shared" si="101"/>
        <v>0</v>
      </c>
      <c r="BE98" s="616">
        <f t="shared" si="102"/>
        <v>0</v>
      </c>
      <c r="BF98" s="616">
        <f t="shared" si="103"/>
        <v>0</v>
      </c>
      <c r="BG98" s="616"/>
      <c r="BH98" s="615">
        <f t="shared" si="104"/>
        <v>0</v>
      </c>
      <c r="BI98" s="616">
        <f t="shared" si="105"/>
        <v>0</v>
      </c>
      <c r="BJ98" s="616">
        <f t="shared" si="106"/>
        <v>0</v>
      </c>
      <c r="BK98" s="616">
        <f t="shared" si="107"/>
        <v>0</v>
      </c>
      <c r="BL98" s="616">
        <f t="shared" si="108"/>
        <v>0</v>
      </c>
      <c r="BM98" s="616">
        <f t="shared" si="109"/>
        <v>0</v>
      </c>
      <c r="BN98" s="616">
        <f t="shared" si="110"/>
        <v>0</v>
      </c>
      <c r="BO98" s="616"/>
      <c r="BP98" s="304"/>
    </row>
    <row r="99" s="131" customFormat="1" ht="24" spans="1:68">
      <c r="A99" s="497" t="s">
        <v>215</v>
      </c>
      <c r="B99" s="497" t="s">
        <v>206</v>
      </c>
      <c r="C99" s="497" t="s">
        <v>331</v>
      </c>
      <c r="D99" s="497" t="s">
        <v>328</v>
      </c>
      <c r="E99" s="617">
        <f t="shared" si="72"/>
        <v>0</v>
      </c>
      <c r="F99" s="617">
        <f t="shared" si="76"/>
        <v>0</v>
      </c>
      <c r="G99" s="618"/>
      <c r="H99" s="618"/>
      <c r="I99" s="618"/>
      <c r="J99" s="618"/>
      <c r="K99" s="618"/>
      <c r="L99" s="618"/>
      <c r="M99" s="617">
        <f t="shared" si="111"/>
        <v>0</v>
      </c>
      <c r="N99" s="618"/>
      <c r="O99" s="618"/>
      <c r="P99" s="618"/>
      <c r="Q99" s="618"/>
      <c r="R99" s="617">
        <f t="shared" si="73"/>
        <v>0</v>
      </c>
      <c r="S99" s="615">
        <f t="shared" si="77"/>
        <v>0</v>
      </c>
      <c r="T99" s="619"/>
      <c r="U99" s="619"/>
      <c r="V99" s="619"/>
      <c r="W99" s="618"/>
      <c r="X99" s="618"/>
      <c r="Y99" s="618"/>
      <c r="Z99" s="617">
        <f t="shared" si="74"/>
        <v>0</v>
      </c>
      <c r="AA99" s="618"/>
      <c r="AB99" s="618"/>
      <c r="AC99" s="618"/>
      <c r="AD99" s="618"/>
      <c r="AE99" s="615">
        <f t="shared" si="78"/>
        <v>0</v>
      </c>
      <c r="AF99" s="615">
        <f t="shared" si="79"/>
        <v>0</v>
      </c>
      <c r="AG99" s="616">
        <f t="shared" si="80"/>
        <v>0</v>
      </c>
      <c r="AH99" s="616">
        <f t="shared" si="81"/>
        <v>0</v>
      </c>
      <c r="AI99" s="616">
        <f t="shared" si="82"/>
        <v>0</v>
      </c>
      <c r="AJ99" s="616">
        <f t="shared" si="83"/>
        <v>0</v>
      </c>
      <c r="AK99" s="616">
        <f t="shared" si="84"/>
        <v>0</v>
      </c>
      <c r="AL99" s="616">
        <f t="shared" si="85"/>
        <v>0</v>
      </c>
      <c r="AM99" s="615">
        <f t="shared" si="86"/>
        <v>0</v>
      </c>
      <c r="AN99" s="616">
        <f t="shared" si="87"/>
        <v>0</v>
      </c>
      <c r="AO99" s="616">
        <f t="shared" si="88"/>
        <v>0</v>
      </c>
      <c r="AP99" s="616">
        <f t="shared" si="89"/>
        <v>0</v>
      </c>
      <c r="AQ99" s="637">
        <f t="shared" si="90"/>
        <v>0</v>
      </c>
      <c r="AR99" s="639">
        <f t="shared" si="75"/>
        <v>0</v>
      </c>
      <c r="AS99" s="616">
        <f t="shared" si="91"/>
        <v>0</v>
      </c>
      <c r="AT99" s="616">
        <f t="shared" si="92"/>
        <v>0</v>
      </c>
      <c r="AU99" s="616">
        <f t="shared" si="93"/>
        <v>0</v>
      </c>
      <c r="AV99" s="616">
        <f t="shared" si="94"/>
        <v>0</v>
      </c>
      <c r="AW99" s="616">
        <f t="shared" si="95"/>
        <v>0</v>
      </c>
      <c r="AX99" s="616">
        <f t="shared" si="96"/>
        <v>0</v>
      </c>
      <c r="AY99" s="618"/>
      <c r="AZ99" s="615">
        <f t="shared" si="97"/>
        <v>0</v>
      </c>
      <c r="BA99" s="616">
        <f t="shared" si="98"/>
        <v>0</v>
      </c>
      <c r="BB99" s="616">
        <f t="shared" si="99"/>
        <v>0</v>
      </c>
      <c r="BC99" s="616">
        <f t="shared" si="100"/>
        <v>0</v>
      </c>
      <c r="BD99" s="616">
        <f t="shared" si="101"/>
        <v>0</v>
      </c>
      <c r="BE99" s="616">
        <f t="shared" si="102"/>
        <v>0</v>
      </c>
      <c r="BF99" s="616">
        <f t="shared" si="103"/>
        <v>0</v>
      </c>
      <c r="BG99" s="616"/>
      <c r="BH99" s="615">
        <f t="shared" si="104"/>
        <v>0</v>
      </c>
      <c r="BI99" s="616">
        <f t="shared" si="105"/>
        <v>0</v>
      </c>
      <c r="BJ99" s="616">
        <f t="shared" si="106"/>
        <v>0</v>
      </c>
      <c r="BK99" s="616">
        <f t="shared" si="107"/>
        <v>0</v>
      </c>
      <c r="BL99" s="616">
        <f t="shared" si="108"/>
        <v>0</v>
      </c>
      <c r="BM99" s="616">
        <f t="shared" si="109"/>
        <v>0</v>
      </c>
      <c r="BN99" s="616">
        <f t="shared" si="110"/>
        <v>0</v>
      </c>
      <c r="BO99" s="616"/>
      <c r="BP99" s="304"/>
    </row>
    <row r="100" s="131" customFormat="1" ht="24" spans="1:68">
      <c r="A100" s="497" t="s">
        <v>202</v>
      </c>
      <c r="B100" s="497" t="s">
        <v>203</v>
      </c>
      <c r="C100" s="497" t="s">
        <v>332</v>
      </c>
      <c r="D100" s="497" t="s">
        <v>333</v>
      </c>
      <c r="E100" s="617">
        <f t="shared" si="72"/>
        <v>384.38</v>
      </c>
      <c r="F100" s="617">
        <f t="shared" si="76"/>
        <v>339.56</v>
      </c>
      <c r="G100" s="618">
        <v>128.96</v>
      </c>
      <c r="H100" s="618">
        <v>83.12</v>
      </c>
      <c r="I100" s="618">
        <v>10.75</v>
      </c>
      <c r="J100" s="618"/>
      <c r="K100" s="618">
        <v>1.44</v>
      </c>
      <c r="L100" s="618">
        <v>115.29</v>
      </c>
      <c r="M100" s="617">
        <f t="shared" si="111"/>
        <v>44.82</v>
      </c>
      <c r="N100" s="618">
        <v>10.17</v>
      </c>
      <c r="O100" s="618"/>
      <c r="P100" s="618">
        <v>18.15</v>
      </c>
      <c r="Q100" s="618">
        <v>16.5</v>
      </c>
      <c r="R100" s="617">
        <f t="shared" si="73"/>
        <v>-8.69</v>
      </c>
      <c r="S100" s="615">
        <f t="shared" si="77"/>
        <v>-13.79</v>
      </c>
      <c r="T100" s="618">
        <v>-1.54</v>
      </c>
      <c r="U100" s="618"/>
      <c r="V100" s="618"/>
      <c r="W100" s="618"/>
      <c r="X100" s="618"/>
      <c r="Y100" s="618">
        <v>-12.25</v>
      </c>
      <c r="Z100" s="617">
        <f t="shared" si="74"/>
        <v>5.1</v>
      </c>
      <c r="AA100" s="618">
        <v>0.24</v>
      </c>
      <c r="AB100" s="618">
        <f>0.45+2.55</f>
        <v>3</v>
      </c>
      <c r="AC100" s="618">
        <v>1.68</v>
      </c>
      <c r="AD100" s="618">
        <v>0.18</v>
      </c>
      <c r="AE100" s="615">
        <f t="shared" si="78"/>
        <v>375.69</v>
      </c>
      <c r="AF100" s="615">
        <f t="shared" si="79"/>
        <v>325.77</v>
      </c>
      <c r="AG100" s="616">
        <f t="shared" si="80"/>
        <v>127.42</v>
      </c>
      <c r="AH100" s="616">
        <f t="shared" si="81"/>
        <v>83.12</v>
      </c>
      <c r="AI100" s="616">
        <f t="shared" si="82"/>
        <v>10.75</v>
      </c>
      <c r="AJ100" s="616">
        <f t="shared" si="83"/>
        <v>0</v>
      </c>
      <c r="AK100" s="616">
        <f t="shared" si="84"/>
        <v>1.44</v>
      </c>
      <c r="AL100" s="616">
        <f t="shared" si="85"/>
        <v>103.04</v>
      </c>
      <c r="AM100" s="615">
        <f t="shared" si="86"/>
        <v>49.92</v>
      </c>
      <c r="AN100" s="616">
        <f t="shared" si="87"/>
        <v>10.41</v>
      </c>
      <c r="AO100" s="616">
        <f t="shared" si="88"/>
        <v>3</v>
      </c>
      <c r="AP100" s="616">
        <f t="shared" si="89"/>
        <v>19.83</v>
      </c>
      <c r="AQ100" s="637">
        <f t="shared" si="90"/>
        <v>16.68</v>
      </c>
      <c r="AR100" s="639">
        <f t="shared" si="75"/>
        <v>110.93664</v>
      </c>
      <c r="AS100" s="616">
        <f t="shared" si="91"/>
        <v>54.0992</v>
      </c>
      <c r="AT100" s="616">
        <f t="shared" si="92"/>
        <v>16.9664</v>
      </c>
      <c r="AU100" s="616">
        <f t="shared" si="93"/>
        <v>12.7248</v>
      </c>
      <c r="AV100" s="616">
        <f t="shared" si="94"/>
        <v>0.42416</v>
      </c>
      <c r="AW100" s="616">
        <f t="shared" si="95"/>
        <v>1.27248</v>
      </c>
      <c r="AX100" s="616">
        <f t="shared" si="96"/>
        <v>25.4496</v>
      </c>
      <c r="AY100" s="618"/>
      <c r="AZ100" s="615">
        <f t="shared" si="97"/>
        <v>-2.61912</v>
      </c>
      <c r="BA100" s="616">
        <f t="shared" si="98"/>
        <v>-2.2064</v>
      </c>
      <c r="BB100" s="616">
        <f t="shared" si="99"/>
        <v>-0.1232</v>
      </c>
      <c r="BC100" s="616">
        <f t="shared" si="100"/>
        <v>-0.0924</v>
      </c>
      <c r="BD100" s="616">
        <f t="shared" si="101"/>
        <v>-0.00308</v>
      </c>
      <c r="BE100" s="616">
        <f t="shared" si="102"/>
        <v>-0.00924</v>
      </c>
      <c r="BF100" s="616">
        <f t="shared" si="103"/>
        <v>-0.1848</v>
      </c>
      <c r="BG100" s="616"/>
      <c r="BH100" s="615">
        <f t="shared" si="104"/>
        <v>108.31752</v>
      </c>
      <c r="BI100" s="616">
        <f t="shared" si="105"/>
        <v>51.8928</v>
      </c>
      <c r="BJ100" s="616">
        <f t="shared" si="106"/>
        <v>16.8432</v>
      </c>
      <c r="BK100" s="616">
        <f t="shared" si="107"/>
        <v>12.6324</v>
      </c>
      <c r="BL100" s="616">
        <f t="shared" si="108"/>
        <v>0.42108</v>
      </c>
      <c r="BM100" s="616">
        <f t="shared" si="109"/>
        <v>1.26324</v>
      </c>
      <c r="BN100" s="616">
        <f t="shared" si="110"/>
        <v>25.2648</v>
      </c>
      <c r="BO100" s="616"/>
      <c r="BP100" s="304"/>
    </row>
    <row r="101" s="131" customFormat="1" ht="24" spans="1:68">
      <c r="A101" s="497" t="s">
        <v>202</v>
      </c>
      <c r="B101" s="497" t="s">
        <v>203</v>
      </c>
      <c r="C101" s="497" t="s">
        <v>334</v>
      </c>
      <c r="D101" s="497" t="s">
        <v>333</v>
      </c>
      <c r="E101" s="617">
        <f t="shared" si="72"/>
        <v>23.75</v>
      </c>
      <c r="F101" s="617">
        <f t="shared" si="76"/>
        <v>23.75</v>
      </c>
      <c r="G101" s="618">
        <v>13.86</v>
      </c>
      <c r="H101" s="618">
        <v>8.74</v>
      </c>
      <c r="I101" s="618">
        <v>1.15</v>
      </c>
      <c r="J101" s="618"/>
      <c r="K101" s="618"/>
      <c r="L101" s="618"/>
      <c r="M101" s="617">
        <f t="shared" si="111"/>
        <v>0</v>
      </c>
      <c r="N101" s="618"/>
      <c r="O101" s="618"/>
      <c r="P101" s="618"/>
      <c r="Q101" s="618"/>
      <c r="R101" s="617">
        <f t="shared" si="73"/>
        <v>17.31</v>
      </c>
      <c r="S101" s="615">
        <f t="shared" si="77"/>
        <v>17.31</v>
      </c>
      <c r="T101" s="618">
        <v>2.4</v>
      </c>
      <c r="U101" s="618">
        <v>1.76</v>
      </c>
      <c r="V101" s="618">
        <v>0.26</v>
      </c>
      <c r="W101" s="618"/>
      <c r="X101" s="618"/>
      <c r="Y101" s="618">
        <v>12.89</v>
      </c>
      <c r="Z101" s="617">
        <f t="shared" si="74"/>
        <v>0</v>
      </c>
      <c r="AA101" s="618"/>
      <c r="AB101" s="618"/>
      <c r="AC101" s="618"/>
      <c r="AD101" s="618"/>
      <c r="AE101" s="615">
        <f t="shared" si="78"/>
        <v>41.06</v>
      </c>
      <c r="AF101" s="615">
        <f t="shared" si="79"/>
        <v>41.06</v>
      </c>
      <c r="AG101" s="616">
        <f t="shared" si="80"/>
        <v>16.26</v>
      </c>
      <c r="AH101" s="616">
        <f t="shared" si="81"/>
        <v>10.5</v>
      </c>
      <c r="AI101" s="616">
        <f t="shared" si="82"/>
        <v>1.41</v>
      </c>
      <c r="AJ101" s="616">
        <f t="shared" si="83"/>
        <v>0</v>
      </c>
      <c r="AK101" s="616">
        <f t="shared" si="84"/>
        <v>0</v>
      </c>
      <c r="AL101" s="616">
        <f t="shared" si="85"/>
        <v>12.89</v>
      </c>
      <c r="AM101" s="615">
        <f t="shared" si="86"/>
        <v>0</v>
      </c>
      <c r="AN101" s="616">
        <f t="shared" si="87"/>
        <v>0</v>
      </c>
      <c r="AO101" s="616">
        <f t="shared" si="88"/>
        <v>0</v>
      </c>
      <c r="AP101" s="616">
        <f t="shared" si="89"/>
        <v>0</v>
      </c>
      <c r="AQ101" s="637">
        <f t="shared" si="90"/>
        <v>0</v>
      </c>
      <c r="AR101" s="639">
        <f t="shared" si="75"/>
        <v>9.8568</v>
      </c>
      <c r="AS101" s="616">
        <f t="shared" si="91"/>
        <v>3.8</v>
      </c>
      <c r="AT101" s="616">
        <f t="shared" si="92"/>
        <v>1.808</v>
      </c>
      <c r="AU101" s="616">
        <f t="shared" si="93"/>
        <v>1.356</v>
      </c>
      <c r="AV101" s="616">
        <f t="shared" si="94"/>
        <v>0.0452</v>
      </c>
      <c r="AW101" s="616">
        <f t="shared" si="95"/>
        <v>0.1356</v>
      </c>
      <c r="AX101" s="616">
        <f t="shared" si="96"/>
        <v>2.712</v>
      </c>
      <c r="AY101" s="618"/>
      <c r="AZ101" s="615">
        <f t="shared" si="97"/>
        <v>3.88448</v>
      </c>
      <c r="BA101" s="616">
        <f t="shared" si="98"/>
        <v>2.7696</v>
      </c>
      <c r="BB101" s="616">
        <f t="shared" si="99"/>
        <v>0.3328</v>
      </c>
      <c r="BC101" s="616">
        <f t="shared" si="100"/>
        <v>0.2496</v>
      </c>
      <c r="BD101" s="616">
        <f t="shared" si="101"/>
        <v>0.00832</v>
      </c>
      <c r="BE101" s="616">
        <f t="shared" si="102"/>
        <v>0.02496</v>
      </c>
      <c r="BF101" s="616">
        <f t="shared" si="103"/>
        <v>0.4992</v>
      </c>
      <c r="BG101" s="616"/>
      <c r="BH101" s="615">
        <f t="shared" si="104"/>
        <v>13.74128</v>
      </c>
      <c r="BI101" s="616">
        <f t="shared" si="105"/>
        <v>6.5696</v>
      </c>
      <c r="BJ101" s="616">
        <f t="shared" si="106"/>
        <v>2.1408</v>
      </c>
      <c r="BK101" s="616">
        <f t="shared" si="107"/>
        <v>1.6056</v>
      </c>
      <c r="BL101" s="616">
        <f t="shared" si="108"/>
        <v>0.05352</v>
      </c>
      <c r="BM101" s="616">
        <f t="shared" si="109"/>
        <v>0.16056</v>
      </c>
      <c r="BN101" s="616">
        <f t="shared" si="110"/>
        <v>3.2112</v>
      </c>
      <c r="BO101" s="616"/>
      <c r="BP101" s="304"/>
    </row>
    <row r="102" s="131" customFormat="1" ht="36" spans="1:68">
      <c r="A102" s="497" t="s">
        <v>202</v>
      </c>
      <c r="B102" s="497" t="s">
        <v>203</v>
      </c>
      <c r="C102" s="497" t="s">
        <v>335</v>
      </c>
      <c r="D102" s="497" t="s">
        <v>333</v>
      </c>
      <c r="E102" s="617">
        <f t="shared" si="72"/>
        <v>87.16</v>
      </c>
      <c r="F102" s="617">
        <f t="shared" si="76"/>
        <v>73.23</v>
      </c>
      <c r="G102" s="618">
        <v>30.26</v>
      </c>
      <c r="H102" s="618">
        <v>18.19</v>
      </c>
      <c r="I102" s="618">
        <v>2.52</v>
      </c>
      <c r="J102" s="618"/>
      <c r="K102" s="618"/>
      <c r="L102" s="618">
        <v>22.26</v>
      </c>
      <c r="M102" s="617">
        <f t="shared" si="111"/>
        <v>13.93</v>
      </c>
      <c r="N102" s="618">
        <v>7.63</v>
      </c>
      <c r="O102" s="618"/>
      <c r="P102" s="618">
        <v>3.3</v>
      </c>
      <c r="Q102" s="618">
        <v>3</v>
      </c>
      <c r="R102" s="617">
        <f t="shared" si="73"/>
        <v>-12.79</v>
      </c>
      <c r="S102" s="615">
        <f t="shared" si="77"/>
        <v>-15.91</v>
      </c>
      <c r="T102" s="618">
        <v>-15.91</v>
      </c>
      <c r="U102" s="618"/>
      <c r="V102" s="618"/>
      <c r="W102" s="618"/>
      <c r="X102" s="618"/>
      <c r="Y102" s="618"/>
      <c r="Z102" s="617">
        <f t="shared" si="74"/>
        <v>3.12</v>
      </c>
      <c r="AA102" s="618">
        <v>0.18</v>
      </c>
      <c r="AB102" s="618">
        <v>0.3</v>
      </c>
      <c r="AC102" s="618">
        <v>0.39</v>
      </c>
      <c r="AD102" s="618">
        <v>2.25</v>
      </c>
      <c r="AE102" s="615">
        <f t="shared" si="78"/>
        <v>74.37</v>
      </c>
      <c r="AF102" s="615">
        <f t="shared" si="79"/>
        <v>57.32</v>
      </c>
      <c r="AG102" s="616">
        <f t="shared" si="80"/>
        <v>14.35</v>
      </c>
      <c r="AH102" s="616">
        <f t="shared" si="81"/>
        <v>18.19</v>
      </c>
      <c r="AI102" s="616">
        <f t="shared" si="82"/>
        <v>2.52</v>
      </c>
      <c r="AJ102" s="616">
        <f t="shared" si="83"/>
        <v>0</v>
      </c>
      <c r="AK102" s="616">
        <f t="shared" si="84"/>
        <v>0</v>
      </c>
      <c r="AL102" s="616">
        <f t="shared" si="85"/>
        <v>22.26</v>
      </c>
      <c r="AM102" s="615">
        <f t="shared" si="86"/>
        <v>17.05</v>
      </c>
      <c r="AN102" s="616">
        <f t="shared" si="87"/>
        <v>7.81</v>
      </c>
      <c r="AO102" s="616">
        <f t="shared" si="88"/>
        <v>0.3</v>
      </c>
      <c r="AP102" s="616">
        <f t="shared" si="89"/>
        <v>3.69</v>
      </c>
      <c r="AQ102" s="637">
        <f t="shared" si="90"/>
        <v>5.25</v>
      </c>
      <c r="AR102" s="639">
        <f t="shared" si="75"/>
        <v>24.7014</v>
      </c>
      <c r="AS102" s="616">
        <f t="shared" si="91"/>
        <v>11.7168</v>
      </c>
      <c r="AT102" s="616">
        <f t="shared" si="92"/>
        <v>3.876</v>
      </c>
      <c r="AU102" s="616">
        <f t="shared" si="93"/>
        <v>2.907</v>
      </c>
      <c r="AV102" s="616">
        <f t="shared" si="94"/>
        <v>0.0969</v>
      </c>
      <c r="AW102" s="616">
        <f t="shared" si="95"/>
        <v>0.2907</v>
      </c>
      <c r="AX102" s="616">
        <f t="shared" si="96"/>
        <v>5.814</v>
      </c>
      <c r="AY102" s="618"/>
      <c r="AZ102" s="615">
        <f t="shared" si="97"/>
        <v>-6.80948</v>
      </c>
      <c r="BA102" s="616">
        <f t="shared" si="98"/>
        <v>-2.5456</v>
      </c>
      <c r="BB102" s="616">
        <f t="shared" si="99"/>
        <v>-1.2728</v>
      </c>
      <c r="BC102" s="616">
        <f t="shared" si="100"/>
        <v>-0.9546</v>
      </c>
      <c r="BD102" s="616">
        <f t="shared" si="101"/>
        <v>-0.03182</v>
      </c>
      <c r="BE102" s="616">
        <f t="shared" si="102"/>
        <v>-0.09546</v>
      </c>
      <c r="BF102" s="616">
        <f t="shared" si="103"/>
        <v>-1.9092</v>
      </c>
      <c r="BG102" s="616"/>
      <c r="BH102" s="615">
        <f t="shared" si="104"/>
        <v>17.89192</v>
      </c>
      <c r="BI102" s="616">
        <f t="shared" si="105"/>
        <v>9.1712</v>
      </c>
      <c r="BJ102" s="616">
        <f t="shared" si="106"/>
        <v>2.6032</v>
      </c>
      <c r="BK102" s="616">
        <f t="shared" si="107"/>
        <v>1.9524</v>
      </c>
      <c r="BL102" s="616">
        <f t="shared" si="108"/>
        <v>0.06508</v>
      </c>
      <c r="BM102" s="616">
        <f t="shared" si="109"/>
        <v>0.19524</v>
      </c>
      <c r="BN102" s="616">
        <f t="shared" si="110"/>
        <v>3.9048</v>
      </c>
      <c r="BO102" s="616"/>
      <c r="BP102" s="304"/>
    </row>
    <row r="103" s="131" customFormat="1" ht="24" spans="1:68">
      <c r="A103" s="497" t="s">
        <v>202</v>
      </c>
      <c r="B103" s="497" t="s">
        <v>206</v>
      </c>
      <c r="C103" s="497" t="s">
        <v>336</v>
      </c>
      <c r="D103" s="497" t="s">
        <v>337</v>
      </c>
      <c r="E103" s="617"/>
      <c r="F103" s="617">
        <f t="shared" si="76"/>
        <v>0</v>
      </c>
      <c r="G103" s="618"/>
      <c r="H103" s="618"/>
      <c r="I103" s="618"/>
      <c r="J103" s="618"/>
      <c r="K103" s="618"/>
      <c r="L103" s="618"/>
      <c r="M103" s="617">
        <f t="shared" si="111"/>
        <v>0</v>
      </c>
      <c r="N103" s="618"/>
      <c r="O103" s="618"/>
      <c r="P103" s="618"/>
      <c r="Q103" s="618"/>
      <c r="R103" s="617">
        <f t="shared" si="73"/>
        <v>0</v>
      </c>
      <c r="S103" s="615">
        <f t="shared" si="77"/>
        <v>0</v>
      </c>
      <c r="T103" s="618"/>
      <c r="U103" s="618"/>
      <c r="V103" s="618"/>
      <c r="W103" s="618"/>
      <c r="X103" s="618"/>
      <c r="Y103" s="618"/>
      <c r="Z103" s="617">
        <f t="shared" si="74"/>
        <v>0</v>
      </c>
      <c r="AA103" s="618"/>
      <c r="AB103" s="618"/>
      <c r="AC103" s="618"/>
      <c r="AD103" s="618"/>
      <c r="AE103" s="615">
        <f t="shared" si="78"/>
        <v>0</v>
      </c>
      <c r="AF103" s="615">
        <f t="shared" si="79"/>
        <v>0</v>
      </c>
      <c r="AG103" s="616">
        <f t="shared" si="80"/>
        <v>0</v>
      </c>
      <c r="AH103" s="616">
        <f t="shared" si="81"/>
        <v>0</v>
      </c>
      <c r="AI103" s="616">
        <f t="shared" si="82"/>
        <v>0</v>
      </c>
      <c r="AJ103" s="616">
        <f t="shared" si="83"/>
        <v>0</v>
      </c>
      <c r="AK103" s="616">
        <f t="shared" si="84"/>
        <v>0</v>
      </c>
      <c r="AL103" s="616">
        <f t="shared" si="85"/>
        <v>0</v>
      </c>
      <c r="AM103" s="615">
        <f t="shared" si="86"/>
        <v>0</v>
      </c>
      <c r="AN103" s="616">
        <f t="shared" si="87"/>
        <v>0</v>
      </c>
      <c r="AO103" s="616">
        <f t="shared" si="88"/>
        <v>0</v>
      </c>
      <c r="AP103" s="616">
        <f t="shared" si="89"/>
        <v>0</v>
      </c>
      <c r="AQ103" s="637">
        <f t="shared" si="90"/>
        <v>0</v>
      </c>
      <c r="AR103" s="639">
        <f t="shared" si="75"/>
        <v>0</v>
      </c>
      <c r="AS103" s="616">
        <f t="shared" si="91"/>
        <v>0</v>
      </c>
      <c r="AT103" s="616">
        <f t="shared" si="92"/>
        <v>0</v>
      </c>
      <c r="AU103" s="616">
        <f t="shared" si="93"/>
        <v>0</v>
      </c>
      <c r="AV103" s="616">
        <f t="shared" si="94"/>
        <v>0</v>
      </c>
      <c r="AW103" s="616">
        <f t="shared" si="95"/>
        <v>0</v>
      </c>
      <c r="AX103" s="616">
        <f t="shared" si="96"/>
        <v>0</v>
      </c>
      <c r="AY103" s="618"/>
      <c r="AZ103" s="615">
        <f t="shared" si="97"/>
        <v>0</v>
      </c>
      <c r="BA103" s="616">
        <f t="shared" si="98"/>
        <v>0</v>
      </c>
      <c r="BB103" s="616">
        <f t="shared" si="99"/>
        <v>0</v>
      </c>
      <c r="BC103" s="616">
        <f t="shared" si="100"/>
        <v>0</v>
      </c>
      <c r="BD103" s="616">
        <f t="shared" si="101"/>
        <v>0</v>
      </c>
      <c r="BE103" s="616">
        <f t="shared" si="102"/>
        <v>0</v>
      </c>
      <c r="BF103" s="616">
        <f t="shared" si="103"/>
        <v>0</v>
      </c>
      <c r="BG103" s="616"/>
      <c r="BH103" s="615">
        <f t="shared" si="104"/>
        <v>0</v>
      </c>
      <c r="BI103" s="616">
        <f t="shared" si="105"/>
        <v>0</v>
      </c>
      <c r="BJ103" s="616">
        <f t="shared" si="106"/>
        <v>0</v>
      </c>
      <c r="BK103" s="616">
        <f t="shared" si="107"/>
        <v>0</v>
      </c>
      <c r="BL103" s="616">
        <f t="shared" si="108"/>
        <v>0</v>
      </c>
      <c r="BM103" s="616">
        <f t="shared" si="109"/>
        <v>0</v>
      </c>
      <c r="BN103" s="616">
        <f t="shared" si="110"/>
        <v>0</v>
      </c>
      <c r="BO103" s="616"/>
      <c r="BP103" s="304"/>
    </row>
    <row r="104" s="131" customFormat="1" ht="36" spans="1:68">
      <c r="A104" s="497" t="s">
        <v>202</v>
      </c>
      <c r="B104" s="497" t="s">
        <v>203</v>
      </c>
      <c r="C104" s="497" t="s">
        <v>338</v>
      </c>
      <c r="D104" s="497" t="s">
        <v>333</v>
      </c>
      <c r="E104" s="617">
        <f t="shared" ref="E104:E133" si="112">F104+M104</f>
        <v>60.29</v>
      </c>
      <c r="F104" s="617">
        <f t="shared" si="76"/>
        <v>45.92</v>
      </c>
      <c r="G104" s="618">
        <v>18.11</v>
      </c>
      <c r="H104" s="618">
        <v>11.58</v>
      </c>
      <c r="I104" s="618">
        <v>1.94</v>
      </c>
      <c r="J104" s="618"/>
      <c r="K104" s="618"/>
      <c r="L104" s="618">
        <v>14.29</v>
      </c>
      <c r="M104" s="617">
        <f t="shared" ref="M104:M133" si="113">SUM(N104:Q104)</f>
        <v>14.37</v>
      </c>
      <c r="N104" s="618">
        <v>10.17</v>
      </c>
      <c r="O104" s="618"/>
      <c r="P104" s="618">
        <v>2.2</v>
      </c>
      <c r="Q104" s="618">
        <v>2</v>
      </c>
      <c r="R104" s="617">
        <f t="shared" ref="R104:R133" si="114">S104+Z104</f>
        <v>1.34</v>
      </c>
      <c r="S104" s="615">
        <f t="shared" si="77"/>
        <v>0.49</v>
      </c>
      <c r="T104" s="618">
        <v>0.16</v>
      </c>
      <c r="U104" s="618">
        <v>0.08</v>
      </c>
      <c r="V104" s="618">
        <v>0.14</v>
      </c>
      <c r="W104" s="618"/>
      <c r="X104" s="618"/>
      <c r="Y104" s="618">
        <v>0.11</v>
      </c>
      <c r="Z104" s="617">
        <f t="shared" ref="Z104:Z133" si="115">SUM(AA104:AD104)</f>
        <v>0.85</v>
      </c>
      <c r="AA104" s="618">
        <v>0.24</v>
      </c>
      <c r="AB104" s="618">
        <v>0.3</v>
      </c>
      <c r="AC104" s="618">
        <v>0.52</v>
      </c>
      <c r="AD104" s="618">
        <v>-0.21</v>
      </c>
      <c r="AE104" s="615">
        <f t="shared" si="78"/>
        <v>61.63</v>
      </c>
      <c r="AF104" s="615">
        <f t="shared" si="79"/>
        <v>46.41</v>
      </c>
      <c r="AG104" s="616">
        <f t="shared" si="80"/>
        <v>18.27</v>
      </c>
      <c r="AH104" s="616">
        <f t="shared" si="81"/>
        <v>11.66</v>
      </c>
      <c r="AI104" s="616">
        <f t="shared" si="82"/>
        <v>2.08</v>
      </c>
      <c r="AJ104" s="616">
        <f t="shared" si="83"/>
        <v>0</v>
      </c>
      <c r="AK104" s="616">
        <f t="shared" si="84"/>
        <v>0</v>
      </c>
      <c r="AL104" s="616">
        <f t="shared" si="85"/>
        <v>14.4</v>
      </c>
      <c r="AM104" s="615">
        <f t="shared" si="86"/>
        <v>15.22</v>
      </c>
      <c r="AN104" s="616">
        <f t="shared" si="87"/>
        <v>10.41</v>
      </c>
      <c r="AO104" s="616">
        <f t="shared" si="88"/>
        <v>0.3</v>
      </c>
      <c r="AP104" s="616">
        <f t="shared" si="89"/>
        <v>2.72</v>
      </c>
      <c r="AQ104" s="637">
        <f t="shared" si="90"/>
        <v>1.79</v>
      </c>
      <c r="AR104" s="639">
        <f t="shared" ref="AR104:AR133" si="116">SUM(AS104:AY104)</f>
        <v>15.30412</v>
      </c>
      <c r="AS104" s="616">
        <f t="shared" si="91"/>
        <v>7.3472</v>
      </c>
      <c r="AT104" s="616">
        <f t="shared" si="92"/>
        <v>2.3752</v>
      </c>
      <c r="AU104" s="616">
        <f t="shared" si="93"/>
        <v>1.7814</v>
      </c>
      <c r="AV104" s="616">
        <f t="shared" si="94"/>
        <v>0.05938</v>
      </c>
      <c r="AW104" s="616">
        <f t="shared" si="95"/>
        <v>0.17814</v>
      </c>
      <c r="AX104" s="616">
        <f t="shared" si="96"/>
        <v>3.5628</v>
      </c>
      <c r="AY104" s="618"/>
      <c r="AZ104" s="615">
        <f t="shared" si="97"/>
        <v>0.14272</v>
      </c>
      <c r="BA104" s="616">
        <f t="shared" si="98"/>
        <v>0.0784</v>
      </c>
      <c r="BB104" s="616">
        <f t="shared" si="99"/>
        <v>0.0192</v>
      </c>
      <c r="BC104" s="616">
        <f t="shared" si="100"/>
        <v>0.0144</v>
      </c>
      <c r="BD104" s="616">
        <f t="shared" si="101"/>
        <v>0.00048</v>
      </c>
      <c r="BE104" s="616">
        <f t="shared" si="102"/>
        <v>0.00144</v>
      </c>
      <c r="BF104" s="616">
        <f t="shared" si="103"/>
        <v>0.0288</v>
      </c>
      <c r="BG104" s="616"/>
      <c r="BH104" s="615">
        <f t="shared" si="104"/>
        <v>15.44684</v>
      </c>
      <c r="BI104" s="616">
        <f t="shared" si="105"/>
        <v>7.4256</v>
      </c>
      <c r="BJ104" s="616">
        <f t="shared" si="106"/>
        <v>2.3944</v>
      </c>
      <c r="BK104" s="616">
        <f t="shared" si="107"/>
        <v>1.7958</v>
      </c>
      <c r="BL104" s="616">
        <f t="shared" si="108"/>
        <v>0.05986</v>
      </c>
      <c r="BM104" s="616">
        <f t="shared" si="109"/>
        <v>0.17958</v>
      </c>
      <c r="BN104" s="616">
        <f t="shared" si="110"/>
        <v>3.5916</v>
      </c>
      <c r="BO104" s="616"/>
      <c r="BP104" s="304"/>
    </row>
    <row r="105" s="131" customFormat="1" ht="36" spans="1:68">
      <c r="A105" s="497" t="s">
        <v>202</v>
      </c>
      <c r="B105" s="497" t="s">
        <v>203</v>
      </c>
      <c r="C105" s="497" t="s">
        <v>339</v>
      </c>
      <c r="D105" s="497" t="s">
        <v>333</v>
      </c>
      <c r="E105" s="617">
        <f t="shared" si="112"/>
        <v>161.01</v>
      </c>
      <c r="F105" s="617">
        <f t="shared" ref="F105:F133" si="117">SUM(G105:L105)</f>
        <v>138.84</v>
      </c>
      <c r="G105" s="618">
        <v>48.26</v>
      </c>
      <c r="H105" s="618">
        <v>40.4</v>
      </c>
      <c r="I105" s="618">
        <v>4.02</v>
      </c>
      <c r="J105" s="618"/>
      <c r="K105" s="618">
        <v>11.52</v>
      </c>
      <c r="L105" s="618">
        <v>34.64</v>
      </c>
      <c r="M105" s="617">
        <f t="shared" si="113"/>
        <v>22.17</v>
      </c>
      <c r="N105" s="618">
        <v>12.72</v>
      </c>
      <c r="O105" s="618"/>
      <c r="P105" s="618">
        <v>4.95</v>
      </c>
      <c r="Q105" s="618">
        <v>4.5</v>
      </c>
      <c r="R105" s="617">
        <f t="shared" si="114"/>
        <v>-34.48</v>
      </c>
      <c r="S105" s="615">
        <f t="shared" ref="S105:S133" si="118">SUM(T105:Y105)</f>
        <v>-36.13</v>
      </c>
      <c r="T105" s="618">
        <v>-18.41</v>
      </c>
      <c r="U105" s="618"/>
      <c r="V105" s="618">
        <v>-0.38</v>
      </c>
      <c r="W105" s="618"/>
      <c r="X105" s="618">
        <v>-10.8</v>
      </c>
      <c r="Y105" s="618">
        <v>-6.54</v>
      </c>
      <c r="Z105" s="617">
        <f t="shared" si="115"/>
        <v>1.65</v>
      </c>
      <c r="AA105" s="618">
        <v>0.3</v>
      </c>
      <c r="AB105" s="618">
        <f>0.15+0.6</f>
        <v>0.75</v>
      </c>
      <c r="AC105" s="618">
        <v>0.76</v>
      </c>
      <c r="AD105" s="618">
        <v>-0.16</v>
      </c>
      <c r="AE105" s="615">
        <f t="shared" ref="AE105:AE140" si="119">AF105+AM105</f>
        <v>126.53</v>
      </c>
      <c r="AF105" s="615">
        <f t="shared" ref="AF105:AF140" si="120">SUM(AG105:AL105)</f>
        <v>102.71</v>
      </c>
      <c r="AG105" s="616">
        <f t="shared" ref="AG105:AG140" si="121">G105+T105</f>
        <v>29.85</v>
      </c>
      <c r="AH105" s="616">
        <f t="shared" ref="AH105:AH140" si="122">H105+U105</f>
        <v>40.4</v>
      </c>
      <c r="AI105" s="616">
        <f t="shared" ref="AI105:AI140" si="123">I105+V105</f>
        <v>3.64</v>
      </c>
      <c r="AJ105" s="616">
        <f t="shared" ref="AJ105:AJ140" si="124">J105+W105</f>
        <v>0</v>
      </c>
      <c r="AK105" s="616">
        <f t="shared" ref="AK105:AK140" si="125">K105+X105</f>
        <v>0.719999999999999</v>
      </c>
      <c r="AL105" s="616">
        <f t="shared" ref="AL105:AL140" si="126">L105+Y105</f>
        <v>28.1</v>
      </c>
      <c r="AM105" s="615">
        <f t="shared" ref="AM105:AM140" si="127">SUM(AN105:AQ105)</f>
        <v>23.82</v>
      </c>
      <c r="AN105" s="616">
        <f t="shared" ref="AN105:AN140" si="128">N105+AA105</f>
        <v>13.02</v>
      </c>
      <c r="AO105" s="616">
        <f t="shared" ref="AO105:AO140" si="129">O105+AB105</f>
        <v>0.75</v>
      </c>
      <c r="AP105" s="616">
        <f t="shared" ref="AP105:AP140" si="130">P105+AC105</f>
        <v>5.71</v>
      </c>
      <c r="AQ105" s="637">
        <f t="shared" ref="AQ105:AQ140" si="131">Q105+AD105</f>
        <v>4.34</v>
      </c>
      <c r="AR105" s="639">
        <f t="shared" si="116"/>
        <v>44.13208</v>
      </c>
      <c r="AS105" s="616">
        <f t="shared" si="91"/>
        <v>20.3712</v>
      </c>
      <c r="AT105" s="616">
        <f t="shared" si="92"/>
        <v>7.0928</v>
      </c>
      <c r="AU105" s="616">
        <f t="shared" si="93"/>
        <v>5.3196</v>
      </c>
      <c r="AV105" s="616">
        <f t="shared" si="94"/>
        <v>0.17732</v>
      </c>
      <c r="AW105" s="616">
        <f t="shared" si="95"/>
        <v>0.53196</v>
      </c>
      <c r="AX105" s="616">
        <f t="shared" si="96"/>
        <v>10.6392</v>
      </c>
      <c r="AY105" s="618"/>
      <c r="AZ105" s="615">
        <f t="shared" si="97"/>
        <v>-8.98668</v>
      </c>
      <c r="BA105" s="616">
        <f t="shared" si="98"/>
        <v>-4.0528</v>
      </c>
      <c r="BB105" s="616">
        <f t="shared" si="99"/>
        <v>-1.4728</v>
      </c>
      <c r="BC105" s="616">
        <f t="shared" si="100"/>
        <v>-1.1046</v>
      </c>
      <c r="BD105" s="616">
        <f t="shared" si="101"/>
        <v>-0.03682</v>
      </c>
      <c r="BE105" s="616">
        <f t="shared" si="102"/>
        <v>-0.11046</v>
      </c>
      <c r="BF105" s="616">
        <f t="shared" si="103"/>
        <v>-2.2092</v>
      </c>
      <c r="BG105" s="616"/>
      <c r="BH105" s="615">
        <f t="shared" si="104"/>
        <v>35.1454</v>
      </c>
      <c r="BI105" s="616">
        <f t="shared" si="105"/>
        <v>16.3184</v>
      </c>
      <c r="BJ105" s="616">
        <f t="shared" si="106"/>
        <v>5.62</v>
      </c>
      <c r="BK105" s="616">
        <f t="shared" si="107"/>
        <v>4.215</v>
      </c>
      <c r="BL105" s="616">
        <f t="shared" si="108"/>
        <v>0.1405</v>
      </c>
      <c r="BM105" s="616">
        <f t="shared" si="109"/>
        <v>0.4215</v>
      </c>
      <c r="BN105" s="616">
        <f t="shared" si="110"/>
        <v>8.43</v>
      </c>
      <c r="BO105" s="616"/>
      <c r="BP105" s="304"/>
    </row>
    <row r="106" s="131" customFormat="1" ht="24" spans="1:68">
      <c r="A106" s="497" t="s">
        <v>202</v>
      </c>
      <c r="B106" s="497" t="s">
        <v>206</v>
      </c>
      <c r="C106" s="497" t="s">
        <v>340</v>
      </c>
      <c r="D106" s="497" t="s">
        <v>337</v>
      </c>
      <c r="E106" s="617">
        <f t="shared" si="112"/>
        <v>0</v>
      </c>
      <c r="F106" s="617">
        <f t="shared" si="117"/>
        <v>0</v>
      </c>
      <c r="G106" s="618"/>
      <c r="H106" s="618"/>
      <c r="I106" s="618"/>
      <c r="J106" s="618"/>
      <c r="K106" s="618"/>
      <c r="L106" s="618"/>
      <c r="M106" s="617">
        <f t="shared" si="113"/>
        <v>0</v>
      </c>
      <c r="N106" s="618"/>
      <c r="O106" s="618"/>
      <c r="P106" s="618"/>
      <c r="Q106" s="618"/>
      <c r="R106" s="617">
        <f t="shared" si="114"/>
        <v>0</v>
      </c>
      <c r="S106" s="615">
        <f t="shared" si="118"/>
        <v>0</v>
      </c>
      <c r="T106" s="618"/>
      <c r="U106" s="618"/>
      <c r="V106" s="618"/>
      <c r="W106" s="618"/>
      <c r="X106" s="618"/>
      <c r="Y106" s="618"/>
      <c r="Z106" s="617">
        <f t="shared" si="115"/>
        <v>0</v>
      </c>
      <c r="AA106" s="618"/>
      <c r="AB106" s="618"/>
      <c r="AC106" s="618"/>
      <c r="AD106" s="618"/>
      <c r="AE106" s="615">
        <f t="shared" si="119"/>
        <v>0</v>
      </c>
      <c r="AF106" s="615">
        <f t="shared" si="120"/>
        <v>0</v>
      </c>
      <c r="AG106" s="616">
        <f t="shared" si="121"/>
        <v>0</v>
      </c>
      <c r="AH106" s="616">
        <f t="shared" si="122"/>
        <v>0</v>
      </c>
      <c r="AI106" s="616">
        <f t="shared" si="123"/>
        <v>0</v>
      </c>
      <c r="AJ106" s="616">
        <f t="shared" si="124"/>
        <v>0</v>
      </c>
      <c r="AK106" s="616">
        <f t="shared" si="125"/>
        <v>0</v>
      </c>
      <c r="AL106" s="616">
        <f t="shared" si="126"/>
        <v>0</v>
      </c>
      <c r="AM106" s="615">
        <f t="shared" si="127"/>
        <v>0</v>
      </c>
      <c r="AN106" s="616">
        <f t="shared" si="128"/>
        <v>0</v>
      </c>
      <c r="AO106" s="616">
        <f t="shared" si="129"/>
        <v>0</v>
      </c>
      <c r="AP106" s="616">
        <f t="shared" si="130"/>
        <v>0</v>
      </c>
      <c r="AQ106" s="637">
        <f t="shared" si="131"/>
        <v>0</v>
      </c>
      <c r="AR106" s="639">
        <f t="shared" si="116"/>
        <v>0</v>
      </c>
      <c r="AS106" s="616">
        <f t="shared" si="91"/>
        <v>0</v>
      </c>
      <c r="AT106" s="616">
        <f t="shared" si="92"/>
        <v>0</v>
      </c>
      <c r="AU106" s="616">
        <f t="shared" si="93"/>
        <v>0</v>
      </c>
      <c r="AV106" s="616">
        <f t="shared" si="94"/>
        <v>0</v>
      </c>
      <c r="AW106" s="616">
        <f t="shared" si="95"/>
        <v>0</v>
      </c>
      <c r="AX106" s="616">
        <f t="shared" si="96"/>
        <v>0</v>
      </c>
      <c r="AY106" s="618"/>
      <c r="AZ106" s="615">
        <f t="shared" si="97"/>
        <v>0</v>
      </c>
      <c r="BA106" s="616">
        <f t="shared" si="98"/>
        <v>0</v>
      </c>
      <c r="BB106" s="616">
        <f t="shared" si="99"/>
        <v>0</v>
      </c>
      <c r="BC106" s="616">
        <f t="shared" si="100"/>
        <v>0</v>
      </c>
      <c r="BD106" s="616">
        <f t="shared" si="101"/>
        <v>0</v>
      </c>
      <c r="BE106" s="616">
        <f t="shared" si="102"/>
        <v>0</v>
      </c>
      <c r="BF106" s="616">
        <f t="shared" si="103"/>
        <v>0</v>
      </c>
      <c r="BG106" s="616"/>
      <c r="BH106" s="615">
        <f t="shared" si="104"/>
        <v>0</v>
      </c>
      <c r="BI106" s="616">
        <f t="shared" si="105"/>
        <v>0</v>
      </c>
      <c r="BJ106" s="616">
        <f t="shared" si="106"/>
        <v>0</v>
      </c>
      <c r="BK106" s="616">
        <f t="shared" si="107"/>
        <v>0</v>
      </c>
      <c r="BL106" s="616">
        <f t="shared" si="108"/>
        <v>0</v>
      </c>
      <c r="BM106" s="616">
        <f t="shared" si="109"/>
        <v>0</v>
      </c>
      <c r="BN106" s="616">
        <f t="shared" si="110"/>
        <v>0</v>
      </c>
      <c r="BO106" s="616"/>
      <c r="BP106" s="304"/>
    </row>
    <row r="107" s="131" customFormat="1" ht="24" spans="1:68">
      <c r="A107" s="497" t="s">
        <v>202</v>
      </c>
      <c r="B107" s="497" t="s">
        <v>206</v>
      </c>
      <c r="C107" s="497" t="s">
        <v>341</v>
      </c>
      <c r="D107" s="497" t="s">
        <v>337</v>
      </c>
      <c r="E107" s="617">
        <f t="shared" si="112"/>
        <v>0</v>
      </c>
      <c r="F107" s="617">
        <f t="shared" si="117"/>
        <v>0</v>
      </c>
      <c r="G107" s="618"/>
      <c r="H107" s="618"/>
      <c r="I107" s="618"/>
      <c r="J107" s="618"/>
      <c r="K107" s="618"/>
      <c r="L107" s="618"/>
      <c r="M107" s="617">
        <f t="shared" si="113"/>
        <v>0</v>
      </c>
      <c r="N107" s="618"/>
      <c r="O107" s="618"/>
      <c r="P107" s="618"/>
      <c r="Q107" s="618"/>
      <c r="R107" s="617">
        <f t="shared" si="114"/>
        <v>0</v>
      </c>
      <c r="S107" s="615">
        <f t="shared" si="118"/>
        <v>0</v>
      </c>
      <c r="T107" s="618"/>
      <c r="U107" s="618"/>
      <c r="V107" s="618"/>
      <c r="W107" s="618"/>
      <c r="X107" s="618"/>
      <c r="Y107" s="618"/>
      <c r="Z107" s="617">
        <f t="shared" si="115"/>
        <v>0</v>
      </c>
      <c r="AA107" s="618"/>
      <c r="AB107" s="618"/>
      <c r="AC107" s="618"/>
      <c r="AD107" s="618"/>
      <c r="AE107" s="615">
        <f t="shared" si="119"/>
        <v>0</v>
      </c>
      <c r="AF107" s="615">
        <f t="shared" si="120"/>
        <v>0</v>
      </c>
      <c r="AG107" s="616">
        <f t="shared" si="121"/>
        <v>0</v>
      </c>
      <c r="AH107" s="616">
        <f t="shared" si="122"/>
        <v>0</v>
      </c>
      <c r="AI107" s="616">
        <f t="shared" si="123"/>
        <v>0</v>
      </c>
      <c r="AJ107" s="616">
        <f t="shared" si="124"/>
        <v>0</v>
      </c>
      <c r="AK107" s="616">
        <f t="shared" si="125"/>
        <v>0</v>
      </c>
      <c r="AL107" s="616">
        <f t="shared" si="126"/>
        <v>0</v>
      </c>
      <c r="AM107" s="615">
        <f t="shared" si="127"/>
        <v>0</v>
      </c>
      <c r="AN107" s="616">
        <f t="shared" si="128"/>
        <v>0</v>
      </c>
      <c r="AO107" s="616">
        <f t="shared" si="129"/>
        <v>0</v>
      </c>
      <c r="AP107" s="616">
        <f t="shared" si="130"/>
        <v>0</v>
      </c>
      <c r="AQ107" s="637">
        <f t="shared" si="131"/>
        <v>0</v>
      </c>
      <c r="AR107" s="639">
        <f t="shared" si="116"/>
        <v>0</v>
      </c>
      <c r="AS107" s="616">
        <f t="shared" si="91"/>
        <v>0</v>
      </c>
      <c r="AT107" s="616">
        <f t="shared" si="92"/>
        <v>0</v>
      </c>
      <c r="AU107" s="616">
        <f t="shared" si="93"/>
        <v>0</v>
      </c>
      <c r="AV107" s="616">
        <f t="shared" si="94"/>
        <v>0</v>
      </c>
      <c r="AW107" s="616">
        <f t="shared" si="95"/>
        <v>0</v>
      </c>
      <c r="AX107" s="616">
        <f t="shared" si="96"/>
        <v>0</v>
      </c>
      <c r="AY107" s="618"/>
      <c r="AZ107" s="615">
        <f t="shared" si="97"/>
        <v>0</v>
      </c>
      <c r="BA107" s="616">
        <f t="shared" si="98"/>
        <v>0</v>
      </c>
      <c r="BB107" s="616">
        <f t="shared" si="99"/>
        <v>0</v>
      </c>
      <c r="BC107" s="616">
        <f t="shared" si="100"/>
        <v>0</v>
      </c>
      <c r="BD107" s="616">
        <f t="shared" si="101"/>
        <v>0</v>
      </c>
      <c r="BE107" s="616">
        <f t="shared" si="102"/>
        <v>0</v>
      </c>
      <c r="BF107" s="616">
        <f t="shared" si="103"/>
        <v>0</v>
      </c>
      <c r="BG107" s="616"/>
      <c r="BH107" s="615">
        <f t="shared" si="104"/>
        <v>0</v>
      </c>
      <c r="BI107" s="616">
        <f t="shared" si="105"/>
        <v>0</v>
      </c>
      <c r="BJ107" s="616">
        <f t="shared" si="106"/>
        <v>0</v>
      </c>
      <c r="BK107" s="616">
        <f t="shared" si="107"/>
        <v>0</v>
      </c>
      <c r="BL107" s="616">
        <f t="shared" si="108"/>
        <v>0</v>
      </c>
      <c r="BM107" s="616">
        <f t="shared" si="109"/>
        <v>0</v>
      </c>
      <c r="BN107" s="616">
        <f t="shared" si="110"/>
        <v>0</v>
      </c>
      <c r="BO107" s="616"/>
      <c r="BP107" s="304"/>
    </row>
    <row r="108" s="131" customFormat="1" ht="24" spans="1:68">
      <c r="A108" s="497" t="s">
        <v>202</v>
      </c>
      <c r="B108" s="497" t="s">
        <v>206</v>
      </c>
      <c r="C108" s="497" t="s">
        <v>342</v>
      </c>
      <c r="D108" s="497" t="s">
        <v>337</v>
      </c>
      <c r="E108" s="617">
        <f t="shared" si="112"/>
        <v>0</v>
      </c>
      <c r="F108" s="617">
        <f t="shared" si="117"/>
        <v>0</v>
      </c>
      <c r="G108" s="618"/>
      <c r="H108" s="618"/>
      <c r="I108" s="618"/>
      <c r="J108" s="618"/>
      <c r="K108" s="618"/>
      <c r="L108" s="618"/>
      <c r="M108" s="617">
        <f t="shared" si="113"/>
        <v>0</v>
      </c>
      <c r="N108" s="618"/>
      <c r="O108" s="618"/>
      <c r="P108" s="618"/>
      <c r="Q108" s="618"/>
      <c r="R108" s="617">
        <f t="shared" si="114"/>
        <v>0</v>
      </c>
      <c r="S108" s="615">
        <f t="shared" si="118"/>
        <v>0</v>
      </c>
      <c r="T108" s="618"/>
      <c r="U108" s="618"/>
      <c r="V108" s="618"/>
      <c r="W108" s="618"/>
      <c r="X108" s="618"/>
      <c r="Y108" s="618"/>
      <c r="Z108" s="617">
        <f t="shared" si="115"/>
        <v>0</v>
      </c>
      <c r="AA108" s="618"/>
      <c r="AB108" s="618"/>
      <c r="AC108" s="618"/>
      <c r="AD108" s="618"/>
      <c r="AE108" s="615">
        <f t="shared" si="119"/>
        <v>0</v>
      </c>
      <c r="AF108" s="615">
        <f t="shared" si="120"/>
        <v>0</v>
      </c>
      <c r="AG108" s="616">
        <f t="shared" si="121"/>
        <v>0</v>
      </c>
      <c r="AH108" s="616">
        <f t="shared" si="122"/>
        <v>0</v>
      </c>
      <c r="AI108" s="616">
        <f t="shared" si="123"/>
        <v>0</v>
      </c>
      <c r="AJ108" s="616">
        <f t="shared" si="124"/>
        <v>0</v>
      </c>
      <c r="AK108" s="616">
        <f t="shared" si="125"/>
        <v>0</v>
      </c>
      <c r="AL108" s="616">
        <f t="shared" si="126"/>
        <v>0</v>
      </c>
      <c r="AM108" s="615">
        <f t="shared" si="127"/>
        <v>0</v>
      </c>
      <c r="AN108" s="616">
        <f t="shared" si="128"/>
        <v>0</v>
      </c>
      <c r="AO108" s="616">
        <f t="shared" si="129"/>
        <v>0</v>
      </c>
      <c r="AP108" s="616">
        <f t="shared" si="130"/>
        <v>0</v>
      </c>
      <c r="AQ108" s="637">
        <f t="shared" si="131"/>
        <v>0</v>
      </c>
      <c r="AR108" s="639">
        <f t="shared" si="116"/>
        <v>0</v>
      </c>
      <c r="AS108" s="616">
        <f t="shared" si="91"/>
        <v>0</v>
      </c>
      <c r="AT108" s="616">
        <f t="shared" si="92"/>
        <v>0</v>
      </c>
      <c r="AU108" s="616">
        <f t="shared" si="93"/>
        <v>0</v>
      </c>
      <c r="AV108" s="616">
        <f t="shared" si="94"/>
        <v>0</v>
      </c>
      <c r="AW108" s="616">
        <f t="shared" si="95"/>
        <v>0</v>
      </c>
      <c r="AX108" s="616">
        <f t="shared" si="96"/>
        <v>0</v>
      </c>
      <c r="AY108" s="618"/>
      <c r="AZ108" s="615">
        <f t="shared" si="97"/>
        <v>0</v>
      </c>
      <c r="BA108" s="616">
        <f t="shared" si="98"/>
        <v>0</v>
      </c>
      <c r="BB108" s="616">
        <f t="shared" si="99"/>
        <v>0</v>
      </c>
      <c r="BC108" s="616">
        <f t="shared" si="100"/>
        <v>0</v>
      </c>
      <c r="BD108" s="616">
        <f t="shared" si="101"/>
        <v>0</v>
      </c>
      <c r="BE108" s="616">
        <f t="shared" si="102"/>
        <v>0</v>
      </c>
      <c r="BF108" s="616">
        <f t="shared" si="103"/>
        <v>0</v>
      </c>
      <c r="BG108" s="616"/>
      <c r="BH108" s="615">
        <f t="shared" si="104"/>
        <v>0</v>
      </c>
      <c r="BI108" s="616">
        <f t="shared" si="105"/>
        <v>0</v>
      </c>
      <c r="BJ108" s="616">
        <f t="shared" si="106"/>
        <v>0</v>
      </c>
      <c r="BK108" s="616">
        <f t="shared" si="107"/>
        <v>0</v>
      </c>
      <c r="BL108" s="616">
        <f t="shared" si="108"/>
        <v>0</v>
      </c>
      <c r="BM108" s="616">
        <f t="shared" si="109"/>
        <v>0</v>
      </c>
      <c r="BN108" s="616">
        <f t="shared" si="110"/>
        <v>0</v>
      </c>
      <c r="BO108" s="616"/>
      <c r="BP108" s="304"/>
    </row>
    <row r="109" s="131" customFormat="1" ht="36" spans="1:68">
      <c r="A109" s="497" t="s">
        <v>202</v>
      </c>
      <c r="B109" s="497" t="s">
        <v>206</v>
      </c>
      <c r="C109" s="497" t="s">
        <v>343</v>
      </c>
      <c r="D109" s="497" t="s">
        <v>337</v>
      </c>
      <c r="E109" s="617">
        <f t="shared" si="112"/>
        <v>0</v>
      </c>
      <c r="F109" s="617">
        <f t="shared" si="117"/>
        <v>0</v>
      </c>
      <c r="G109" s="618"/>
      <c r="H109" s="618"/>
      <c r="I109" s="618"/>
      <c r="J109" s="618"/>
      <c r="K109" s="618"/>
      <c r="L109" s="618"/>
      <c r="M109" s="617">
        <f t="shared" si="113"/>
        <v>0</v>
      </c>
      <c r="N109" s="618"/>
      <c r="O109" s="618"/>
      <c r="P109" s="618"/>
      <c r="Q109" s="618"/>
      <c r="R109" s="617">
        <f t="shared" si="114"/>
        <v>0</v>
      </c>
      <c r="S109" s="615">
        <f t="shared" si="118"/>
        <v>0</v>
      </c>
      <c r="T109" s="618"/>
      <c r="U109" s="618"/>
      <c r="V109" s="618"/>
      <c r="W109" s="618"/>
      <c r="X109" s="618"/>
      <c r="Y109" s="618"/>
      <c r="Z109" s="617">
        <f t="shared" si="115"/>
        <v>0</v>
      </c>
      <c r="AA109" s="618"/>
      <c r="AB109" s="618"/>
      <c r="AC109" s="618"/>
      <c r="AD109" s="618"/>
      <c r="AE109" s="615">
        <f t="shared" si="119"/>
        <v>0</v>
      </c>
      <c r="AF109" s="615">
        <f t="shared" si="120"/>
        <v>0</v>
      </c>
      <c r="AG109" s="616">
        <f t="shared" si="121"/>
        <v>0</v>
      </c>
      <c r="AH109" s="616">
        <f t="shared" si="122"/>
        <v>0</v>
      </c>
      <c r="AI109" s="616">
        <f t="shared" si="123"/>
        <v>0</v>
      </c>
      <c r="AJ109" s="616">
        <f t="shared" si="124"/>
        <v>0</v>
      </c>
      <c r="AK109" s="616">
        <f t="shared" si="125"/>
        <v>0</v>
      </c>
      <c r="AL109" s="616">
        <f t="shared" si="126"/>
        <v>0</v>
      </c>
      <c r="AM109" s="615">
        <f t="shared" si="127"/>
        <v>0</v>
      </c>
      <c r="AN109" s="616">
        <f t="shared" si="128"/>
        <v>0</v>
      </c>
      <c r="AO109" s="616">
        <f t="shared" si="129"/>
        <v>0</v>
      </c>
      <c r="AP109" s="616">
        <f t="shared" si="130"/>
        <v>0</v>
      </c>
      <c r="AQ109" s="637">
        <f t="shared" si="131"/>
        <v>0</v>
      </c>
      <c r="AR109" s="639">
        <f t="shared" si="116"/>
        <v>0</v>
      </c>
      <c r="AS109" s="616">
        <f t="shared" si="91"/>
        <v>0</v>
      </c>
      <c r="AT109" s="616">
        <f t="shared" si="92"/>
        <v>0</v>
      </c>
      <c r="AU109" s="616">
        <f t="shared" si="93"/>
        <v>0</v>
      </c>
      <c r="AV109" s="616">
        <f t="shared" si="94"/>
        <v>0</v>
      </c>
      <c r="AW109" s="616">
        <f t="shared" si="95"/>
        <v>0</v>
      </c>
      <c r="AX109" s="616">
        <f t="shared" si="96"/>
        <v>0</v>
      </c>
      <c r="AY109" s="618"/>
      <c r="AZ109" s="615">
        <f t="shared" si="97"/>
        <v>0</v>
      </c>
      <c r="BA109" s="616">
        <f t="shared" si="98"/>
        <v>0</v>
      </c>
      <c r="BB109" s="616">
        <f t="shared" si="99"/>
        <v>0</v>
      </c>
      <c r="BC109" s="616">
        <f t="shared" si="100"/>
        <v>0</v>
      </c>
      <c r="BD109" s="616">
        <f t="shared" si="101"/>
        <v>0</v>
      </c>
      <c r="BE109" s="616">
        <f t="shared" si="102"/>
        <v>0</v>
      </c>
      <c r="BF109" s="616">
        <f t="shared" si="103"/>
        <v>0</v>
      </c>
      <c r="BG109" s="616"/>
      <c r="BH109" s="615">
        <f t="shared" si="104"/>
        <v>0</v>
      </c>
      <c r="BI109" s="616">
        <f t="shared" si="105"/>
        <v>0</v>
      </c>
      <c r="BJ109" s="616">
        <f t="shared" si="106"/>
        <v>0</v>
      </c>
      <c r="BK109" s="616">
        <f t="shared" si="107"/>
        <v>0</v>
      </c>
      <c r="BL109" s="616">
        <f t="shared" si="108"/>
        <v>0</v>
      </c>
      <c r="BM109" s="616">
        <f t="shared" si="109"/>
        <v>0</v>
      </c>
      <c r="BN109" s="616">
        <f t="shared" si="110"/>
        <v>0</v>
      </c>
      <c r="BO109" s="616"/>
      <c r="BP109" s="304"/>
    </row>
    <row r="110" s="131" customFormat="1" ht="24" spans="1:68">
      <c r="A110" s="497" t="s">
        <v>202</v>
      </c>
      <c r="B110" s="497" t="s">
        <v>206</v>
      </c>
      <c r="C110" s="497" t="s">
        <v>344</v>
      </c>
      <c r="D110" s="497" t="s">
        <v>337</v>
      </c>
      <c r="E110" s="617">
        <f t="shared" si="112"/>
        <v>0</v>
      </c>
      <c r="F110" s="617">
        <f t="shared" si="117"/>
        <v>0</v>
      </c>
      <c r="G110" s="618"/>
      <c r="H110" s="618"/>
      <c r="I110" s="618"/>
      <c r="J110" s="618"/>
      <c r="K110" s="618"/>
      <c r="L110" s="618"/>
      <c r="M110" s="617">
        <f t="shared" si="113"/>
        <v>0</v>
      </c>
      <c r="N110" s="618"/>
      <c r="O110" s="618"/>
      <c r="P110" s="618"/>
      <c r="Q110" s="618"/>
      <c r="R110" s="617">
        <f t="shared" si="114"/>
        <v>0</v>
      </c>
      <c r="S110" s="615">
        <f t="shared" si="118"/>
        <v>0</v>
      </c>
      <c r="T110" s="618"/>
      <c r="U110" s="618"/>
      <c r="V110" s="618"/>
      <c r="W110" s="618"/>
      <c r="X110" s="618"/>
      <c r="Y110" s="618"/>
      <c r="Z110" s="617">
        <f t="shared" si="115"/>
        <v>0</v>
      </c>
      <c r="AA110" s="618"/>
      <c r="AB110" s="618"/>
      <c r="AC110" s="618"/>
      <c r="AD110" s="618"/>
      <c r="AE110" s="615">
        <f t="shared" si="119"/>
        <v>0</v>
      </c>
      <c r="AF110" s="615">
        <f t="shared" si="120"/>
        <v>0</v>
      </c>
      <c r="AG110" s="616">
        <f t="shared" si="121"/>
        <v>0</v>
      </c>
      <c r="AH110" s="616">
        <f t="shared" si="122"/>
        <v>0</v>
      </c>
      <c r="AI110" s="616">
        <f t="shared" si="123"/>
        <v>0</v>
      </c>
      <c r="AJ110" s="616">
        <f t="shared" si="124"/>
        <v>0</v>
      </c>
      <c r="AK110" s="616">
        <f t="shared" si="125"/>
        <v>0</v>
      </c>
      <c r="AL110" s="616">
        <f t="shared" si="126"/>
        <v>0</v>
      </c>
      <c r="AM110" s="615">
        <f t="shared" si="127"/>
        <v>0</v>
      </c>
      <c r="AN110" s="616">
        <f t="shared" si="128"/>
        <v>0</v>
      </c>
      <c r="AO110" s="616">
        <f t="shared" si="129"/>
        <v>0</v>
      </c>
      <c r="AP110" s="616">
        <f t="shared" si="130"/>
        <v>0</v>
      </c>
      <c r="AQ110" s="637">
        <f t="shared" si="131"/>
        <v>0</v>
      </c>
      <c r="AR110" s="639">
        <f t="shared" si="116"/>
        <v>0</v>
      </c>
      <c r="AS110" s="616">
        <f t="shared" si="91"/>
        <v>0</v>
      </c>
      <c r="AT110" s="616">
        <f t="shared" si="92"/>
        <v>0</v>
      </c>
      <c r="AU110" s="616">
        <f t="shared" si="93"/>
        <v>0</v>
      </c>
      <c r="AV110" s="616">
        <f t="shared" si="94"/>
        <v>0</v>
      </c>
      <c r="AW110" s="616">
        <f t="shared" si="95"/>
        <v>0</v>
      </c>
      <c r="AX110" s="616">
        <f t="shared" si="96"/>
        <v>0</v>
      </c>
      <c r="AY110" s="618"/>
      <c r="AZ110" s="615">
        <f t="shared" si="97"/>
        <v>0</v>
      </c>
      <c r="BA110" s="616">
        <f t="shared" si="98"/>
        <v>0</v>
      </c>
      <c r="BB110" s="616">
        <f t="shared" si="99"/>
        <v>0</v>
      </c>
      <c r="BC110" s="616">
        <f t="shared" si="100"/>
        <v>0</v>
      </c>
      <c r="BD110" s="616">
        <f t="shared" si="101"/>
        <v>0</v>
      </c>
      <c r="BE110" s="616">
        <f t="shared" si="102"/>
        <v>0</v>
      </c>
      <c r="BF110" s="616">
        <f t="shared" si="103"/>
        <v>0</v>
      </c>
      <c r="BG110" s="616"/>
      <c r="BH110" s="615">
        <f t="shared" si="104"/>
        <v>0</v>
      </c>
      <c r="BI110" s="616">
        <f t="shared" si="105"/>
        <v>0</v>
      </c>
      <c r="BJ110" s="616">
        <f t="shared" si="106"/>
        <v>0</v>
      </c>
      <c r="BK110" s="616">
        <f t="shared" si="107"/>
        <v>0</v>
      </c>
      <c r="BL110" s="616">
        <f t="shared" si="108"/>
        <v>0</v>
      </c>
      <c r="BM110" s="616">
        <f t="shared" si="109"/>
        <v>0</v>
      </c>
      <c r="BN110" s="616">
        <f t="shared" si="110"/>
        <v>0</v>
      </c>
      <c r="BO110" s="616"/>
      <c r="BP110" s="304"/>
    </row>
    <row r="111" s="131" customFormat="1" ht="24" spans="1:68">
      <c r="A111" s="497" t="s">
        <v>202</v>
      </c>
      <c r="B111" s="497" t="s">
        <v>206</v>
      </c>
      <c r="C111" s="497" t="s">
        <v>345</v>
      </c>
      <c r="D111" s="497" t="s">
        <v>337</v>
      </c>
      <c r="E111" s="617">
        <f t="shared" si="112"/>
        <v>0</v>
      </c>
      <c r="F111" s="617">
        <f t="shared" si="117"/>
        <v>0</v>
      </c>
      <c r="G111" s="618"/>
      <c r="H111" s="618"/>
      <c r="I111" s="618"/>
      <c r="J111" s="618"/>
      <c r="K111" s="618"/>
      <c r="L111" s="618"/>
      <c r="M111" s="617">
        <f t="shared" si="113"/>
        <v>0</v>
      </c>
      <c r="N111" s="618"/>
      <c r="O111" s="618"/>
      <c r="P111" s="618"/>
      <c r="Q111" s="618"/>
      <c r="R111" s="617">
        <f t="shared" si="114"/>
        <v>0</v>
      </c>
      <c r="S111" s="615">
        <f t="shared" si="118"/>
        <v>0</v>
      </c>
      <c r="T111" s="618"/>
      <c r="U111" s="618"/>
      <c r="V111" s="618"/>
      <c r="W111" s="618"/>
      <c r="X111" s="618"/>
      <c r="Y111" s="618"/>
      <c r="Z111" s="617">
        <f t="shared" si="115"/>
        <v>0</v>
      </c>
      <c r="AA111" s="618"/>
      <c r="AB111" s="618"/>
      <c r="AC111" s="618"/>
      <c r="AD111" s="618"/>
      <c r="AE111" s="615">
        <f t="shared" si="119"/>
        <v>0</v>
      </c>
      <c r="AF111" s="615">
        <f t="shared" si="120"/>
        <v>0</v>
      </c>
      <c r="AG111" s="616">
        <f t="shared" si="121"/>
        <v>0</v>
      </c>
      <c r="AH111" s="616">
        <f t="shared" si="122"/>
        <v>0</v>
      </c>
      <c r="AI111" s="616">
        <f t="shared" si="123"/>
        <v>0</v>
      </c>
      <c r="AJ111" s="616">
        <f t="shared" si="124"/>
        <v>0</v>
      </c>
      <c r="AK111" s="616">
        <f t="shared" si="125"/>
        <v>0</v>
      </c>
      <c r="AL111" s="616">
        <f t="shared" si="126"/>
        <v>0</v>
      </c>
      <c r="AM111" s="615">
        <f t="shared" si="127"/>
        <v>0</v>
      </c>
      <c r="AN111" s="616">
        <f t="shared" si="128"/>
        <v>0</v>
      </c>
      <c r="AO111" s="616">
        <f t="shared" si="129"/>
        <v>0</v>
      </c>
      <c r="AP111" s="616">
        <f t="shared" si="130"/>
        <v>0</v>
      </c>
      <c r="AQ111" s="637">
        <f t="shared" si="131"/>
        <v>0</v>
      </c>
      <c r="AR111" s="639">
        <f t="shared" si="116"/>
        <v>0</v>
      </c>
      <c r="AS111" s="616">
        <f t="shared" si="91"/>
        <v>0</v>
      </c>
      <c r="AT111" s="616">
        <f t="shared" si="92"/>
        <v>0</v>
      </c>
      <c r="AU111" s="616">
        <f t="shared" si="93"/>
        <v>0</v>
      </c>
      <c r="AV111" s="616">
        <f t="shared" si="94"/>
        <v>0</v>
      </c>
      <c r="AW111" s="616">
        <f t="shared" si="95"/>
        <v>0</v>
      </c>
      <c r="AX111" s="616">
        <f t="shared" si="96"/>
        <v>0</v>
      </c>
      <c r="AY111" s="618"/>
      <c r="AZ111" s="615">
        <f t="shared" si="97"/>
        <v>0</v>
      </c>
      <c r="BA111" s="616">
        <f t="shared" si="98"/>
        <v>0</v>
      </c>
      <c r="BB111" s="616">
        <f t="shared" si="99"/>
        <v>0</v>
      </c>
      <c r="BC111" s="616">
        <f t="shared" si="100"/>
        <v>0</v>
      </c>
      <c r="BD111" s="616">
        <f t="shared" si="101"/>
        <v>0</v>
      </c>
      <c r="BE111" s="616">
        <f t="shared" si="102"/>
        <v>0</v>
      </c>
      <c r="BF111" s="616">
        <f t="shared" si="103"/>
        <v>0</v>
      </c>
      <c r="BG111" s="616"/>
      <c r="BH111" s="615">
        <f t="shared" si="104"/>
        <v>0</v>
      </c>
      <c r="BI111" s="616">
        <f t="shared" si="105"/>
        <v>0</v>
      </c>
      <c r="BJ111" s="616">
        <f t="shared" si="106"/>
        <v>0</v>
      </c>
      <c r="BK111" s="616">
        <f t="shared" si="107"/>
        <v>0</v>
      </c>
      <c r="BL111" s="616">
        <f t="shared" si="108"/>
        <v>0</v>
      </c>
      <c r="BM111" s="616">
        <f t="shared" si="109"/>
        <v>0</v>
      </c>
      <c r="BN111" s="616">
        <f t="shared" si="110"/>
        <v>0</v>
      </c>
      <c r="BO111" s="616"/>
      <c r="BP111" s="304"/>
    </row>
    <row r="112" s="131" customFormat="1" ht="36" spans="1:68">
      <c r="A112" s="497" t="s">
        <v>202</v>
      </c>
      <c r="B112" s="497" t="s">
        <v>206</v>
      </c>
      <c r="C112" s="497" t="s">
        <v>346</v>
      </c>
      <c r="D112" s="497" t="s">
        <v>337</v>
      </c>
      <c r="E112" s="617">
        <f t="shared" si="112"/>
        <v>0</v>
      </c>
      <c r="F112" s="617">
        <f t="shared" si="117"/>
        <v>0</v>
      </c>
      <c r="G112" s="618"/>
      <c r="H112" s="618"/>
      <c r="I112" s="618"/>
      <c r="J112" s="618"/>
      <c r="K112" s="618"/>
      <c r="L112" s="618"/>
      <c r="M112" s="617">
        <f t="shared" si="113"/>
        <v>0</v>
      </c>
      <c r="N112" s="618"/>
      <c r="O112" s="618"/>
      <c r="P112" s="618"/>
      <c r="Q112" s="618"/>
      <c r="R112" s="617">
        <f t="shared" si="114"/>
        <v>0</v>
      </c>
      <c r="S112" s="615">
        <f t="shared" si="118"/>
        <v>0</v>
      </c>
      <c r="T112" s="618"/>
      <c r="U112" s="618"/>
      <c r="V112" s="618"/>
      <c r="W112" s="618"/>
      <c r="X112" s="618"/>
      <c r="Y112" s="618"/>
      <c r="Z112" s="617">
        <f t="shared" si="115"/>
        <v>0</v>
      </c>
      <c r="AA112" s="618"/>
      <c r="AB112" s="618"/>
      <c r="AC112" s="618"/>
      <c r="AD112" s="618"/>
      <c r="AE112" s="615">
        <f t="shared" si="119"/>
        <v>0</v>
      </c>
      <c r="AF112" s="615">
        <f t="shared" si="120"/>
        <v>0</v>
      </c>
      <c r="AG112" s="616">
        <f t="shared" si="121"/>
        <v>0</v>
      </c>
      <c r="AH112" s="616">
        <f t="shared" si="122"/>
        <v>0</v>
      </c>
      <c r="AI112" s="616">
        <f t="shared" si="123"/>
        <v>0</v>
      </c>
      <c r="AJ112" s="616">
        <f t="shared" si="124"/>
        <v>0</v>
      </c>
      <c r="AK112" s="616">
        <f t="shared" si="125"/>
        <v>0</v>
      </c>
      <c r="AL112" s="616">
        <f t="shared" si="126"/>
        <v>0</v>
      </c>
      <c r="AM112" s="615">
        <f t="shared" si="127"/>
        <v>0</v>
      </c>
      <c r="AN112" s="616">
        <f t="shared" si="128"/>
        <v>0</v>
      </c>
      <c r="AO112" s="616">
        <f t="shared" si="129"/>
        <v>0</v>
      </c>
      <c r="AP112" s="616">
        <f t="shared" si="130"/>
        <v>0</v>
      </c>
      <c r="AQ112" s="637">
        <f t="shared" si="131"/>
        <v>0</v>
      </c>
      <c r="AR112" s="639">
        <f t="shared" si="116"/>
        <v>0</v>
      </c>
      <c r="AS112" s="616">
        <f t="shared" si="91"/>
        <v>0</v>
      </c>
      <c r="AT112" s="616">
        <f t="shared" si="92"/>
        <v>0</v>
      </c>
      <c r="AU112" s="616">
        <f t="shared" si="93"/>
        <v>0</v>
      </c>
      <c r="AV112" s="616">
        <f t="shared" si="94"/>
        <v>0</v>
      </c>
      <c r="AW112" s="616">
        <f t="shared" si="95"/>
        <v>0</v>
      </c>
      <c r="AX112" s="616">
        <f t="shared" si="96"/>
        <v>0</v>
      </c>
      <c r="AY112" s="618"/>
      <c r="AZ112" s="615">
        <f t="shared" si="97"/>
        <v>0</v>
      </c>
      <c r="BA112" s="616">
        <f t="shared" si="98"/>
        <v>0</v>
      </c>
      <c r="BB112" s="616">
        <f t="shared" si="99"/>
        <v>0</v>
      </c>
      <c r="BC112" s="616">
        <f t="shared" si="100"/>
        <v>0</v>
      </c>
      <c r="BD112" s="616">
        <f t="shared" si="101"/>
        <v>0</v>
      </c>
      <c r="BE112" s="616">
        <f t="shared" si="102"/>
        <v>0</v>
      </c>
      <c r="BF112" s="616">
        <f t="shared" si="103"/>
        <v>0</v>
      </c>
      <c r="BG112" s="616"/>
      <c r="BH112" s="615">
        <f t="shared" si="104"/>
        <v>0</v>
      </c>
      <c r="BI112" s="616">
        <f t="shared" si="105"/>
        <v>0</v>
      </c>
      <c r="BJ112" s="616">
        <f t="shared" si="106"/>
        <v>0</v>
      </c>
      <c r="BK112" s="616">
        <f t="shared" si="107"/>
        <v>0</v>
      </c>
      <c r="BL112" s="616">
        <f t="shared" si="108"/>
        <v>0</v>
      </c>
      <c r="BM112" s="616">
        <f t="shared" si="109"/>
        <v>0</v>
      </c>
      <c r="BN112" s="616">
        <f t="shared" si="110"/>
        <v>0</v>
      </c>
      <c r="BO112" s="616"/>
      <c r="BP112" s="304"/>
    </row>
    <row r="113" s="131" customFormat="1" ht="24" spans="1:68">
      <c r="A113" s="497" t="s">
        <v>202</v>
      </c>
      <c r="B113" s="497" t="s">
        <v>206</v>
      </c>
      <c r="C113" s="497" t="s">
        <v>347</v>
      </c>
      <c r="D113" s="497" t="s">
        <v>337</v>
      </c>
      <c r="E113" s="617">
        <f t="shared" si="112"/>
        <v>0</v>
      </c>
      <c r="F113" s="617">
        <f t="shared" si="117"/>
        <v>0</v>
      </c>
      <c r="G113" s="618"/>
      <c r="H113" s="618"/>
      <c r="I113" s="618"/>
      <c r="J113" s="618"/>
      <c r="K113" s="618"/>
      <c r="L113" s="618"/>
      <c r="M113" s="617">
        <f t="shared" si="113"/>
        <v>0</v>
      </c>
      <c r="N113" s="618"/>
      <c r="O113" s="618"/>
      <c r="P113" s="618"/>
      <c r="Q113" s="618"/>
      <c r="R113" s="617">
        <f t="shared" si="114"/>
        <v>0</v>
      </c>
      <c r="S113" s="615">
        <f t="shared" si="118"/>
        <v>0</v>
      </c>
      <c r="T113" s="618"/>
      <c r="U113" s="618"/>
      <c r="V113" s="618"/>
      <c r="W113" s="618"/>
      <c r="X113" s="618"/>
      <c r="Y113" s="618"/>
      <c r="Z113" s="617">
        <f t="shared" si="115"/>
        <v>0</v>
      </c>
      <c r="AA113" s="618"/>
      <c r="AB113" s="618"/>
      <c r="AC113" s="618"/>
      <c r="AD113" s="618"/>
      <c r="AE113" s="615">
        <f t="shared" si="119"/>
        <v>0</v>
      </c>
      <c r="AF113" s="615">
        <f t="shared" si="120"/>
        <v>0</v>
      </c>
      <c r="AG113" s="616">
        <f t="shared" si="121"/>
        <v>0</v>
      </c>
      <c r="AH113" s="616">
        <f t="shared" si="122"/>
        <v>0</v>
      </c>
      <c r="AI113" s="616">
        <f t="shared" si="123"/>
        <v>0</v>
      </c>
      <c r="AJ113" s="616">
        <f t="shared" si="124"/>
        <v>0</v>
      </c>
      <c r="AK113" s="616">
        <f t="shared" si="125"/>
        <v>0</v>
      </c>
      <c r="AL113" s="616">
        <f t="shared" si="126"/>
        <v>0</v>
      </c>
      <c r="AM113" s="615">
        <f t="shared" si="127"/>
        <v>0</v>
      </c>
      <c r="AN113" s="616">
        <f t="shared" si="128"/>
        <v>0</v>
      </c>
      <c r="AO113" s="616">
        <f t="shared" si="129"/>
        <v>0</v>
      </c>
      <c r="AP113" s="616">
        <f t="shared" si="130"/>
        <v>0</v>
      </c>
      <c r="AQ113" s="637">
        <f t="shared" si="131"/>
        <v>0</v>
      </c>
      <c r="AR113" s="639">
        <f t="shared" si="116"/>
        <v>0</v>
      </c>
      <c r="AS113" s="616">
        <f t="shared" si="91"/>
        <v>0</v>
      </c>
      <c r="AT113" s="616">
        <f t="shared" si="92"/>
        <v>0</v>
      </c>
      <c r="AU113" s="616">
        <f t="shared" si="93"/>
        <v>0</v>
      </c>
      <c r="AV113" s="616">
        <f t="shared" si="94"/>
        <v>0</v>
      </c>
      <c r="AW113" s="616">
        <f t="shared" si="95"/>
        <v>0</v>
      </c>
      <c r="AX113" s="616">
        <f t="shared" si="96"/>
        <v>0</v>
      </c>
      <c r="AY113" s="618"/>
      <c r="AZ113" s="615">
        <f t="shared" si="97"/>
        <v>0</v>
      </c>
      <c r="BA113" s="616">
        <f t="shared" si="98"/>
        <v>0</v>
      </c>
      <c r="BB113" s="616">
        <f t="shared" si="99"/>
        <v>0</v>
      </c>
      <c r="BC113" s="616">
        <f t="shared" si="100"/>
        <v>0</v>
      </c>
      <c r="BD113" s="616">
        <f t="shared" si="101"/>
        <v>0</v>
      </c>
      <c r="BE113" s="616">
        <f t="shared" si="102"/>
        <v>0</v>
      </c>
      <c r="BF113" s="616">
        <f t="shared" si="103"/>
        <v>0</v>
      </c>
      <c r="BG113" s="616"/>
      <c r="BH113" s="615">
        <f t="shared" si="104"/>
        <v>0</v>
      </c>
      <c r="BI113" s="616">
        <f t="shared" si="105"/>
        <v>0</v>
      </c>
      <c r="BJ113" s="616">
        <f t="shared" si="106"/>
        <v>0</v>
      </c>
      <c r="BK113" s="616">
        <f t="shared" si="107"/>
        <v>0</v>
      </c>
      <c r="BL113" s="616">
        <f t="shared" si="108"/>
        <v>0</v>
      </c>
      <c r="BM113" s="616">
        <f t="shared" si="109"/>
        <v>0</v>
      </c>
      <c r="BN113" s="616">
        <f t="shared" si="110"/>
        <v>0</v>
      </c>
      <c r="BO113" s="616"/>
      <c r="BP113" s="304" t="s">
        <v>348</v>
      </c>
    </row>
    <row r="114" s="131" customFormat="1" ht="24" spans="1:68">
      <c r="A114" s="497" t="s">
        <v>202</v>
      </c>
      <c r="B114" s="497" t="s">
        <v>203</v>
      </c>
      <c r="C114" s="497" t="s">
        <v>349</v>
      </c>
      <c r="D114" s="497" t="s">
        <v>350</v>
      </c>
      <c r="E114" s="617">
        <f t="shared" si="112"/>
        <v>176.97</v>
      </c>
      <c r="F114" s="617">
        <f t="shared" si="117"/>
        <v>156.58</v>
      </c>
      <c r="G114" s="618">
        <v>55.15</v>
      </c>
      <c r="H114" s="618">
        <v>37.07</v>
      </c>
      <c r="I114" s="618">
        <v>4.6</v>
      </c>
      <c r="J114" s="618"/>
      <c r="K114" s="618">
        <v>0.79</v>
      </c>
      <c r="L114" s="618">
        <v>58.97</v>
      </c>
      <c r="M114" s="617">
        <f t="shared" si="113"/>
        <v>20.39</v>
      </c>
      <c r="N114" s="618">
        <v>2.54</v>
      </c>
      <c r="O114" s="618"/>
      <c r="P114" s="618">
        <v>9.35</v>
      </c>
      <c r="Q114" s="618">
        <v>8.5</v>
      </c>
      <c r="R114" s="617">
        <f t="shared" si="114"/>
        <v>18.08</v>
      </c>
      <c r="S114" s="615">
        <f t="shared" si="118"/>
        <v>16.75</v>
      </c>
      <c r="T114" s="618">
        <v>4.12</v>
      </c>
      <c r="U114" s="618"/>
      <c r="V114" s="618">
        <v>-0.1</v>
      </c>
      <c r="W114" s="618"/>
      <c r="X114" s="618">
        <v>-0.62</v>
      </c>
      <c r="Y114" s="618">
        <v>13.35</v>
      </c>
      <c r="Z114" s="617">
        <f t="shared" si="115"/>
        <v>1.33</v>
      </c>
      <c r="AA114" s="618">
        <v>0.06</v>
      </c>
      <c r="AB114" s="618">
        <f>0.3+1.05</f>
        <v>1.35</v>
      </c>
      <c r="AC114" s="618">
        <v>1.3</v>
      </c>
      <c r="AD114" s="618">
        <v>-1.38</v>
      </c>
      <c r="AE114" s="615">
        <f t="shared" si="119"/>
        <v>195.05</v>
      </c>
      <c r="AF114" s="615">
        <f t="shared" si="120"/>
        <v>173.33</v>
      </c>
      <c r="AG114" s="616">
        <f t="shared" si="121"/>
        <v>59.27</v>
      </c>
      <c r="AH114" s="616">
        <f t="shared" si="122"/>
        <v>37.07</v>
      </c>
      <c r="AI114" s="616">
        <f t="shared" si="123"/>
        <v>4.5</v>
      </c>
      <c r="AJ114" s="616">
        <f t="shared" si="124"/>
        <v>0</v>
      </c>
      <c r="AK114" s="616">
        <f t="shared" si="125"/>
        <v>0.17</v>
      </c>
      <c r="AL114" s="616">
        <f t="shared" si="126"/>
        <v>72.32</v>
      </c>
      <c r="AM114" s="615">
        <f t="shared" si="127"/>
        <v>21.72</v>
      </c>
      <c r="AN114" s="616">
        <f t="shared" si="128"/>
        <v>2.6</v>
      </c>
      <c r="AO114" s="616">
        <f t="shared" si="129"/>
        <v>1.35</v>
      </c>
      <c r="AP114" s="616">
        <f t="shared" si="130"/>
        <v>10.65</v>
      </c>
      <c r="AQ114" s="637">
        <f t="shared" si="131"/>
        <v>7.12</v>
      </c>
      <c r="AR114" s="639">
        <f t="shared" si="116"/>
        <v>49.64136</v>
      </c>
      <c r="AS114" s="616">
        <f t="shared" si="91"/>
        <v>24.9264</v>
      </c>
      <c r="AT114" s="616">
        <f t="shared" si="92"/>
        <v>7.3776</v>
      </c>
      <c r="AU114" s="616">
        <f t="shared" si="93"/>
        <v>5.5332</v>
      </c>
      <c r="AV114" s="616">
        <f t="shared" si="94"/>
        <v>0.18444</v>
      </c>
      <c r="AW114" s="616">
        <f t="shared" si="95"/>
        <v>0.55332</v>
      </c>
      <c r="AX114" s="616">
        <f t="shared" si="96"/>
        <v>11.0664</v>
      </c>
      <c r="AY114" s="618"/>
      <c r="AZ114" s="615">
        <f t="shared" si="97"/>
        <v>3.88336</v>
      </c>
      <c r="BA114" s="616">
        <f t="shared" si="98"/>
        <v>2.7792</v>
      </c>
      <c r="BB114" s="616">
        <f t="shared" si="99"/>
        <v>0.3296</v>
      </c>
      <c r="BC114" s="616">
        <f t="shared" si="100"/>
        <v>0.2472</v>
      </c>
      <c r="BD114" s="616">
        <f t="shared" si="101"/>
        <v>0.00824</v>
      </c>
      <c r="BE114" s="616">
        <f t="shared" si="102"/>
        <v>0.02472</v>
      </c>
      <c r="BF114" s="616">
        <f t="shared" si="103"/>
        <v>0.4944</v>
      </c>
      <c r="BG114" s="616"/>
      <c r="BH114" s="615">
        <f t="shared" si="104"/>
        <v>53.52472</v>
      </c>
      <c r="BI114" s="616">
        <f t="shared" si="105"/>
        <v>27.7056</v>
      </c>
      <c r="BJ114" s="616">
        <f t="shared" si="106"/>
        <v>7.7072</v>
      </c>
      <c r="BK114" s="616">
        <f t="shared" si="107"/>
        <v>5.7804</v>
      </c>
      <c r="BL114" s="616">
        <f t="shared" si="108"/>
        <v>0.19268</v>
      </c>
      <c r="BM114" s="616">
        <f t="shared" si="109"/>
        <v>0.57804</v>
      </c>
      <c r="BN114" s="616">
        <f t="shared" si="110"/>
        <v>11.5608</v>
      </c>
      <c r="BO114" s="616"/>
      <c r="BP114" s="304"/>
    </row>
    <row r="115" s="131" customFormat="1" ht="24" spans="1:68">
      <c r="A115" s="497" t="s">
        <v>202</v>
      </c>
      <c r="B115" s="497" t="s">
        <v>203</v>
      </c>
      <c r="C115" s="497" t="s">
        <v>351</v>
      </c>
      <c r="D115" s="497" t="s">
        <v>350</v>
      </c>
      <c r="E115" s="617">
        <f t="shared" si="112"/>
        <v>27.9</v>
      </c>
      <c r="F115" s="617">
        <f t="shared" si="117"/>
        <v>27.9</v>
      </c>
      <c r="G115" s="618">
        <v>15.62</v>
      </c>
      <c r="H115" s="618">
        <v>10.72</v>
      </c>
      <c r="I115" s="618">
        <v>1.3</v>
      </c>
      <c r="J115" s="618"/>
      <c r="K115" s="618">
        <v>0.26</v>
      </c>
      <c r="L115" s="618"/>
      <c r="M115" s="617">
        <f t="shared" si="113"/>
        <v>0</v>
      </c>
      <c r="N115" s="618"/>
      <c r="O115" s="618"/>
      <c r="P115" s="618"/>
      <c r="Q115" s="618"/>
      <c r="R115" s="617">
        <f t="shared" si="114"/>
        <v>0</v>
      </c>
      <c r="S115" s="615">
        <f t="shared" si="118"/>
        <v>0</v>
      </c>
      <c r="T115" s="618"/>
      <c r="U115" s="618"/>
      <c r="V115" s="618"/>
      <c r="W115" s="618"/>
      <c r="X115" s="618"/>
      <c r="Y115" s="618"/>
      <c r="Z115" s="617">
        <f t="shared" si="115"/>
        <v>0</v>
      </c>
      <c r="AA115" s="618"/>
      <c r="AB115" s="618"/>
      <c r="AC115" s="618"/>
      <c r="AD115" s="618"/>
      <c r="AE115" s="615">
        <f t="shared" si="119"/>
        <v>27.9</v>
      </c>
      <c r="AF115" s="615">
        <f t="shared" si="120"/>
        <v>27.9</v>
      </c>
      <c r="AG115" s="616">
        <f t="shared" si="121"/>
        <v>15.62</v>
      </c>
      <c r="AH115" s="616">
        <f t="shared" si="122"/>
        <v>10.72</v>
      </c>
      <c r="AI115" s="616">
        <f t="shared" si="123"/>
        <v>1.3</v>
      </c>
      <c r="AJ115" s="616">
        <f t="shared" si="124"/>
        <v>0</v>
      </c>
      <c r="AK115" s="616">
        <f t="shared" si="125"/>
        <v>0.26</v>
      </c>
      <c r="AL115" s="616">
        <f t="shared" si="126"/>
        <v>0</v>
      </c>
      <c r="AM115" s="615">
        <f t="shared" si="127"/>
        <v>0</v>
      </c>
      <c r="AN115" s="616">
        <f t="shared" si="128"/>
        <v>0</v>
      </c>
      <c r="AO115" s="616">
        <f t="shared" si="129"/>
        <v>0</v>
      </c>
      <c r="AP115" s="616">
        <f t="shared" si="130"/>
        <v>0</v>
      </c>
      <c r="AQ115" s="637">
        <f t="shared" si="131"/>
        <v>0</v>
      </c>
      <c r="AR115" s="639">
        <f t="shared" si="116"/>
        <v>11.48152</v>
      </c>
      <c r="AS115" s="616">
        <f t="shared" si="91"/>
        <v>4.4224</v>
      </c>
      <c r="AT115" s="616">
        <f t="shared" si="92"/>
        <v>2.1072</v>
      </c>
      <c r="AU115" s="616">
        <f t="shared" si="93"/>
        <v>1.5804</v>
      </c>
      <c r="AV115" s="616">
        <f t="shared" si="94"/>
        <v>0.05268</v>
      </c>
      <c r="AW115" s="616">
        <f t="shared" si="95"/>
        <v>0.15804</v>
      </c>
      <c r="AX115" s="616">
        <f t="shared" si="96"/>
        <v>3.1608</v>
      </c>
      <c r="AY115" s="618"/>
      <c r="AZ115" s="615">
        <f t="shared" si="97"/>
        <v>0</v>
      </c>
      <c r="BA115" s="616">
        <f t="shared" si="98"/>
        <v>0</v>
      </c>
      <c r="BB115" s="616">
        <f t="shared" si="99"/>
        <v>0</v>
      </c>
      <c r="BC115" s="616">
        <f t="shared" si="100"/>
        <v>0</v>
      </c>
      <c r="BD115" s="616">
        <f t="shared" si="101"/>
        <v>0</v>
      </c>
      <c r="BE115" s="616">
        <f t="shared" si="102"/>
        <v>0</v>
      </c>
      <c r="BF115" s="616">
        <f t="shared" si="103"/>
        <v>0</v>
      </c>
      <c r="BG115" s="616"/>
      <c r="BH115" s="615">
        <f t="shared" si="104"/>
        <v>11.48152</v>
      </c>
      <c r="BI115" s="616">
        <f t="shared" si="105"/>
        <v>4.4224</v>
      </c>
      <c r="BJ115" s="616">
        <f t="shared" si="106"/>
        <v>2.1072</v>
      </c>
      <c r="BK115" s="616">
        <f t="shared" si="107"/>
        <v>1.5804</v>
      </c>
      <c r="BL115" s="616">
        <f t="shared" si="108"/>
        <v>0.05268</v>
      </c>
      <c r="BM115" s="616">
        <f t="shared" si="109"/>
        <v>0.15804</v>
      </c>
      <c r="BN115" s="616">
        <f t="shared" si="110"/>
        <v>3.1608</v>
      </c>
      <c r="BO115" s="616"/>
      <c r="BP115" s="304"/>
    </row>
    <row r="116" s="131" customFormat="1" ht="24" spans="1:68">
      <c r="A116" s="497" t="s">
        <v>202</v>
      </c>
      <c r="B116" s="497" t="s">
        <v>206</v>
      </c>
      <c r="C116" s="497" t="s">
        <v>352</v>
      </c>
      <c r="D116" s="497" t="s">
        <v>353</v>
      </c>
      <c r="E116" s="617">
        <f t="shared" si="112"/>
        <v>0</v>
      </c>
      <c r="F116" s="617">
        <f t="shared" si="117"/>
        <v>0</v>
      </c>
      <c r="G116" s="618"/>
      <c r="H116" s="618"/>
      <c r="I116" s="618"/>
      <c r="J116" s="618"/>
      <c r="K116" s="618"/>
      <c r="L116" s="618"/>
      <c r="M116" s="617">
        <f t="shared" si="113"/>
        <v>0</v>
      </c>
      <c r="N116" s="618"/>
      <c r="O116" s="618"/>
      <c r="P116" s="618"/>
      <c r="Q116" s="618"/>
      <c r="R116" s="617">
        <f t="shared" si="114"/>
        <v>0</v>
      </c>
      <c r="S116" s="615">
        <f t="shared" si="118"/>
        <v>0</v>
      </c>
      <c r="T116" s="618"/>
      <c r="U116" s="618"/>
      <c r="V116" s="618"/>
      <c r="W116" s="618"/>
      <c r="X116" s="618"/>
      <c r="Y116" s="618"/>
      <c r="Z116" s="617">
        <f t="shared" si="115"/>
        <v>0</v>
      </c>
      <c r="AA116" s="618"/>
      <c r="AB116" s="618"/>
      <c r="AC116" s="618"/>
      <c r="AD116" s="618"/>
      <c r="AE116" s="615">
        <f t="shared" si="119"/>
        <v>0</v>
      </c>
      <c r="AF116" s="615">
        <f t="shared" si="120"/>
        <v>0</v>
      </c>
      <c r="AG116" s="616">
        <f t="shared" si="121"/>
        <v>0</v>
      </c>
      <c r="AH116" s="616">
        <f t="shared" si="122"/>
        <v>0</v>
      </c>
      <c r="AI116" s="616">
        <f t="shared" si="123"/>
        <v>0</v>
      </c>
      <c r="AJ116" s="616">
        <f t="shared" si="124"/>
        <v>0</v>
      </c>
      <c r="AK116" s="616">
        <f t="shared" si="125"/>
        <v>0</v>
      </c>
      <c r="AL116" s="616">
        <f t="shared" si="126"/>
        <v>0</v>
      </c>
      <c r="AM116" s="615">
        <f t="shared" si="127"/>
        <v>0</v>
      </c>
      <c r="AN116" s="616">
        <f t="shared" si="128"/>
        <v>0</v>
      </c>
      <c r="AO116" s="616">
        <f t="shared" si="129"/>
        <v>0</v>
      </c>
      <c r="AP116" s="616">
        <f t="shared" si="130"/>
        <v>0</v>
      </c>
      <c r="AQ116" s="637">
        <f t="shared" si="131"/>
        <v>0</v>
      </c>
      <c r="AR116" s="639">
        <f t="shared" si="116"/>
        <v>0</v>
      </c>
      <c r="AS116" s="616">
        <f t="shared" si="91"/>
        <v>0</v>
      </c>
      <c r="AT116" s="616">
        <f t="shared" si="92"/>
        <v>0</v>
      </c>
      <c r="AU116" s="616">
        <f t="shared" si="93"/>
        <v>0</v>
      </c>
      <c r="AV116" s="616">
        <f t="shared" si="94"/>
        <v>0</v>
      </c>
      <c r="AW116" s="616">
        <f t="shared" si="95"/>
        <v>0</v>
      </c>
      <c r="AX116" s="616">
        <f t="shared" si="96"/>
        <v>0</v>
      </c>
      <c r="AY116" s="618"/>
      <c r="AZ116" s="615">
        <f t="shared" si="97"/>
        <v>0</v>
      </c>
      <c r="BA116" s="616">
        <f t="shared" si="98"/>
        <v>0</v>
      </c>
      <c r="BB116" s="616">
        <f t="shared" si="99"/>
        <v>0</v>
      </c>
      <c r="BC116" s="616">
        <f t="shared" si="100"/>
        <v>0</v>
      </c>
      <c r="BD116" s="616">
        <f t="shared" si="101"/>
        <v>0</v>
      </c>
      <c r="BE116" s="616">
        <f t="shared" si="102"/>
        <v>0</v>
      </c>
      <c r="BF116" s="616">
        <f t="shared" si="103"/>
        <v>0</v>
      </c>
      <c r="BG116" s="616"/>
      <c r="BH116" s="615">
        <f t="shared" si="104"/>
        <v>0</v>
      </c>
      <c r="BI116" s="616">
        <f t="shared" si="105"/>
        <v>0</v>
      </c>
      <c r="BJ116" s="616">
        <f t="shared" si="106"/>
        <v>0</v>
      </c>
      <c r="BK116" s="616">
        <f t="shared" si="107"/>
        <v>0</v>
      </c>
      <c r="BL116" s="616">
        <f t="shared" si="108"/>
        <v>0</v>
      </c>
      <c r="BM116" s="616">
        <f t="shared" si="109"/>
        <v>0</v>
      </c>
      <c r="BN116" s="616">
        <f t="shared" si="110"/>
        <v>0</v>
      </c>
      <c r="BO116" s="616"/>
      <c r="BP116" s="304"/>
    </row>
    <row r="117" s="131" customFormat="1" ht="24" spans="1:68">
      <c r="A117" s="497" t="s">
        <v>202</v>
      </c>
      <c r="B117" s="497" t="s">
        <v>206</v>
      </c>
      <c r="C117" s="497" t="s">
        <v>354</v>
      </c>
      <c r="D117" s="497" t="s">
        <v>353</v>
      </c>
      <c r="E117" s="617">
        <f t="shared" si="112"/>
        <v>0</v>
      </c>
      <c r="F117" s="617">
        <f t="shared" si="117"/>
        <v>0</v>
      </c>
      <c r="G117" s="618"/>
      <c r="H117" s="618"/>
      <c r="I117" s="618"/>
      <c r="J117" s="618"/>
      <c r="K117" s="618"/>
      <c r="L117" s="618"/>
      <c r="M117" s="617">
        <f t="shared" si="113"/>
        <v>0</v>
      </c>
      <c r="N117" s="618"/>
      <c r="O117" s="618"/>
      <c r="P117" s="618"/>
      <c r="Q117" s="618"/>
      <c r="R117" s="617">
        <f t="shared" si="114"/>
        <v>0</v>
      </c>
      <c r="S117" s="615">
        <f t="shared" si="118"/>
        <v>0</v>
      </c>
      <c r="T117" s="618"/>
      <c r="U117" s="618"/>
      <c r="V117" s="618"/>
      <c r="W117" s="618"/>
      <c r="X117" s="618"/>
      <c r="Y117" s="618"/>
      <c r="Z117" s="617">
        <f t="shared" si="115"/>
        <v>0</v>
      </c>
      <c r="AA117" s="618"/>
      <c r="AB117" s="618"/>
      <c r="AC117" s="618"/>
      <c r="AD117" s="618"/>
      <c r="AE117" s="615">
        <f t="shared" si="119"/>
        <v>0</v>
      </c>
      <c r="AF117" s="615">
        <f t="shared" si="120"/>
        <v>0</v>
      </c>
      <c r="AG117" s="616">
        <f t="shared" si="121"/>
        <v>0</v>
      </c>
      <c r="AH117" s="616">
        <f t="shared" si="122"/>
        <v>0</v>
      </c>
      <c r="AI117" s="616">
        <f t="shared" si="123"/>
        <v>0</v>
      </c>
      <c r="AJ117" s="616">
        <f t="shared" si="124"/>
        <v>0</v>
      </c>
      <c r="AK117" s="616">
        <f t="shared" si="125"/>
        <v>0</v>
      </c>
      <c r="AL117" s="616">
        <f t="shared" si="126"/>
        <v>0</v>
      </c>
      <c r="AM117" s="615">
        <f t="shared" si="127"/>
        <v>0</v>
      </c>
      <c r="AN117" s="616">
        <f t="shared" si="128"/>
        <v>0</v>
      </c>
      <c r="AO117" s="616">
        <f t="shared" si="129"/>
        <v>0</v>
      </c>
      <c r="AP117" s="616">
        <f t="shared" si="130"/>
        <v>0</v>
      </c>
      <c r="AQ117" s="637">
        <f t="shared" si="131"/>
        <v>0</v>
      </c>
      <c r="AR117" s="639">
        <f t="shared" si="116"/>
        <v>0</v>
      </c>
      <c r="AS117" s="616">
        <f t="shared" si="91"/>
        <v>0</v>
      </c>
      <c r="AT117" s="616">
        <f t="shared" si="92"/>
        <v>0</v>
      </c>
      <c r="AU117" s="616">
        <f t="shared" si="93"/>
        <v>0</v>
      </c>
      <c r="AV117" s="616">
        <f t="shared" si="94"/>
        <v>0</v>
      </c>
      <c r="AW117" s="616">
        <f t="shared" si="95"/>
        <v>0</v>
      </c>
      <c r="AX117" s="616">
        <f t="shared" si="96"/>
        <v>0</v>
      </c>
      <c r="AY117" s="618"/>
      <c r="AZ117" s="615">
        <f t="shared" si="97"/>
        <v>0</v>
      </c>
      <c r="BA117" s="616">
        <f t="shared" si="98"/>
        <v>0</v>
      </c>
      <c r="BB117" s="616">
        <f t="shared" si="99"/>
        <v>0</v>
      </c>
      <c r="BC117" s="616">
        <f t="shared" si="100"/>
        <v>0</v>
      </c>
      <c r="BD117" s="616">
        <f t="shared" si="101"/>
        <v>0</v>
      </c>
      <c r="BE117" s="616">
        <f t="shared" si="102"/>
        <v>0</v>
      </c>
      <c r="BF117" s="616">
        <f t="shared" si="103"/>
        <v>0</v>
      </c>
      <c r="BG117" s="616"/>
      <c r="BH117" s="615">
        <f t="shared" si="104"/>
        <v>0</v>
      </c>
      <c r="BI117" s="616">
        <f t="shared" si="105"/>
        <v>0</v>
      </c>
      <c r="BJ117" s="616">
        <f t="shared" si="106"/>
        <v>0</v>
      </c>
      <c r="BK117" s="616">
        <f t="shared" si="107"/>
        <v>0</v>
      </c>
      <c r="BL117" s="616">
        <f t="shared" si="108"/>
        <v>0</v>
      </c>
      <c r="BM117" s="616">
        <f t="shared" si="109"/>
        <v>0</v>
      </c>
      <c r="BN117" s="616">
        <f t="shared" si="110"/>
        <v>0</v>
      </c>
      <c r="BO117" s="616"/>
      <c r="BP117" s="304"/>
    </row>
    <row r="118" s="131" customFormat="1" ht="24" spans="1:68">
      <c r="A118" s="497" t="s">
        <v>202</v>
      </c>
      <c r="B118" s="497" t="s">
        <v>203</v>
      </c>
      <c r="C118" s="497" t="s">
        <v>355</v>
      </c>
      <c r="D118" s="497" t="s">
        <v>356</v>
      </c>
      <c r="E118" s="617">
        <f t="shared" si="112"/>
        <v>164.34</v>
      </c>
      <c r="F118" s="617">
        <f t="shared" si="117"/>
        <v>141.57</v>
      </c>
      <c r="G118" s="618">
        <v>56.44</v>
      </c>
      <c r="H118" s="618">
        <v>36.13</v>
      </c>
      <c r="I118" s="618">
        <v>4.7</v>
      </c>
      <c r="J118" s="618"/>
      <c r="K118" s="618"/>
      <c r="L118" s="618">
        <v>44.3</v>
      </c>
      <c r="M118" s="617">
        <f t="shared" si="113"/>
        <v>22.77</v>
      </c>
      <c r="N118" s="618">
        <v>10.17</v>
      </c>
      <c r="O118" s="618"/>
      <c r="P118" s="618">
        <v>6.6</v>
      </c>
      <c r="Q118" s="618">
        <v>6</v>
      </c>
      <c r="R118" s="617">
        <f t="shared" si="114"/>
        <v>-5.39</v>
      </c>
      <c r="S118" s="615">
        <f t="shared" si="118"/>
        <v>-7.98</v>
      </c>
      <c r="T118" s="618">
        <v>-3.32</v>
      </c>
      <c r="U118" s="618">
        <v>-2.09</v>
      </c>
      <c r="V118" s="618">
        <v>0.05</v>
      </c>
      <c r="W118" s="618"/>
      <c r="X118" s="618"/>
      <c r="Y118" s="618">
        <v>-2.62</v>
      </c>
      <c r="Z118" s="617">
        <f t="shared" si="115"/>
        <v>2.59</v>
      </c>
      <c r="AA118" s="618">
        <v>-0.61</v>
      </c>
      <c r="AB118" s="618">
        <f>0.15+1.05</f>
        <v>1.2</v>
      </c>
      <c r="AC118" s="618">
        <v>1.08</v>
      </c>
      <c r="AD118" s="618">
        <v>0.92</v>
      </c>
      <c r="AE118" s="615">
        <f t="shared" si="119"/>
        <v>158.95</v>
      </c>
      <c r="AF118" s="615">
        <f t="shared" si="120"/>
        <v>133.59</v>
      </c>
      <c r="AG118" s="616">
        <f t="shared" si="121"/>
        <v>53.12</v>
      </c>
      <c r="AH118" s="616">
        <f t="shared" si="122"/>
        <v>34.04</v>
      </c>
      <c r="AI118" s="616">
        <f t="shared" si="123"/>
        <v>4.75</v>
      </c>
      <c r="AJ118" s="616">
        <f t="shared" si="124"/>
        <v>0</v>
      </c>
      <c r="AK118" s="616">
        <f t="shared" si="125"/>
        <v>0</v>
      </c>
      <c r="AL118" s="616">
        <f t="shared" si="126"/>
        <v>41.68</v>
      </c>
      <c r="AM118" s="615">
        <f t="shared" si="127"/>
        <v>25.36</v>
      </c>
      <c r="AN118" s="616">
        <f t="shared" si="128"/>
        <v>9.56</v>
      </c>
      <c r="AO118" s="616">
        <f t="shared" si="129"/>
        <v>1.2</v>
      </c>
      <c r="AP118" s="616">
        <f t="shared" si="130"/>
        <v>7.68</v>
      </c>
      <c r="AQ118" s="637">
        <f t="shared" si="131"/>
        <v>6.92</v>
      </c>
      <c r="AR118" s="639">
        <f t="shared" si="116"/>
        <v>47.45996</v>
      </c>
      <c r="AS118" s="616">
        <f t="shared" si="91"/>
        <v>22.6512</v>
      </c>
      <c r="AT118" s="616">
        <f t="shared" si="92"/>
        <v>7.4056</v>
      </c>
      <c r="AU118" s="616">
        <f t="shared" si="93"/>
        <v>5.5542</v>
      </c>
      <c r="AV118" s="616">
        <f t="shared" si="94"/>
        <v>0.18514</v>
      </c>
      <c r="AW118" s="616">
        <f t="shared" si="95"/>
        <v>0.55542</v>
      </c>
      <c r="AX118" s="616">
        <f t="shared" si="96"/>
        <v>11.1084</v>
      </c>
      <c r="AY118" s="618"/>
      <c r="AZ118" s="615">
        <f t="shared" si="97"/>
        <v>-2.72668</v>
      </c>
      <c r="BA118" s="616">
        <f t="shared" si="98"/>
        <v>-1.2768</v>
      </c>
      <c r="BB118" s="616">
        <f t="shared" si="99"/>
        <v>-0.4328</v>
      </c>
      <c r="BC118" s="616">
        <f t="shared" si="100"/>
        <v>-0.3246</v>
      </c>
      <c r="BD118" s="616">
        <f t="shared" si="101"/>
        <v>-0.01082</v>
      </c>
      <c r="BE118" s="616">
        <f t="shared" si="102"/>
        <v>-0.03246</v>
      </c>
      <c r="BF118" s="616">
        <f t="shared" si="103"/>
        <v>-0.6492</v>
      </c>
      <c r="BG118" s="616"/>
      <c r="BH118" s="615">
        <f t="shared" si="104"/>
        <v>44.73328</v>
      </c>
      <c r="BI118" s="616">
        <f t="shared" si="105"/>
        <v>21.3744</v>
      </c>
      <c r="BJ118" s="616">
        <f t="shared" si="106"/>
        <v>6.9728</v>
      </c>
      <c r="BK118" s="616">
        <f t="shared" si="107"/>
        <v>5.2296</v>
      </c>
      <c r="BL118" s="616">
        <f t="shared" si="108"/>
        <v>0.17432</v>
      </c>
      <c r="BM118" s="616">
        <f t="shared" si="109"/>
        <v>0.52296</v>
      </c>
      <c r="BN118" s="616">
        <f t="shared" si="110"/>
        <v>10.4592</v>
      </c>
      <c r="BO118" s="616"/>
      <c r="BP118" s="304" t="s">
        <v>357</v>
      </c>
    </row>
    <row r="119" s="131" customFormat="1" ht="24" spans="1:68">
      <c r="A119" s="497" t="s">
        <v>202</v>
      </c>
      <c r="B119" s="497" t="s">
        <v>206</v>
      </c>
      <c r="C119" s="497" t="s">
        <v>358</v>
      </c>
      <c r="D119" s="497" t="s">
        <v>359</v>
      </c>
      <c r="E119" s="617">
        <f t="shared" si="112"/>
        <v>0</v>
      </c>
      <c r="F119" s="617">
        <f t="shared" si="117"/>
        <v>0</v>
      </c>
      <c r="G119" s="618"/>
      <c r="H119" s="618"/>
      <c r="I119" s="618"/>
      <c r="J119" s="618"/>
      <c r="K119" s="618"/>
      <c r="L119" s="618"/>
      <c r="M119" s="617">
        <f t="shared" si="113"/>
        <v>0</v>
      </c>
      <c r="N119" s="618"/>
      <c r="O119" s="618"/>
      <c r="P119" s="618"/>
      <c r="Q119" s="618"/>
      <c r="R119" s="617">
        <f t="shared" si="114"/>
        <v>0</v>
      </c>
      <c r="S119" s="615">
        <f t="shared" si="118"/>
        <v>0</v>
      </c>
      <c r="T119" s="618"/>
      <c r="U119" s="618"/>
      <c r="V119" s="618"/>
      <c r="W119" s="618"/>
      <c r="X119" s="618"/>
      <c r="Y119" s="618"/>
      <c r="Z119" s="617">
        <f t="shared" si="115"/>
        <v>0</v>
      </c>
      <c r="AA119" s="618"/>
      <c r="AB119" s="618"/>
      <c r="AC119" s="618"/>
      <c r="AD119" s="618"/>
      <c r="AE119" s="615">
        <f t="shared" si="119"/>
        <v>0</v>
      </c>
      <c r="AF119" s="615">
        <f t="shared" si="120"/>
        <v>0</v>
      </c>
      <c r="AG119" s="616">
        <f t="shared" si="121"/>
        <v>0</v>
      </c>
      <c r="AH119" s="616">
        <f t="shared" si="122"/>
        <v>0</v>
      </c>
      <c r="AI119" s="616">
        <f t="shared" si="123"/>
        <v>0</v>
      </c>
      <c r="AJ119" s="616">
        <f t="shared" si="124"/>
        <v>0</v>
      </c>
      <c r="AK119" s="616">
        <f t="shared" si="125"/>
        <v>0</v>
      </c>
      <c r="AL119" s="616">
        <f t="shared" si="126"/>
        <v>0</v>
      </c>
      <c r="AM119" s="615">
        <f t="shared" si="127"/>
        <v>0</v>
      </c>
      <c r="AN119" s="616">
        <f t="shared" si="128"/>
        <v>0</v>
      </c>
      <c r="AO119" s="616">
        <f t="shared" si="129"/>
        <v>0</v>
      </c>
      <c r="AP119" s="616">
        <f t="shared" si="130"/>
        <v>0</v>
      </c>
      <c r="AQ119" s="637">
        <f t="shared" si="131"/>
        <v>0</v>
      </c>
      <c r="AR119" s="639">
        <f t="shared" si="116"/>
        <v>0</v>
      </c>
      <c r="AS119" s="616">
        <f t="shared" si="91"/>
        <v>0</v>
      </c>
      <c r="AT119" s="616">
        <f t="shared" si="92"/>
        <v>0</v>
      </c>
      <c r="AU119" s="616">
        <f t="shared" si="93"/>
        <v>0</v>
      </c>
      <c r="AV119" s="616">
        <f t="shared" si="94"/>
        <v>0</v>
      </c>
      <c r="AW119" s="616">
        <f t="shared" si="95"/>
        <v>0</v>
      </c>
      <c r="AX119" s="616">
        <f t="shared" si="96"/>
        <v>0</v>
      </c>
      <c r="AY119" s="618"/>
      <c r="AZ119" s="615">
        <f t="shared" si="97"/>
        <v>0</v>
      </c>
      <c r="BA119" s="616">
        <f t="shared" si="98"/>
        <v>0</v>
      </c>
      <c r="BB119" s="616">
        <f t="shared" si="99"/>
        <v>0</v>
      </c>
      <c r="BC119" s="616">
        <f t="shared" si="100"/>
        <v>0</v>
      </c>
      <c r="BD119" s="616">
        <f t="shared" si="101"/>
        <v>0</v>
      </c>
      <c r="BE119" s="616">
        <f t="shared" si="102"/>
        <v>0</v>
      </c>
      <c r="BF119" s="616">
        <f t="shared" si="103"/>
        <v>0</v>
      </c>
      <c r="BG119" s="616"/>
      <c r="BH119" s="615">
        <f t="shared" si="104"/>
        <v>0</v>
      </c>
      <c r="BI119" s="616">
        <f t="shared" si="105"/>
        <v>0</v>
      </c>
      <c r="BJ119" s="616">
        <f t="shared" si="106"/>
        <v>0</v>
      </c>
      <c r="BK119" s="616">
        <f t="shared" si="107"/>
        <v>0</v>
      </c>
      <c r="BL119" s="616">
        <f t="shared" si="108"/>
        <v>0</v>
      </c>
      <c r="BM119" s="616">
        <f t="shared" si="109"/>
        <v>0</v>
      </c>
      <c r="BN119" s="616">
        <f t="shared" si="110"/>
        <v>0</v>
      </c>
      <c r="BO119" s="616"/>
      <c r="BP119" s="304"/>
    </row>
    <row r="120" s="131" customFormat="1" ht="36" spans="1:68">
      <c r="A120" s="497" t="s">
        <v>202</v>
      </c>
      <c r="B120" s="497" t="s">
        <v>203</v>
      </c>
      <c r="C120" s="497" t="s">
        <v>360</v>
      </c>
      <c r="D120" s="497" t="s">
        <v>361</v>
      </c>
      <c r="E120" s="617">
        <f t="shared" si="112"/>
        <v>95.62</v>
      </c>
      <c r="F120" s="617">
        <f t="shared" si="117"/>
        <v>89.32</v>
      </c>
      <c r="G120" s="618">
        <v>39.23</v>
      </c>
      <c r="H120" s="618">
        <v>23.08</v>
      </c>
      <c r="I120" s="618">
        <v>3.55</v>
      </c>
      <c r="J120" s="618"/>
      <c r="K120" s="618"/>
      <c r="L120" s="618">
        <v>23.46</v>
      </c>
      <c r="M120" s="617">
        <f t="shared" si="113"/>
        <v>6.3</v>
      </c>
      <c r="N120" s="618"/>
      <c r="O120" s="618"/>
      <c r="P120" s="618">
        <v>3.3</v>
      </c>
      <c r="Q120" s="618">
        <v>3</v>
      </c>
      <c r="R120" s="617">
        <f t="shared" si="114"/>
        <v>-1.1</v>
      </c>
      <c r="S120" s="615">
        <f t="shared" si="118"/>
        <v>-3.22</v>
      </c>
      <c r="T120" s="618">
        <v>-2.67</v>
      </c>
      <c r="U120" s="618"/>
      <c r="V120" s="618">
        <v>-0.55</v>
      </c>
      <c r="W120" s="618"/>
      <c r="X120" s="618"/>
      <c r="Y120" s="618"/>
      <c r="Z120" s="617">
        <f t="shared" si="115"/>
        <v>2.12</v>
      </c>
      <c r="AA120" s="618"/>
      <c r="AB120" s="618">
        <v>0.15</v>
      </c>
      <c r="AC120" s="618">
        <v>1.55</v>
      </c>
      <c r="AD120" s="618">
        <v>0.42</v>
      </c>
      <c r="AE120" s="615">
        <f t="shared" si="119"/>
        <v>94.52</v>
      </c>
      <c r="AF120" s="615">
        <f t="shared" si="120"/>
        <v>86.1</v>
      </c>
      <c r="AG120" s="616">
        <f t="shared" si="121"/>
        <v>36.56</v>
      </c>
      <c r="AH120" s="616">
        <f t="shared" si="122"/>
        <v>23.08</v>
      </c>
      <c r="AI120" s="616">
        <f t="shared" si="123"/>
        <v>3</v>
      </c>
      <c r="AJ120" s="616">
        <f t="shared" si="124"/>
        <v>0</v>
      </c>
      <c r="AK120" s="616">
        <f t="shared" si="125"/>
        <v>0</v>
      </c>
      <c r="AL120" s="616">
        <f t="shared" si="126"/>
        <v>23.46</v>
      </c>
      <c r="AM120" s="615">
        <f t="shared" si="127"/>
        <v>8.42</v>
      </c>
      <c r="AN120" s="616">
        <f t="shared" si="128"/>
        <v>0</v>
      </c>
      <c r="AO120" s="616">
        <f t="shared" si="129"/>
        <v>0.15</v>
      </c>
      <c r="AP120" s="616">
        <f t="shared" si="130"/>
        <v>4.85</v>
      </c>
      <c r="AQ120" s="637">
        <f t="shared" si="131"/>
        <v>3.42</v>
      </c>
      <c r="AR120" s="639">
        <f t="shared" si="116"/>
        <v>30.99028</v>
      </c>
      <c r="AS120" s="616">
        <f t="shared" si="91"/>
        <v>14.2912</v>
      </c>
      <c r="AT120" s="616">
        <f t="shared" si="92"/>
        <v>4.9848</v>
      </c>
      <c r="AU120" s="616">
        <f t="shared" si="93"/>
        <v>3.7386</v>
      </c>
      <c r="AV120" s="616">
        <f t="shared" si="94"/>
        <v>0.12462</v>
      </c>
      <c r="AW120" s="616">
        <f t="shared" si="95"/>
        <v>0.37386</v>
      </c>
      <c r="AX120" s="616">
        <f t="shared" si="96"/>
        <v>7.4772</v>
      </c>
      <c r="AY120" s="618"/>
      <c r="AZ120" s="615">
        <f t="shared" si="97"/>
        <v>-1.23076</v>
      </c>
      <c r="BA120" s="616">
        <f t="shared" si="98"/>
        <v>-0.5152</v>
      </c>
      <c r="BB120" s="616">
        <f t="shared" si="99"/>
        <v>-0.2136</v>
      </c>
      <c r="BC120" s="616">
        <f t="shared" si="100"/>
        <v>-0.1602</v>
      </c>
      <c r="BD120" s="616">
        <f t="shared" si="101"/>
        <v>-0.00534</v>
      </c>
      <c r="BE120" s="616">
        <f t="shared" si="102"/>
        <v>-0.01602</v>
      </c>
      <c r="BF120" s="616">
        <f t="shared" si="103"/>
        <v>-0.3204</v>
      </c>
      <c r="BG120" s="616"/>
      <c r="BH120" s="615">
        <f t="shared" si="104"/>
        <v>29.75952</v>
      </c>
      <c r="BI120" s="616">
        <f t="shared" si="105"/>
        <v>13.776</v>
      </c>
      <c r="BJ120" s="616">
        <f t="shared" si="106"/>
        <v>4.7712</v>
      </c>
      <c r="BK120" s="616">
        <f t="shared" si="107"/>
        <v>3.5784</v>
      </c>
      <c r="BL120" s="616">
        <f t="shared" si="108"/>
        <v>0.11928</v>
      </c>
      <c r="BM120" s="616">
        <f t="shared" si="109"/>
        <v>0.35784</v>
      </c>
      <c r="BN120" s="616">
        <f t="shared" si="110"/>
        <v>7.1568</v>
      </c>
      <c r="BO120" s="616"/>
      <c r="BP120" s="304"/>
    </row>
    <row r="121" s="131" customFormat="1" ht="24" spans="1:68">
      <c r="A121" s="497" t="s">
        <v>202</v>
      </c>
      <c r="B121" s="497" t="s">
        <v>206</v>
      </c>
      <c r="C121" s="497" t="s">
        <v>362</v>
      </c>
      <c r="D121" s="497" t="s">
        <v>363</v>
      </c>
      <c r="E121" s="617">
        <f t="shared" si="112"/>
        <v>0</v>
      </c>
      <c r="F121" s="617">
        <f t="shared" si="117"/>
        <v>0</v>
      </c>
      <c r="G121" s="618"/>
      <c r="H121" s="618"/>
      <c r="I121" s="618"/>
      <c r="J121" s="618"/>
      <c r="K121" s="618"/>
      <c r="L121" s="618"/>
      <c r="M121" s="617">
        <f t="shared" si="113"/>
        <v>0</v>
      </c>
      <c r="N121" s="618"/>
      <c r="O121" s="618"/>
      <c r="P121" s="618"/>
      <c r="Q121" s="618"/>
      <c r="R121" s="617">
        <f t="shared" si="114"/>
        <v>0</v>
      </c>
      <c r="S121" s="615">
        <f t="shared" si="118"/>
        <v>0</v>
      </c>
      <c r="T121" s="618"/>
      <c r="U121" s="618"/>
      <c r="V121" s="618"/>
      <c r="W121" s="618"/>
      <c r="X121" s="618"/>
      <c r="Y121" s="618"/>
      <c r="Z121" s="617">
        <f t="shared" si="115"/>
        <v>0</v>
      </c>
      <c r="AA121" s="618"/>
      <c r="AB121" s="618"/>
      <c r="AC121" s="618"/>
      <c r="AD121" s="618"/>
      <c r="AE121" s="615">
        <f t="shared" si="119"/>
        <v>0</v>
      </c>
      <c r="AF121" s="615">
        <f t="shared" si="120"/>
        <v>0</v>
      </c>
      <c r="AG121" s="616">
        <f t="shared" si="121"/>
        <v>0</v>
      </c>
      <c r="AH121" s="616">
        <f t="shared" si="122"/>
        <v>0</v>
      </c>
      <c r="AI121" s="616">
        <f t="shared" si="123"/>
        <v>0</v>
      </c>
      <c r="AJ121" s="616">
        <f t="shared" si="124"/>
        <v>0</v>
      </c>
      <c r="AK121" s="616">
        <f t="shared" si="125"/>
        <v>0</v>
      </c>
      <c r="AL121" s="616">
        <f t="shared" si="126"/>
        <v>0</v>
      </c>
      <c r="AM121" s="615">
        <f t="shared" si="127"/>
        <v>0</v>
      </c>
      <c r="AN121" s="616">
        <f t="shared" si="128"/>
        <v>0</v>
      </c>
      <c r="AO121" s="616">
        <f t="shared" si="129"/>
        <v>0</v>
      </c>
      <c r="AP121" s="616">
        <f t="shared" si="130"/>
        <v>0</v>
      </c>
      <c r="AQ121" s="637">
        <f t="shared" si="131"/>
        <v>0</v>
      </c>
      <c r="AR121" s="639">
        <f t="shared" si="116"/>
        <v>0</v>
      </c>
      <c r="AS121" s="616">
        <f t="shared" si="91"/>
        <v>0</v>
      </c>
      <c r="AT121" s="616">
        <f t="shared" si="92"/>
        <v>0</v>
      </c>
      <c r="AU121" s="616">
        <f t="shared" si="93"/>
        <v>0</v>
      </c>
      <c r="AV121" s="616">
        <f t="shared" si="94"/>
        <v>0</v>
      </c>
      <c r="AW121" s="616">
        <f t="shared" si="95"/>
        <v>0</v>
      </c>
      <c r="AX121" s="616">
        <f t="shared" si="96"/>
        <v>0</v>
      </c>
      <c r="AY121" s="618"/>
      <c r="AZ121" s="615">
        <f t="shared" si="97"/>
        <v>0</v>
      </c>
      <c r="BA121" s="616">
        <f t="shared" si="98"/>
        <v>0</v>
      </c>
      <c r="BB121" s="616">
        <f t="shared" si="99"/>
        <v>0</v>
      </c>
      <c r="BC121" s="616">
        <f t="shared" si="100"/>
        <v>0</v>
      </c>
      <c r="BD121" s="616">
        <f t="shared" si="101"/>
        <v>0</v>
      </c>
      <c r="BE121" s="616">
        <f t="shared" si="102"/>
        <v>0</v>
      </c>
      <c r="BF121" s="616">
        <f t="shared" si="103"/>
        <v>0</v>
      </c>
      <c r="BG121" s="616"/>
      <c r="BH121" s="615">
        <f t="shared" si="104"/>
        <v>0</v>
      </c>
      <c r="BI121" s="616">
        <f t="shared" si="105"/>
        <v>0</v>
      </c>
      <c r="BJ121" s="616">
        <f t="shared" si="106"/>
        <v>0</v>
      </c>
      <c r="BK121" s="616">
        <f t="shared" si="107"/>
        <v>0</v>
      </c>
      <c r="BL121" s="616">
        <f t="shared" si="108"/>
        <v>0</v>
      </c>
      <c r="BM121" s="616">
        <f t="shared" si="109"/>
        <v>0</v>
      </c>
      <c r="BN121" s="616">
        <f t="shared" si="110"/>
        <v>0</v>
      </c>
      <c r="BO121" s="616"/>
      <c r="BP121" s="304"/>
    </row>
    <row r="122" s="131" customFormat="1" ht="36" spans="1:68">
      <c r="A122" s="497" t="s">
        <v>202</v>
      </c>
      <c r="B122" s="497" t="s">
        <v>203</v>
      </c>
      <c r="C122" s="497" t="s">
        <v>364</v>
      </c>
      <c r="D122" s="497" t="s">
        <v>365</v>
      </c>
      <c r="E122" s="617">
        <f t="shared" si="112"/>
        <v>78.79</v>
      </c>
      <c r="F122" s="617">
        <f t="shared" si="117"/>
        <v>63.37</v>
      </c>
      <c r="G122" s="618">
        <v>26.28</v>
      </c>
      <c r="H122" s="618">
        <v>15.83</v>
      </c>
      <c r="I122" s="618">
        <v>2.19</v>
      </c>
      <c r="J122" s="618"/>
      <c r="K122" s="618"/>
      <c r="L122" s="618">
        <v>19.07</v>
      </c>
      <c r="M122" s="617">
        <f t="shared" si="113"/>
        <v>15.42</v>
      </c>
      <c r="N122" s="618">
        <v>10.17</v>
      </c>
      <c r="O122" s="618"/>
      <c r="P122" s="618">
        <v>2.75</v>
      </c>
      <c r="Q122" s="618">
        <v>2.5</v>
      </c>
      <c r="R122" s="617">
        <f t="shared" si="114"/>
        <v>-16.22</v>
      </c>
      <c r="S122" s="615">
        <f t="shared" si="118"/>
        <v>-11.7</v>
      </c>
      <c r="T122" s="618">
        <v>-5.13</v>
      </c>
      <c r="U122" s="618">
        <v>-3</v>
      </c>
      <c r="V122" s="618"/>
      <c r="W122" s="618"/>
      <c r="X122" s="618"/>
      <c r="Y122" s="618">
        <v>-3.57</v>
      </c>
      <c r="Z122" s="617">
        <f t="shared" si="115"/>
        <v>-4.52</v>
      </c>
      <c r="AA122" s="618">
        <v>-4.97</v>
      </c>
      <c r="AB122" s="618"/>
      <c r="AC122" s="618">
        <v>0.45</v>
      </c>
      <c r="AD122" s="618"/>
      <c r="AE122" s="615">
        <f t="shared" si="119"/>
        <v>62.57</v>
      </c>
      <c r="AF122" s="615">
        <f t="shared" si="120"/>
        <v>51.67</v>
      </c>
      <c r="AG122" s="616">
        <f t="shared" si="121"/>
        <v>21.15</v>
      </c>
      <c r="AH122" s="616">
        <f t="shared" si="122"/>
        <v>12.83</v>
      </c>
      <c r="AI122" s="616">
        <f t="shared" si="123"/>
        <v>2.19</v>
      </c>
      <c r="AJ122" s="616">
        <f t="shared" si="124"/>
        <v>0</v>
      </c>
      <c r="AK122" s="616">
        <f t="shared" si="125"/>
        <v>0</v>
      </c>
      <c r="AL122" s="616">
        <f t="shared" si="126"/>
        <v>15.5</v>
      </c>
      <c r="AM122" s="615">
        <f t="shared" si="127"/>
        <v>10.9</v>
      </c>
      <c r="AN122" s="616">
        <f t="shared" si="128"/>
        <v>5.2</v>
      </c>
      <c r="AO122" s="616">
        <f t="shared" si="129"/>
        <v>0</v>
      </c>
      <c r="AP122" s="616">
        <f t="shared" si="130"/>
        <v>3.2</v>
      </c>
      <c r="AQ122" s="637">
        <f t="shared" si="131"/>
        <v>2.5</v>
      </c>
      <c r="AR122" s="639">
        <f t="shared" si="116"/>
        <v>21.42468</v>
      </c>
      <c r="AS122" s="616">
        <f t="shared" si="91"/>
        <v>10.1392</v>
      </c>
      <c r="AT122" s="616">
        <f t="shared" si="92"/>
        <v>3.3688</v>
      </c>
      <c r="AU122" s="616">
        <f t="shared" si="93"/>
        <v>2.5266</v>
      </c>
      <c r="AV122" s="616">
        <f t="shared" si="94"/>
        <v>0.08422</v>
      </c>
      <c r="AW122" s="616">
        <f t="shared" si="95"/>
        <v>0.25266</v>
      </c>
      <c r="AX122" s="616">
        <f t="shared" si="96"/>
        <v>5.0532</v>
      </c>
      <c r="AY122" s="618"/>
      <c r="AZ122" s="615">
        <f t="shared" si="97"/>
        <v>-4.05084</v>
      </c>
      <c r="BA122" s="616">
        <f t="shared" si="98"/>
        <v>-1.872</v>
      </c>
      <c r="BB122" s="616">
        <f t="shared" si="99"/>
        <v>-0.6504</v>
      </c>
      <c r="BC122" s="616">
        <f t="shared" si="100"/>
        <v>-0.4878</v>
      </c>
      <c r="BD122" s="616">
        <f t="shared" si="101"/>
        <v>-0.01626</v>
      </c>
      <c r="BE122" s="616">
        <f t="shared" si="102"/>
        <v>-0.04878</v>
      </c>
      <c r="BF122" s="616">
        <f t="shared" si="103"/>
        <v>-0.9756</v>
      </c>
      <c r="BG122" s="616"/>
      <c r="BH122" s="615">
        <f t="shared" si="104"/>
        <v>17.37384</v>
      </c>
      <c r="BI122" s="616">
        <f t="shared" si="105"/>
        <v>8.2672</v>
      </c>
      <c r="BJ122" s="616">
        <f t="shared" si="106"/>
        <v>2.7184</v>
      </c>
      <c r="BK122" s="616">
        <f t="shared" si="107"/>
        <v>2.0388</v>
      </c>
      <c r="BL122" s="616">
        <f t="shared" si="108"/>
        <v>0.06796</v>
      </c>
      <c r="BM122" s="616">
        <f t="shared" si="109"/>
        <v>0.20388</v>
      </c>
      <c r="BN122" s="616">
        <f t="shared" si="110"/>
        <v>4.0776</v>
      </c>
      <c r="BO122" s="616"/>
      <c r="BP122" s="304"/>
    </row>
    <row r="123" s="131" customFormat="1" ht="24" spans="1:68">
      <c r="A123" s="497" t="s">
        <v>202</v>
      </c>
      <c r="B123" s="497" t="s">
        <v>203</v>
      </c>
      <c r="C123" s="497" t="s">
        <v>366</v>
      </c>
      <c r="D123" s="497" t="s">
        <v>365</v>
      </c>
      <c r="E123" s="617">
        <f t="shared" si="112"/>
        <v>24.23</v>
      </c>
      <c r="F123" s="617">
        <f t="shared" si="117"/>
        <v>21.08</v>
      </c>
      <c r="G123" s="618">
        <v>6.56</v>
      </c>
      <c r="H123" s="618">
        <v>4.67</v>
      </c>
      <c r="I123" s="618">
        <v>0.55</v>
      </c>
      <c r="J123" s="618"/>
      <c r="K123" s="618"/>
      <c r="L123" s="618">
        <v>9.3</v>
      </c>
      <c r="M123" s="617">
        <f t="shared" si="113"/>
        <v>3.15</v>
      </c>
      <c r="N123" s="618"/>
      <c r="O123" s="618"/>
      <c r="P123" s="618">
        <v>1.65</v>
      </c>
      <c r="Q123" s="618">
        <v>1.5</v>
      </c>
      <c r="R123" s="617">
        <f t="shared" si="114"/>
        <v>-0.71</v>
      </c>
      <c r="S123" s="615">
        <f t="shared" si="118"/>
        <v>0</v>
      </c>
      <c r="T123" s="618"/>
      <c r="U123" s="618"/>
      <c r="V123" s="618"/>
      <c r="W123" s="618"/>
      <c r="X123" s="618"/>
      <c r="Y123" s="618"/>
      <c r="Z123" s="617">
        <f t="shared" si="115"/>
        <v>-0.71</v>
      </c>
      <c r="AA123" s="618"/>
      <c r="AB123" s="618"/>
      <c r="AC123" s="618">
        <v>-0.01</v>
      </c>
      <c r="AD123" s="618">
        <v>-0.7</v>
      </c>
      <c r="AE123" s="615">
        <f t="shared" si="119"/>
        <v>23.52</v>
      </c>
      <c r="AF123" s="615">
        <f t="shared" si="120"/>
        <v>21.08</v>
      </c>
      <c r="AG123" s="616">
        <f t="shared" si="121"/>
        <v>6.56</v>
      </c>
      <c r="AH123" s="616">
        <f t="shared" si="122"/>
        <v>4.67</v>
      </c>
      <c r="AI123" s="616">
        <f t="shared" si="123"/>
        <v>0.55</v>
      </c>
      <c r="AJ123" s="616">
        <f t="shared" si="124"/>
        <v>0</v>
      </c>
      <c r="AK123" s="616">
        <f t="shared" si="125"/>
        <v>0</v>
      </c>
      <c r="AL123" s="616">
        <f t="shared" si="126"/>
        <v>9.3</v>
      </c>
      <c r="AM123" s="615">
        <f t="shared" si="127"/>
        <v>2.44</v>
      </c>
      <c r="AN123" s="616">
        <f t="shared" si="128"/>
        <v>0</v>
      </c>
      <c r="AO123" s="616">
        <f t="shared" si="129"/>
        <v>0</v>
      </c>
      <c r="AP123" s="616">
        <f t="shared" si="130"/>
        <v>1.64</v>
      </c>
      <c r="AQ123" s="637">
        <f t="shared" si="131"/>
        <v>0.8</v>
      </c>
      <c r="AR123" s="639">
        <f t="shared" si="116"/>
        <v>6.38244</v>
      </c>
      <c r="AS123" s="616">
        <f t="shared" si="91"/>
        <v>3.3728</v>
      </c>
      <c r="AT123" s="616">
        <f t="shared" si="92"/>
        <v>0.8984</v>
      </c>
      <c r="AU123" s="616">
        <f t="shared" si="93"/>
        <v>0.6738</v>
      </c>
      <c r="AV123" s="616">
        <f t="shared" si="94"/>
        <v>0.02246</v>
      </c>
      <c r="AW123" s="616">
        <f t="shared" si="95"/>
        <v>0.06738</v>
      </c>
      <c r="AX123" s="616">
        <f t="shared" si="96"/>
        <v>1.3476</v>
      </c>
      <c r="AY123" s="618"/>
      <c r="AZ123" s="615">
        <f t="shared" si="97"/>
        <v>0</v>
      </c>
      <c r="BA123" s="616">
        <f t="shared" si="98"/>
        <v>0</v>
      </c>
      <c r="BB123" s="616">
        <f t="shared" si="99"/>
        <v>0</v>
      </c>
      <c r="BC123" s="616">
        <f t="shared" si="100"/>
        <v>0</v>
      </c>
      <c r="BD123" s="616">
        <f t="shared" si="101"/>
        <v>0</v>
      </c>
      <c r="BE123" s="616">
        <f t="shared" si="102"/>
        <v>0</v>
      </c>
      <c r="BF123" s="616">
        <f t="shared" si="103"/>
        <v>0</v>
      </c>
      <c r="BG123" s="616"/>
      <c r="BH123" s="615">
        <f t="shared" si="104"/>
        <v>6.38244</v>
      </c>
      <c r="BI123" s="616">
        <f t="shared" si="105"/>
        <v>3.3728</v>
      </c>
      <c r="BJ123" s="616">
        <f t="shared" si="106"/>
        <v>0.8984</v>
      </c>
      <c r="BK123" s="616">
        <f t="shared" si="107"/>
        <v>0.6738</v>
      </c>
      <c r="BL123" s="616">
        <f t="shared" si="108"/>
        <v>0.02246</v>
      </c>
      <c r="BM123" s="616">
        <f t="shared" si="109"/>
        <v>0.06738</v>
      </c>
      <c r="BN123" s="616">
        <f t="shared" si="110"/>
        <v>1.3476</v>
      </c>
      <c r="BO123" s="616"/>
      <c r="BP123" s="304"/>
    </row>
    <row r="124" s="131" customFormat="1" ht="36" spans="1:68">
      <c r="A124" s="497" t="s">
        <v>202</v>
      </c>
      <c r="B124" s="497" t="s">
        <v>203</v>
      </c>
      <c r="C124" s="497" t="s">
        <v>367</v>
      </c>
      <c r="D124" s="497" t="s">
        <v>365</v>
      </c>
      <c r="E124" s="617">
        <f t="shared" si="112"/>
        <v>117.73</v>
      </c>
      <c r="F124" s="617">
        <f t="shared" si="117"/>
        <v>103.19</v>
      </c>
      <c r="G124" s="618">
        <v>41.55</v>
      </c>
      <c r="H124" s="618">
        <v>26.09</v>
      </c>
      <c r="I124" s="618">
        <v>3.46</v>
      </c>
      <c r="J124" s="618"/>
      <c r="K124" s="618"/>
      <c r="L124" s="618">
        <v>32.09</v>
      </c>
      <c r="M124" s="617">
        <f t="shared" si="113"/>
        <v>14.54</v>
      </c>
      <c r="N124" s="618">
        <v>5.09</v>
      </c>
      <c r="O124" s="618"/>
      <c r="P124" s="618">
        <v>4.95</v>
      </c>
      <c r="Q124" s="618">
        <v>4.5</v>
      </c>
      <c r="R124" s="617">
        <f t="shared" si="114"/>
        <v>4</v>
      </c>
      <c r="S124" s="615">
        <f t="shared" si="118"/>
        <v>1.84</v>
      </c>
      <c r="T124" s="618">
        <v>1.84</v>
      </c>
      <c r="U124" s="618"/>
      <c r="V124" s="618"/>
      <c r="W124" s="618"/>
      <c r="X124" s="618"/>
      <c r="Y124" s="618"/>
      <c r="Z124" s="617">
        <f t="shared" si="115"/>
        <v>2.16</v>
      </c>
      <c r="AA124" s="618">
        <v>0.12</v>
      </c>
      <c r="AB124" s="618">
        <v>0.81</v>
      </c>
      <c r="AC124" s="618">
        <v>1.23</v>
      </c>
      <c r="AD124" s="618"/>
      <c r="AE124" s="615">
        <f t="shared" si="119"/>
        <v>121.73</v>
      </c>
      <c r="AF124" s="615">
        <f t="shared" si="120"/>
        <v>105.03</v>
      </c>
      <c r="AG124" s="616">
        <f t="shared" si="121"/>
        <v>43.39</v>
      </c>
      <c r="AH124" s="616">
        <f t="shared" si="122"/>
        <v>26.09</v>
      </c>
      <c r="AI124" s="616">
        <f t="shared" si="123"/>
        <v>3.46</v>
      </c>
      <c r="AJ124" s="616">
        <f t="shared" si="124"/>
        <v>0</v>
      </c>
      <c r="AK124" s="616">
        <f t="shared" si="125"/>
        <v>0</v>
      </c>
      <c r="AL124" s="616">
        <f t="shared" si="126"/>
        <v>32.09</v>
      </c>
      <c r="AM124" s="615">
        <f t="shared" si="127"/>
        <v>16.7</v>
      </c>
      <c r="AN124" s="616">
        <f t="shared" si="128"/>
        <v>5.21</v>
      </c>
      <c r="AO124" s="616">
        <f t="shared" si="129"/>
        <v>0.81</v>
      </c>
      <c r="AP124" s="616">
        <f t="shared" si="130"/>
        <v>6.18</v>
      </c>
      <c r="AQ124" s="637">
        <f t="shared" si="131"/>
        <v>4.5</v>
      </c>
      <c r="AR124" s="639">
        <f t="shared" si="116"/>
        <v>34.63792</v>
      </c>
      <c r="AS124" s="616">
        <f t="shared" si="91"/>
        <v>16.5104</v>
      </c>
      <c r="AT124" s="616">
        <f t="shared" si="92"/>
        <v>5.4112</v>
      </c>
      <c r="AU124" s="616">
        <f t="shared" si="93"/>
        <v>4.0584</v>
      </c>
      <c r="AV124" s="616">
        <f t="shared" si="94"/>
        <v>0.13528</v>
      </c>
      <c r="AW124" s="616">
        <f t="shared" si="95"/>
        <v>0.40584</v>
      </c>
      <c r="AX124" s="616">
        <f t="shared" si="96"/>
        <v>8.1168</v>
      </c>
      <c r="AY124" s="618"/>
      <c r="AZ124" s="615">
        <f t="shared" si="97"/>
        <v>0.78752</v>
      </c>
      <c r="BA124" s="616">
        <f t="shared" si="98"/>
        <v>0.2944</v>
      </c>
      <c r="BB124" s="616">
        <f t="shared" si="99"/>
        <v>0.1472</v>
      </c>
      <c r="BC124" s="616">
        <f t="shared" si="100"/>
        <v>0.1104</v>
      </c>
      <c r="BD124" s="616">
        <f t="shared" si="101"/>
        <v>0.00368</v>
      </c>
      <c r="BE124" s="616">
        <f t="shared" si="102"/>
        <v>0.01104</v>
      </c>
      <c r="BF124" s="616">
        <f t="shared" si="103"/>
        <v>0.2208</v>
      </c>
      <c r="BG124" s="616"/>
      <c r="BH124" s="615">
        <f t="shared" si="104"/>
        <v>35.42544</v>
      </c>
      <c r="BI124" s="616">
        <f t="shared" si="105"/>
        <v>16.8048</v>
      </c>
      <c r="BJ124" s="616">
        <f t="shared" si="106"/>
        <v>5.5584</v>
      </c>
      <c r="BK124" s="616">
        <f t="shared" si="107"/>
        <v>4.1688</v>
      </c>
      <c r="BL124" s="616">
        <f t="shared" si="108"/>
        <v>0.13896</v>
      </c>
      <c r="BM124" s="616">
        <f t="shared" si="109"/>
        <v>0.41688</v>
      </c>
      <c r="BN124" s="616">
        <f t="shared" si="110"/>
        <v>8.3376</v>
      </c>
      <c r="BO124" s="616"/>
      <c r="BP124" s="304"/>
    </row>
    <row r="125" s="131" customFormat="1" ht="36" spans="1:68">
      <c r="A125" s="497" t="s">
        <v>202</v>
      </c>
      <c r="B125" s="497" t="s">
        <v>203</v>
      </c>
      <c r="C125" s="497" t="s">
        <v>368</v>
      </c>
      <c r="D125" s="497" t="s">
        <v>365</v>
      </c>
      <c r="E125" s="617">
        <f t="shared" si="112"/>
        <v>119.3</v>
      </c>
      <c r="F125" s="617">
        <f t="shared" si="117"/>
        <v>108.8</v>
      </c>
      <c r="G125" s="618">
        <v>42.41</v>
      </c>
      <c r="H125" s="618">
        <v>27.66</v>
      </c>
      <c r="I125" s="618">
        <v>3.79</v>
      </c>
      <c r="J125" s="618"/>
      <c r="K125" s="618"/>
      <c r="L125" s="618">
        <v>34.94</v>
      </c>
      <c r="M125" s="617">
        <f t="shared" si="113"/>
        <v>10.5</v>
      </c>
      <c r="N125" s="618"/>
      <c r="O125" s="618"/>
      <c r="P125" s="618">
        <v>5.5</v>
      </c>
      <c r="Q125" s="618">
        <v>5</v>
      </c>
      <c r="R125" s="617">
        <f t="shared" si="114"/>
        <v>2.16</v>
      </c>
      <c r="S125" s="615">
        <f t="shared" si="118"/>
        <v>1.52</v>
      </c>
      <c r="T125" s="618">
        <v>0.68</v>
      </c>
      <c r="U125" s="618">
        <v>0.57</v>
      </c>
      <c r="V125" s="618">
        <v>-0.14</v>
      </c>
      <c r="W125" s="618"/>
      <c r="X125" s="618"/>
      <c r="Y125" s="618">
        <v>0.41</v>
      </c>
      <c r="Z125" s="617">
        <f t="shared" si="115"/>
        <v>0.64</v>
      </c>
      <c r="AA125" s="618"/>
      <c r="AB125" s="618">
        <v>0.3</v>
      </c>
      <c r="AC125" s="618">
        <v>0.34</v>
      </c>
      <c r="AD125" s="618"/>
      <c r="AE125" s="615">
        <f t="shared" si="119"/>
        <v>121.46</v>
      </c>
      <c r="AF125" s="615">
        <f t="shared" si="120"/>
        <v>110.32</v>
      </c>
      <c r="AG125" s="616">
        <f t="shared" si="121"/>
        <v>43.09</v>
      </c>
      <c r="AH125" s="616">
        <f t="shared" si="122"/>
        <v>28.23</v>
      </c>
      <c r="AI125" s="616">
        <f t="shared" si="123"/>
        <v>3.65</v>
      </c>
      <c r="AJ125" s="616">
        <f t="shared" si="124"/>
        <v>0</v>
      </c>
      <c r="AK125" s="616">
        <f t="shared" si="125"/>
        <v>0</v>
      </c>
      <c r="AL125" s="616">
        <f t="shared" si="126"/>
        <v>35.35</v>
      </c>
      <c r="AM125" s="615">
        <f t="shared" si="127"/>
        <v>11.14</v>
      </c>
      <c r="AN125" s="616">
        <f t="shared" si="128"/>
        <v>0</v>
      </c>
      <c r="AO125" s="616">
        <f t="shared" si="129"/>
        <v>0.3</v>
      </c>
      <c r="AP125" s="616">
        <f t="shared" si="130"/>
        <v>5.84</v>
      </c>
      <c r="AQ125" s="637">
        <f t="shared" si="131"/>
        <v>5</v>
      </c>
      <c r="AR125" s="639">
        <f t="shared" si="116"/>
        <v>36.18676</v>
      </c>
      <c r="AS125" s="616">
        <f t="shared" si="91"/>
        <v>17.408</v>
      </c>
      <c r="AT125" s="616">
        <f t="shared" si="92"/>
        <v>5.6056</v>
      </c>
      <c r="AU125" s="616">
        <f t="shared" si="93"/>
        <v>4.2042</v>
      </c>
      <c r="AV125" s="616">
        <f t="shared" si="94"/>
        <v>0.14014</v>
      </c>
      <c r="AW125" s="616">
        <f t="shared" si="95"/>
        <v>0.42042</v>
      </c>
      <c r="AX125" s="616">
        <f t="shared" si="96"/>
        <v>8.4084</v>
      </c>
      <c r="AY125" s="618"/>
      <c r="AZ125" s="615">
        <f t="shared" si="97"/>
        <v>0.5782</v>
      </c>
      <c r="BA125" s="616">
        <f t="shared" si="98"/>
        <v>0.2432</v>
      </c>
      <c r="BB125" s="616">
        <f t="shared" si="99"/>
        <v>0.1</v>
      </c>
      <c r="BC125" s="616">
        <f t="shared" si="100"/>
        <v>0.075</v>
      </c>
      <c r="BD125" s="616">
        <f t="shared" si="101"/>
        <v>0.0025</v>
      </c>
      <c r="BE125" s="616">
        <f t="shared" si="102"/>
        <v>0.0075</v>
      </c>
      <c r="BF125" s="616">
        <f t="shared" si="103"/>
        <v>0.15</v>
      </c>
      <c r="BG125" s="616"/>
      <c r="BH125" s="615">
        <f t="shared" si="104"/>
        <v>36.76496</v>
      </c>
      <c r="BI125" s="616">
        <f t="shared" si="105"/>
        <v>17.6512</v>
      </c>
      <c r="BJ125" s="616">
        <f t="shared" si="106"/>
        <v>5.7056</v>
      </c>
      <c r="BK125" s="616">
        <f t="shared" si="107"/>
        <v>4.2792</v>
      </c>
      <c r="BL125" s="616">
        <f t="shared" si="108"/>
        <v>0.14264</v>
      </c>
      <c r="BM125" s="616">
        <f t="shared" si="109"/>
        <v>0.42792</v>
      </c>
      <c r="BN125" s="616">
        <f t="shared" si="110"/>
        <v>8.5584</v>
      </c>
      <c r="BO125" s="616"/>
      <c r="BP125" s="304"/>
    </row>
    <row r="126" s="131" customFormat="1" ht="24" spans="1:68">
      <c r="A126" s="497" t="s">
        <v>202</v>
      </c>
      <c r="B126" s="497" t="s">
        <v>203</v>
      </c>
      <c r="C126" s="497" t="s">
        <v>369</v>
      </c>
      <c r="D126" s="497" t="s">
        <v>370</v>
      </c>
      <c r="E126" s="617">
        <f t="shared" si="112"/>
        <v>9.61</v>
      </c>
      <c r="F126" s="617">
        <f t="shared" si="117"/>
        <v>8.56</v>
      </c>
      <c r="G126" s="618">
        <v>2.92</v>
      </c>
      <c r="H126" s="618">
        <v>2.36</v>
      </c>
      <c r="I126" s="618">
        <v>0.24</v>
      </c>
      <c r="J126" s="618"/>
      <c r="K126" s="618"/>
      <c r="L126" s="618">
        <v>3.04</v>
      </c>
      <c r="M126" s="617">
        <f t="shared" si="113"/>
        <v>1.05</v>
      </c>
      <c r="N126" s="618"/>
      <c r="O126" s="618"/>
      <c r="P126" s="618">
        <v>0.55</v>
      </c>
      <c r="Q126" s="618">
        <v>0.5</v>
      </c>
      <c r="R126" s="617">
        <f t="shared" si="114"/>
        <v>0.02</v>
      </c>
      <c r="S126" s="615">
        <f t="shared" si="118"/>
        <v>0.09</v>
      </c>
      <c r="T126" s="618">
        <v>0.09</v>
      </c>
      <c r="U126" s="618"/>
      <c r="V126" s="618"/>
      <c r="W126" s="618"/>
      <c r="X126" s="618"/>
      <c r="Y126" s="618"/>
      <c r="Z126" s="617">
        <f t="shared" si="115"/>
        <v>-0.07</v>
      </c>
      <c r="AA126" s="618"/>
      <c r="AB126" s="618"/>
      <c r="AC126" s="618">
        <v>-0.07</v>
      </c>
      <c r="AD126" s="618"/>
      <c r="AE126" s="615">
        <f t="shared" si="119"/>
        <v>9.63</v>
      </c>
      <c r="AF126" s="615">
        <f t="shared" si="120"/>
        <v>8.65</v>
      </c>
      <c r="AG126" s="616">
        <f t="shared" si="121"/>
        <v>3.01</v>
      </c>
      <c r="AH126" s="616">
        <f t="shared" si="122"/>
        <v>2.36</v>
      </c>
      <c r="AI126" s="616">
        <f t="shared" si="123"/>
        <v>0.24</v>
      </c>
      <c r="AJ126" s="616">
        <f t="shared" si="124"/>
        <v>0</v>
      </c>
      <c r="AK126" s="616">
        <f t="shared" si="125"/>
        <v>0</v>
      </c>
      <c r="AL126" s="616">
        <f t="shared" si="126"/>
        <v>3.04</v>
      </c>
      <c r="AM126" s="615">
        <f t="shared" si="127"/>
        <v>0.98</v>
      </c>
      <c r="AN126" s="616">
        <f t="shared" si="128"/>
        <v>0</v>
      </c>
      <c r="AO126" s="616">
        <f t="shared" si="129"/>
        <v>0</v>
      </c>
      <c r="AP126" s="616">
        <f t="shared" si="130"/>
        <v>0.48</v>
      </c>
      <c r="AQ126" s="637">
        <f t="shared" si="131"/>
        <v>0.5</v>
      </c>
      <c r="AR126" s="639">
        <f t="shared" si="116"/>
        <v>2.78464</v>
      </c>
      <c r="AS126" s="616">
        <f t="shared" si="91"/>
        <v>1.3696</v>
      </c>
      <c r="AT126" s="616">
        <f t="shared" si="92"/>
        <v>0.4224</v>
      </c>
      <c r="AU126" s="616">
        <f t="shared" si="93"/>
        <v>0.3168</v>
      </c>
      <c r="AV126" s="616">
        <f t="shared" si="94"/>
        <v>0.01056</v>
      </c>
      <c r="AW126" s="616">
        <f t="shared" si="95"/>
        <v>0.03168</v>
      </c>
      <c r="AX126" s="616">
        <f t="shared" si="96"/>
        <v>0.6336</v>
      </c>
      <c r="AY126" s="618"/>
      <c r="AZ126" s="615">
        <f t="shared" si="97"/>
        <v>0.03852</v>
      </c>
      <c r="BA126" s="616">
        <f t="shared" si="98"/>
        <v>0.0144</v>
      </c>
      <c r="BB126" s="616">
        <f t="shared" si="99"/>
        <v>0.0072</v>
      </c>
      <c r="BC126" s="616">
        <f t="shared" si="100"/>
        <v>0.0054</v>
      </c>
      <c r="BD126" s="616">
        <f t="shared" si="101"/>
        <v>0.00018</v>
      </c>
      <c r="BE126" s="616">
        <f t="shared" si="102"/>
        <v>0.00054</v>
      </c>
      <c r="BF126" s="616">
        <f t="shared" si="103"/>
        <v>0.0108</v>
      </c>
      <c r="BG126" s="616"/>
      <c r="BH126" s="615">
        <f t="shared" si="104"/>
        <v>2.82316</v>
      </c>
      <c r="BI126" s="616">
        <f t="shared" si="105"/>
        <v>1.384</v>
      </c>
      <c r="BJ126" s="616">
        <f t="shared" si="106"/>
        <v>0.4296</v>
      </c>
      <c r="BK126" s="616">
        <f t="shared" si="107"/>
        <v>0.3222</v>
      </c>
      <c r="BL126" s="616">
        <f t="shared" si="108"/>
        <v>0.01074</v>
      </c>
      <c r="BM126" s="616">
        <f t="shared" si="109"/>
        <v>0.03222</v>
      </c>
      <c r="BN126" s="616">
        <f t="shared" si="110"/>
        <v>0.6444</v>
      </c>
      <c r="BO126" s="616"/>
      <c r="BP126" s="304"/>
    </row>
    <row r="127" s="131" customFormat="1" ht="24" spans="1:68">
      <c r="A127" s="497" t="s">
        <v>202</v>
      </c>
      <c r="B127" s="497" t="s">
        <v>206</v>
      </c>
      <c r="C127" s="497" t="s">
        <v>371</v>
      </c>
      <c r="D127" s="497" t="s">
        <v>372</v>
      </c>
      <c r="E127" s="617">
        <f t="shared" si="112"/>
        <v>0</v>
      </c>
      <c r="F127" s="617">
        <f t="shared" si="117"/>
        <v>0</v>
      </c>
      <c r="G127" s="618"/>
      <c r="H127" s="618"/>
      <c r="I127" s="618"/>
      <c r="J127" s="618"/>
      <c r="K127" s="618"/>
      <c r="L127" s="618"/>
      <c r="M127" s="617">
        <f t="shared" si="113"/>
        <v>0</v>
      </c>
      <c r="N127" s="618"/>
      <c r="O127" s="618"/>
      <c r="P127" s="618"/>
      <c r="Q127" s="618"/>
      <c r="R127" s="617">
        <f t="shared" si="114"/>
        <v>0</v>
      </c>
      <c r="S127" s="615">
        <f t="shared" si="118"/>
        <v>0</v>
      </c>
      <c r="T127" s="618"/>
      <c r="U127" s="618"/>
      <c r="V127" s="618"/>
      <c r="W127" s="618"/>
      <c r="X127" s="618"/>
      <c r="Y127" s="618"/>
      <c r="Z127" s="617">
        <f t="shared" si="115"/>
        <v>0</v>
      </c>
      <c r="AA127" s="618"/>
      <c r="AB127" s="618"/>
      <c r="AC127" s="618"/>
      <c r="AD127" s="618"/>
      <c r="AE127" s="615">
        <f t="shared" si="119"/>
        <v>0</v>
      </c>
      <c r="AF127" s="615">
        <f t="shared" si="120"/>
        <v>0</v>
      </c>
      <c r="AG127" s="616">
        <f t="shared" si="121"/>
        <v>0</v>
      </c>
      <c r="AH127" s="616">
        <f t="shared" si="122"/>
        <v>0</v>
      </c>
      <c r="AI127" s="616">
        <f t="shared" si="123"/>
        <v>0</v>
      </c>
      <c r="AJ127" s="616">
        <f t="shared" si="124"/>
        <v>0</v>
      </c>
      <c r="AK127" s="616">
        <f t="shared" si="125"/>
        <v>0</v>
      </c>
      <c r="AL127" s="616">
        <f t="shared" si="126"/>
        <v>0</v>
      </c>
      <c r="AM127" s="615">
        <f t="shared" si="127"/>
        <v>0</v>
      </c>
      <c r="AN127" s="616">
        <f t="shared" si="128"/>
        <v>0</v>
      </c>
      <c r="AO127" s="616">
        <f t="shared" si="129"/>
        <v>0</v>
      </c>
      <c r="AP127" s="616">
        <f t="shared" si="130"/>
        <v>0</v>
      </c>
      <c r="AQ127" s="637">
        <f t="shared" si="131"/>
        <v>0</v>
      </c>
      <c r="AR127" s="639">
        <f t="shared" si="116"/>
        <v>0</v>
      </c>
      <c r="AS127" s="616">
        <f t="shared" si="91"/>
        <v>0</v>
      </c>
      <c r="AT127" s="616">
        <f t="shared" si="92"/>
        <v>0</v>
      </c>
      <c r="AU127" s="616">
        <f t="shared" si="93"/>
        <v>0</v>
      </c>
      <c r="AV127" s="616">
        <f t="shared" si="94"/>
        <v>0</v>
      </c>
      <c r="AW127" s="616">
        <f t="shared" si="95"/>
        <v>0</v>
      </c>
      <c r="AX127" s="616">
        <f t="shared" si="96"/>
        <v>0</v>
      </c>
      <c r="AY127" s="618"/>
      <c r="AZ127" s="615">
        <f t="shared" si="97"/>
        <v>0</v>
      </c>
      <c r="BA127" s="616">
        <f t="shared" si="98"/>
        <v>0</v>
      </c>
      <c r="BB127" s="616">
        <f t="shared" si="99"/>
        <v>0</v>
      </c>
      <c r="BC127" s="616">
        <f t="shared" si="100"/>
        <v>0</v>
      </c>
      <c r="BD127" s="616">
        <f t="shared" si="101"/>
        <v>0</v>
      </c>
      <c r="BE127" s="616">
        <f t="shared" si="102"/>
        <v>0</v>
      </c>
      <c r="BF127" s="616">
        <f t="shared" si="103"/>
        <v>0</v>
      </c>
      <c r="BG127" s="616"/>
      <c r="BH127" s="615">
        <f t="shared" si="104"/>
        <v>0</v>
      </c>
      <c r="BI127" s="616">
        <f t="shared" si="105"/>
        <v>0</v>
      </c>
      <c r="BJ127" s="616">
        <f t="shared" si="106"/>
        <v>0</v>
      </c>
      <c r="BK127" s="616">
        <f t="shared" si="107"/>
        <v>0</v>
      </c>
      <c r="BL127" s="616">
        <f t="shared" si="108"/>
        <v>0</v>
      </c>
      <c r="BM127" s="616">
        <f t="shared" si="109"/>
        <v>0</v>
      </c>
      <c r="BN127" s="616">
        <f t="shared" si="110"/>
        <v>0</v>
      </c>
      <c r="BO127" s="616"/>
      <c r="BP127" s="304"/>
    </row>
    <row r="128" s="131" customFormat="1" ht="24" spans="1:68">
      <c r="A128" s="497" t="s">
        <v>202</v>
      </c>
      <c r="B128" s="497" t="s">
        <v>206</v>
      </c>
      <c r="C128" s="497" t="s">
        <v>373</v>
      </c>
      <c r="D128" s="497" t="s">
        <v>372</v>
      </c>
      <c r="E128" s="617">
        <f t="shared" si="112"/>
        <v>0</v>
      </c>
      <c r="F128" s="617">
        <f t="shared" si="117"/>
        <v>0</v>
      </c>
      <c r="G128" s="618"/>
      <c r="H128" s="618"/>
      <c r="I128" s="618"/>
      <c r="J128" s="618"/>
      <c r="K128" s="618"/>
      <c r="L128" s="618"/>
      <c r="M128" s="617">
        <f t="shared" si="113"/>
        <v>0</v>
      </c>
      <c r="N128" s="618"/>
      <c r="O128" s="618"/>
      <c r="P128" s="618"/>
      <c r="Q128" s="618"/>
      <c r="R128" s="617">
        <f t="shared" si="114"/>
        <v>0</v>
      </c>
      <c r="S128" s="615">
        <f t="shared" si="118"/>
        <v>0</v>
      </c>
      <c r="T128" s="618"/>
      <c r="U128" s="618"/>
      <c r="V128" s="618"/>
      <c r="W128" s="618"/>
      <c r="X128" s="618"/>
      <c r="Y128" s="618"/>
      <c r="Z128" s="617">
        <f t="shared" si="115"/>
        <v>0</v>
      </c>
      <c r="AA128" s="618"/>
      <c r="AB128" s="618"/>
      <c r="AC128" s="618"/>
      <c r="AD128" s="618"/>
      <c r="AE128" s="615">
        <f t="shared" si="119"/>
        <v>0</v>
      </c>
      <c r="AF128" s="615">
        <f t="shared" si="120"/>
        <v>0</v>
      </c>
      <c r="AG128" s="616">
        <f t="shared" si="121"/>
        <v>0</v>
      </c>
      <c r="AH128" s="616">
        <f t="shared" si="122"/>
        <v>0</v>
      </c>
      <c r="AI128" s="616">
        <f t="shared" si="123"/>
        <v>0</v>
      </c>
      <c r="AJ128" s="616">
        <f t="shared" si="124"/>
        <v>0</v>
      </c>
      <c r="AK128" s="616">
        <f t="shared" si="125"/>
        <v>0</v>
      </c>
      <c r="AL128" s="616">
        <f t="shared" si="126"/>
        <v>0</v>
      </c>
      <c r="AM128" s="615">
        <f t="shared" si="127"/>
        <v>0</v>
      </c>
      <c r="AN128" s="616">
        <f t="shared" si="128"/>
        <v>0</v>
      </c>
      <c r="AO128" s="616">
        <f t="shared" si="129"/>
        <v>0</v>
      </c>
      <c r="AP128" s="616">
        <f t="shared" si="130"/>
        <v>0</v>
      </c>
      <c r="AQ128" s="637">
        <f t="shared" si="131"/>
        <v>0</v>
      </c>
      <c r="AR128" s="639">
        <f t="shared" si="116"/>
        <v>0</v>
      </c>
      <c r="AS128" s="616">
        <f t="shared" si="91"/>
        <v>0</v>
      </c>
      <c r="AT128" s="616">
        <f t="shared" si="92"/>
        <v>0</v>
      </c>
      <c r="AU128" s="616">
        <f t="shared" si="93"/>
        <v>0</v>
      </c>
      <c r="AV128" s="616">
        <f t="shared" si="94"/>
        <v>0</v>
      </c>
      <c r="AW128" s="616">
        <f t="shared" si="95"/>
        <v>0</v>
      </c>
      <c r="AX128" s="616">
        <f t="shared" si="96"/>
        <v>0</v>
      </c>
      <c r="AY128" s="618"/>
      <c r="AZ128" s="615">
        <f t="shared" si="97"/>
        <v>0</v>
      </c>
      <c r="BA128" s="616">
        <f t="shared" si="98"/>
        <v>0</v>
      </c>
      <c r="BB128" s="616">
        <f t="shared" si="99"/>
        <v>0</v>
      </c>
      <c r="BC128" s="616">
        <f t="shared" si="100"/>
        <v>0</v>
      </c>
      <c r="BD128" s="616">
        <f t="shared" si="101"/>
        <v>0</v>
      </c>
      <c r="BE128" s="616">
        <f t="shared" si="102"/>
        <v>0</v>
      </c>
      <c r="BF128" s="616">
        <f t="shared" si="103"/>
        <v>0</v>
      </c>
      <c r="BG128" s="616"/>
      <c r="BH128" s="615">
        <f t="shared" si="104"/>
        <v>0</v>
      </c>
      <c r="BI128" s="616">
        <f t="shared" si="105"/>
        <v>0</v>
      </c>
      <c r="BJ128" s="616">
        <f t="shared" si="106"/>
        <v>0</v>
      </c>
      <c r="BK128" s="616">
        <f t="shared" si="107"/>
        <v>0</v>
      </c>
      <c r="BL128" s="616">
        <f t="shared" si="108"/>
        <v>0</v>
      </c>
      <c r="BM128" s="616">
        <f t="shared" si="109"/>
        <v>0</v>
      </c>
      <c r="BN128" s="616">
        <f t="shared" si="110"/>
        <v>0</v>
      </c>
      <c r="BO128" s="616"/>
      <c r="BP128" s="304"/>
    </row>
    <row r="129" s="131" customFormat="1" ht="24" spans="1:68">
      <c r="A129" s="497" t="s">
        <v>202</v>
      </c>
      <c r="B129" s="497" t="s">
        <v>206</v>
      </c>
      <c r="C129" s="497" t="s">
        <v>374</v>
      </c>
      <c r="D129" s="497" t="s">
        <v>372</v>
      </c>
      <c r="E129" s="617">
        <f t="shared" si="112"/>
        <v>0</v>
      </c>
      <c r="F129" s="617">
        <f t="shared" si="117"/>
        <v>0</v>
      </c>
      <c r="G129" s="618"/>
      <c r="H129" s="618"/>
      <c r="I129" s="618"/>
      <c r="J129" s="618"/>
      <c r="K129" s="618"/>
      <c r="L129" s="618"/>
      <c r="M129" s="617">
        <f t="shared" si="113"/>
        <v>0</v>
      </c>
      <c r="N129" s="618"/>
      <c r="O129" s="618"/>
      <c r="P129" s="618"/>
      <c r="Q129" s="618"/>
      <c r="R129" s="617">
        <f t="shared" si="114"/>
        <v>0</v>
      </c>
      <c r="S129" s="615">
        <f t="shared" si="118"/>
        <v>0</v>
      </c>
      <c r="T129" s="618"/>
      <c r="U129" s="618"/>
      <c r="V129" s="618"/>
      <c r="W129" s="618"/>
      <c r="X129" s="618"/>
      <c r="Y129" s="618"/>
      <c r="Z129" s="617">
        <f t="shared" si="115"/>
        <v>0</v>
      </c>
      <c r="AA129" s="618"/>
      <c r="AB129" s="618"/>
      <c r="AC129" s="618"/>
      <c r="AD129" s="618"/>
      <c r="AE129" s="615">
        <f t="shared" si="119"/>
        <v>0</v>
      </c>
      <c r="AF129" s="615">
        <f t="shared" si="120"/>
        <v>0</v>
      </c>
      <c r="AG129" s="616">
        <f t="shared" si="121"/>
        <v>0</v>
      </c>
      <c r="AH129" s="616">
        <f t="shared" si="122"/>
        <v>0</v>
      </c>
      <c r="AI129" s="616">
        <f t="shared" si="123"/>
        <v>0</v>
      </c>
      <c r="AJ129" s="616">
        <f t="shared" si="124"/>
        <v>0</v>
      </c>
      <c r="AK129" s="616">
        <f t="shared" si="125"/>
        <v>0</v>
      </c>
      <c r="AL129" s="616">
        <f t="shared" si="126"/>
        <v>0</v>
      </c>
      <c r="AM129" s="615">
        <f t="shared" si="127"/>
        <v>0</v>
      </c>
      <c r="AN129" s="616">
        <f t="shared" si="128"/>
        <v>0</v>
      </c>
      <c r="AO129" s="616">
        <f t="shared" si="129"/>
        <v>0</v>
      </c>
      <c r="AP129" s="616">
        <f t="shared" si="130"/>
        <v>0</v>
      </c>
      <c r="AQ129" s="637">
        <f t="shared" si="131"/>
        <v>0</v>
      </c>
      <c r="AR129" s="639">
        <f t="shared" si="116"/>
        <v>0</v>
      </c>
      <c r="AS129" s="616">
        <f t="shared" si="91"/>
        <v>0</v>
      </c>
      <c r="AT129" s="616">
        <f t="shared" si="92"/>
        <v>0</v>
      </c>
      <c r="AU129" s="616">
        <f t="shared" si="93"/>
        <v>0</v>
      </c>
      <c r="AV129" s="616">
        <f t="shared" si="94"/>
        <v>0</v>
      </c>
      <c r="AW129" s="616">
        <f t="shared" si="95"/>
        <v>0</v>
      </c>
      <c r="AX129" s="616">
        <f t="shared" si="96"/>
        <v>0</v>
      </c>
      <c r="AY129" s="618"/>
      <c r="AZ129" s="615">
        <f t="shared" si="97"/>
        <v>0</v>
      </c>
      <c r="BA129" s="616">
        <f t="shared" si="98"/>
        <v>0</v>
      </c>
      <c r="BB129" s="616">
        <f t="shared" si="99"/>
        <v>0</v>
      </c>
      <c r="BC129" s="616">
        <f t="shared" si="100"/>
        <v>0</v>
      </c>
      <c r="BD129" s="616">
        <f t="shared" si="101"/>
        <v>0</v>
      </c>
      <c r="BE129" s="616">
        <f t="shared" si="102"/>
        <v>0</v>
      </c>
      <c r="BF129" s="616">
        <f t="shared" si="103"/>
        <v>0</v>
      </c>
      <c r="BG129" s="616"/>
      <c r="BH129" s="615">
        <f t="shared" si="104"/>
        <v>0</v>
      </c>
      <c r="BI129" s="616">
        <f t="shared" si="105"/>
        <v>0</v>
      </c>
      <c r="BJ129" s="616">
        <f t="shared" si="106"/>
        <v>0</v>
      </c>
      <c r="BK129" s="616">
        <f t="shared" si="107"/>
        <v>0</v>
      </c>
      <c r="BL129" s="616">
        <f t="shared" si="108"/>
        <v>0</v>
      </c>
      <c r="BM129" s="616">
        <f t="shared" si="109"/>
        <v>0</v>
      </c>
      <c r="BN129" s="616">
        <f t="shared" si="110"/>
        <v>0</v>
      </c>
      <c r="BO129" s="616"/>
      <c r="BP129" s="304"/>
    </row>
    <row r="130" s="130" customFormat="1" ht="24" spans="1:68">
      <c r="A130" s="497" t="s">
        <v>202</v>
      </c>
      <c r="B130" s="497" t="s">
        <v>203</v>
      </c>
      <c r="C130" s="497" t="s">
        <v>375</v>
      </c>
      <c r="D130" s="497" t="s">
        <v>376</v>
      </c>
      <c r="E130" s="615">
        <f t="shared" si="112"/>
        <v>867.94</v>
      </c>
      <c r="F130" s="615">
        <f t="shared" si="117"/>
        <v>770.5</v>
      </c>
      <c r="G130" s="616">
        <v>306.8</v>
      </c>
      <c r="H130" s="616">
        <v>192.45</v>
      </c>
      <c r="I130" s="616">
        <v>25.57</v>
      </c>
      <c r="J130" s="616">
        <v>6.6</v>
      </c>
      <c r="K130" s="616"/>
      <c r="L130" s="616">
        <v>239.08</v>
      </c>
      <c r="M130" s="615">
        <f t="shared" si="113"/>
        <v>97.44</v>
      </c>
      <c r="N130" s="616">
        <v>22.89</v>
      </c>
      <c r="O130" s="616"/>
      <c r="P130" s="616">
        <v>39.05</v>
      </c>
      <c r="Q130" s="616">
        <v>35.5</v>
      </c>
      <c r="R130" s="615">
        <f t="shared" si="114"/>
        <v>-5.11</v>
      </c>
      <c r="S130" s="615">
        <f t="shared" si="118"/>
        <v>-6.24</v>
      </c>
      <c r="T130" s="616">
        <v>-34.46</v>
      </c>
      <c r="U130" s="616"/>
      <c r="V130" s="616">
        <v>-1.53</v>
      </c>
      <c r="W130" s="616">
        <v>1.09</v>
      </c>
      <c r="X130" s="616"/>
      <c r="Y130" s="616">
        <v>28.66</v>
      </c>
      <c r="Z130" s="615">
        <f t="shared" si="115"/>
        <v>1.13</v>
      </c>
      <c r="AA130" s="616">
        <v>1.08</v>
      </c>
      <c r="AB130" s="616">
        <f>0.15+1.65</f>
        <v>1.8</v>
      </c>
      <c r="AC130" s="616">
        <v>-1.75</v>
      </c>
      <c r="AD130" s="616"/>
      <c r="AE130" s="615">
        <f t="shared" si="119"/>
        <v>862.83</v>
      </c>
      <c r="AF130" s="615">
        <f t="shared" si="120"/>
        <v>764.26</v>
      </c>
      <c r="AG130" s="616">
        <f t="shared" si="121"/>
        <v>272.34</v>
      </c>
      <c r="AH130" s="616">
        <f t="shared" si="122"/>
        <v>192.45</v>
      </c>
      <c r="AI130" s="616">
        <f t="shared" si="123"/>
        <v>24.04</v>
      </c>
      <c r="AJ130" s="616">
        <f t="shared" si="124"/>
        <v>7.69</v>
      </c>
      <c r="AK130" s="616">
        <f t="shared" si="125"/>
        <v>0</v>
      </c>
      <c r="AL130" s="616">
        <f t="shared" si="126"/>
        <v>267.74</v>
      </c>
      <c r="AM130" s="615">
        <f t="shared" si="127"/>
        <v>98.57</v>
      </c>
      <c r="AN130" s="616">
        <f t="shared" si="128"/>
        <v>23.97</v>
      </c>
      <c r="AO130" s="616">
        <f t="shared" si="129"/>
        <v>1.8</v>
      </c>
      <c r="AP130" s="616">
        <f t="shared" si="130"/>
        <v>37.3</v>
      </c>
      <c r="AQ130" s="637">
        <f t="shared" si="131"/>
        <v>35.5</v>
      </c>
      <c r="AR130" s="638">
        <f t="shared" si="116"/>
        <v>256.023</v>
      </c>
      <c r="AS130" s="616">
        <f t="shared" si="91"/>
        <v>122.224</v>
      </c>
      <c r="AT130" s="616">
        <f t="shared" si="92"/>
        <v>39.94</v>
      </c>
      <c r="AU130" s="616">
        <f t="shared" si="93"/>
        <v>29.955</v>
      </c>
      <c r="AV130" s="616">
        <f t="shared" si="94"/>
        <v>0.9985</v>
      </c>
      <c r="AW130" s="616">
        <f t="shared" si="95"/>
        <v>2.9955</v>
      </c>
      <c r="AX130" s="616">
        <f t="shared" si="96"/>
        <v>59.91</v>
      </c>
      <c r="AY130" s="616"/>
      <c r="AZ130" s="615">
        <f t="shared" si="97"/>
        <v>-10.40808</v>
      </c>
      <c r="BA130" s="616">
        <f t="shared" si="98"/>
        <v>-1.1728</v>
      </c>
      <c r="BB130" s="616">
        <f t="shared" si="99"/>
        <v>-2.7568</v>
      </c>
      <c r="BC130" s="616">
        <f t="shared" si="100"/>
        <v>-2.0676</v>
      </c>
      <c r="BD130" s="616">
        <f t="shared" si="101"/>
        <v>-0.06892</v>
      </c>
      <c r="BE130" s="616">
        <f t="shared" si="102"/>
        <v>-0.20676</v>
      </c>
      <c r="BF130" s="616">
        <f t="shared" si="103"/>
        <v>-4.1352</v>
      </c>
      <c r="BG130" s="616"/>
      <c r="BH130" s="615">
        <f t="shared" si="104"/>
        <v>245.61492</v>
      </c>
      <c r="BI130" s="616">
        <f t="shared" si="105"/>
        <v>121.0512</v>
      </c>
      <c r="BJ130" s="616">
        <f t="shared" si="106"/>
        <v>37.1832</v>
      </c>
      <c r="BK130" s="616">
        <f t="shared" si="107"/>
        <v>27.8874</v>
      </c>
      <c r="BL130" s="616">
        <f t="shared" si="108"/>
        <v>0.92958</v>
      </c>
      <c r="BM130" s="616">
        <f t="shared" si="109"/>
        <v>2.78874</v>
      </c>
      <c r="BN130" s="616">
        <f t="shared" si="110"/>
        <v>55.7748</v>
      </c>
      <c r="BO130" s="616"/>
      <c r="BP130" s="304"/>
    </row>
    <row r="131" s="130" customFormat="1" ht="24" spans="1:68">
      <c r="A131" s="497" t="s">
        <v>202</v>
      </c>
      <c r="B131" s="497" t="s">
        <v>206</v>
      </c>
      <c r="C131" s="497" t="s">
        <v>377</v>
      </c>
      <c r="D131" s="497" t="s">
        <v>378</v>
      </c>
      <c r="E131" s="615">
        <f t="shared" si="112"/>
        <v>0</v>
      </c>
      <c r="F131" s="615">
        <f t="shared" si="117"/>
        <v>0</v>
      </c>
      <c r="G131" s="616"/>
      <c r="H131" s="616"/>
      <c r="I131" s="616"/>
      <c r="J131" s="616"/>
      <c r="K131" s="616"/>
      <c r="L131" s="616"/>
      <c r="M131" s="615">
        <f t="shared" si="113"/>
        <v>0</v>
      </c>
      <c r="N131" s="616"/>
      <c r="O131" s="616"/>
      <c r="P131" s="616"/>
      <c r="Q131" s="616"/>
      <c r="R131" s="615">
        <f t="shared" si="114"/>
        <v>0</v>
      </c>
      <c r="S131" s="615">
        <f t="shared" si="118"/>
        <v>0</v>
      </c>
      <c r="T131" s="616"/>
      <c r="U131" s="616"/>
      <c r="V131" s="616"/>
      <c r="W131" s="616"/>
      <c r="X131" s="616"/>
      <c r="Y131" s="616"/>
      <c r="Z131" s="615">
        <f t="shared" si="115"/>
        <v>0</v>
      </c>
      <c r="AA131" s="616"/>
      <c r="AB131" s="616"/>
      <c r="AC131" s="616"/>
      <c r="AD131" s="616"/>
      <c r="AE131" s="615">
        <f t="shared" si="119"/>
        <v>0</v>
      </c>
      <c r="AF131" s="615">
        <f t="shared" si="120"/>
        <v>0</v>
      </c>
      <c r="AG131" s="616">
        <f t="shared" si="121"/>
        <v>0</v>
      </c>
      <c r="AH131" s="616">
        <f t="shared" si="122"/>
        <v>0</v>
      </c>
      <c r="AI131" s="616">
        <f t="shared" si="123"/>
        <v>0</v>
      </c>
      <c r="AJ131" s="616">
        <f t="shared" si="124"/>
        <v>0</v>
      </c>
      <c r="AK131" s="616">
        <f t="shared" si="125"/>
        <v>0</v>
      </c>
      <c r="AL131" s="616">
        <f t="shared" si="126"/>
        <v>0</v>
      </c>
      <c r="AM131" s="615">
        <f t="shared" si="127"/>
        <v>0</v>
      </c>
      <c r="AN131" s="616">
        <f t="shared" si="128"/>
        <v>0</v>
      </c>
      <c r="AO131" s="616">
        <f t="shared" si="129"/>
        <v>0</v>
      </c>
      <c r="AP131" s="616">
        <f t="shared" si="130"/>
        <v>0</v>
      </c>
      <c r="AQ131" s="637">
        <f t="shared" si="131"/>
        <v>0</v>
      </c>
      <c r="AR131" s="638">
        <f t="shared" si="116"/>
        <v>0</v>
      </c>
      <c r="AS131" s="616">
        <f t="shared" si="91"/>
        <v>0</v>
      </c>
      <c r="AT131" s="616">
        <f t="shared" si="92"/>
        <v>0</v>
      </c>
      <c r="AU131" s="616">
        <f t="shared" si="93"/>
        <v>0</v>
      </c>
      <c r="AV131" s="616">
        <f t="shared" si="94"/>
        <v>0</v>
      </c>
      <c r="AW131" s="616">
        <f t="shared" si="95"/>
        <v>0</v>
      </c>
      <c r="AX131" s="616">
        <f t="shared" si="96"/>
        <v>0</v>
      </c>
      <c r="AY131" s="616"/>
      <c r="AZ131" s="615">
        <f t="shared" si="97"/>
        <v>0</v>
      </c>
      <c r="BA131" s="616">
        <f t="shared" si="98"/>
        <v>0</v>
      </c>
      <c r="BB131" s="616">
        <f t="shared" si="99"/>
        <v>0</v>
      </c>
      <c r="BC131" s="616">
        <f t="shared" si="100"/>
        <v>0</v>
      </c>
      <c r="BD131" s="616">
        <f t="shared" si="101"/>
        <v>0</v>
      </c>
      <c r="BE131" s="616">
        <f t="shared" si="102"/>
        <v>0</v>
      </c>
      <c r="BF131" s="616">
        <f t="shared" si="103"/>
        <v>0</v>
      </c>
      <c r="BG131" s="616"/>
      <c r="BH131" s="615">
        <f t="shared" si="104"/>
        <v>0</v>
      </c>
      <c r="BI131" s="616">
        <f t="shared" si="105"/>
        <v>0</v>
      </c>
      <c r="BJ131" s="616">
        <f t="shared" si="106"/>
        <v>0</v>
      </c>
      <c r="BK131" s="616">
        <f t="shared" si="107"/>
        <v>0</v>
      </c>
      <c r="BL131" s="616">
        <f t="shared" si="108"/>
        <v>0</v>
      </c>
      <c r="BM131" s="616">
        <f t="shared" si="109"/>
        <v>0</v>
      </c>
      <c r="BN131" s="616">
        <f t="shared" si="110"/>
        <v>0</v>
      </c>
      <c r="BO131" s="616"/>
      <c r="BP131" s="304"/>
    </row>
    <row r="132" s="130" customFormat="1" ht="24" spans="1:68">
      <c r="A132" s="497" t="s">
        <v>202</v>
      </c>
      <c r="B132" s="497" t="s">
        <v>206</v>
      </c>
      <c r="C132" s="497" t="s">
        <v>379</v>
      </c>
      <c r="D132" s="497" t="s">
        <v>378</v>
      </c>
      <c r="E132" s="615">
        <f t="shared" si="112"/>
        <v>0</v>
      </c>
      <c r="F132" s="615">
        <f t="shared" si="117"/>
        <v>0</v>
      </c>
      <c r="G132" s="616"/>
      <c r="H132" s="616"/>
      <c r="I132" s="616"/>
      <c r="J132" s="616"/>
      <c r="K132" s="616"/>
      <c r="L132" s="616"/>
      <c r="M132" s="615">
        <f t="shared" si="113"/>
        <v>0</v>
      </c>
      <c r="N132" s="616"/>
      <c r="O132" s="616"/>
      <c r="P132" s="616"/>
      <c r="Q132" s="616"/>
      <c r="R132" s="615">
        <f t="shared" si="114"/>
        <v>0</v>
      </c>
      <c r="S132" s="615">
        <f t="shared" si="118"/>
        <v>0</v>
      </c>
      <c r="T132" s="616"/>
      <c r="U132" s="616"/>
      <c r="V132" s="616"/>
      <c r="W132" s="616"/>
      <c r="X132" s="616"/>
      <c r="Y132" s="616"/>
      <c r="Z132" s="615">
        <f t="shared" si="115"/>
        <v>0</v>
      </c>
      <c r="AA132" s="616"/>
      <c r="AB132" s="616"/>
      <c r="AC132" s="616"/>
      <c r="AD132" s="616"/>
      <c r="AE132" s="615">
        <f t="shared" si="119"/>
        <v>0</v>
      </c>
      <c r="AF132" s="615">
        <f t="shared" si="120"/>
        <v>0</v>
      </c>
      <c r="AG132" s="616">
        <f t="shared" si="121"/>
        <v>0</v>
      </c>
      <c r="AH132" s="616">
        <f t="shared" si="122"/>
        <v>0</v>
      </c>
      <c r="AI132" s="616">
        <f t="shared" si="123"/>
        <v>0</v>
      </c>
      <c r="AJ132" s="616">
        <f t="shared" si="124"/>
        <v>0</v>
      </c>
      <c r="AK132" s="616">
        <f t="shared" si="125"/>
        <v>0</v>
      </c>
      <c r="AL132" s="616">
        <f t="shared" si="126"/>
        <v>0</v>
      </c>
      <c r="AM132" s="615">
        <f t="shared" si="127"/>
        <v>0</v>
      </c>
      <c r="AN132" s="616">
        <f t="shared" si="128"/>
        <v>0</v>
      </c>
      <c r="AO132" s="616">
        <f t="shared" si="129"/>
        <v>0</v>
      </c>
      <c r="AP132" s="616">
        <f t="shared" si="130"/>
        <v>0</v>
      </c>
      <c r="AQ132" s="637">
        <f t="shared" si="131"/>
        <v>0</v>
      </c>
      <c r="AR132" s="638">
        <f t="shared" si="116"/>
        <v>0</v>
      </c>
      <c r="AS132" s="616">
        <f t="shared" si="91"/>
        <v>0</v>
      </c>
      <c r="AT132" s="616">
        <f t="shared" si="92"/>
        <v>0</v>
      </c>
      <c r="AU132" s="616">
        <f t="shared" si="93"/>
        <v>0</v>
      </c>
      <c r="AV132" s="616">
        <f t="shared" si="94"/>
        <v>0</v>
      </c>
      <c r="AW132" s="616">
        <f t="shared" si="95"/>
        <v>0</v>
      </c>
      <c r="AX132" s="616">
        <f t="shared" si="96"/>
        <v>0</v>
      </c>
      <c r="AY132" s="616"/>
      <c r="AZ132" s="615">
        <f t="shared" si="97"/>
        <v>0</v>
      </c>
      <c r="BA132" s="616">
        <f t="shared" si="98"/>
        <v>0</v>
      </c>
      <c r="BB132" s="616">
        <f t="shared" si="99"/>
        <v>0</v>
      </c>
      <c r="BC132" s="616">
        <f t="shared" si="100"/>
        <v>0</v>
      </c>
      <c r="BD132" s="616">
        <f t="shared" si="101"/>
        <v>0</v>
      </c>
      <c r="BE132" s="616">
        <f t="shared" si="102"/>
        <v>0</v>
      </c>
      <c r="BF132" s="616">
        <f t="shared" si="103"/>
        <v>0</v>
      </c>
      <c r="BG132" s="616"/>
      <c r="BH132" s="615">
        <f t="shared" si="104"/>
        <v>0</v>
      </c>
      <c r="BI132" s="616">
        <f t="shared" si="105"/>
        <v>0</v>
      </c>
      <c r="BJ132" s="616">
        <f t="shared" si="106"/>
        <v>0</v>
      </c>
      <c r="BK132" s="616">
        <f t="shared" si="107"/>
        <v>0</v>
      </c>
      <c r="BL132" s="616">
        <f t="shared" si="108"/>
        <v>0</v>
      </c>
      <c r="BM132" s="616">
        <f t="shared" si="109"/>
        <v>0</v>
      </c>
      <c r="BN132" s="616">
        <f t="shared" si="110"/>
        <v>0</v>
      </c>
      <c r="BO132" s="616"/>
      <c r="BP132" s="304"/>
    </row>
    <row r="133" s="130" customFormat="1" ht="24" spans="1:68">
      <c r="A133" s="497" t="s">
        <v>202</v>
      </c>
      <c r="B133" s="497" t="s">
        <v>206</v>
      </c>
      <c r="C133" s="497" t="s">
        <v>380</v>
      </c>
      <c r="D133" s="497" t="s">
        <v>378</v>
      </c>
      <c r="E133" s="615">
        <f t="shared" si="112"/>
        <v>0</v>
      </c>
      <c r="F133" s="615">
        <f t="shared" si="117"/>
        <v>0</v>
      </c>
      <c r="G133" s="616"/>
      <c r="H133" s="616"/>
      <c r="I133" s="616"/>
      <c r="J133" s="616"/>
      <c r="K133" s="616"/>
      <c r="L133" s="616"/>
      <c r="M133" s="615">
        <f t="shared" si="113"/>
        <v>0</v>
      </c>
      <c r="N133" s="616"/>
      <c r="O133" s="616"/>
      <c r="P133" s="616"/>
      <c r="Q133" s="616"/>
      <c r="R133" s="615">
        <f t="shared" si="114"/>
        <v>0</v>
      </c>
      <c r="S133" s="615">
        <f t="shared" si="118"/>
        <v>0</v>
      </c>
      <c r="T133" s="616"/>
      <c r="U133" s="616"/>
      <c r="V133" s="616"/>
      <c r="W133" s="616"/>
      <c r="X133" s="616"/>
      <c r="Y133" s="616"/>
      <c r="Z133" s="615">
        <f t="shared" si="115"/>
        <v>0</v>
      </c>
      <c r="AA133" s="616"/>
      <c r="AB133" s="616"/>
      <c r="AC133" s="616"/>
      <c r="AD133" s="616"/>
      <c r="AE133" s="615">
        <f t="shared" si="119"/>
        <v>0</v>
      </c>
      <c r="AF133" s="615">
        <f t="shared" si="120"/>
        <v>0</v>
      </c>
      <c r="AG133" s="616">
        <f t="shared" si="121"/>
        <v>0</v>
      </c>
      <c r="AH133" s="616">
        <f t="shared" si="122"/>
        <v>0</v>
      </c>
      <c r="AI133" s="616">
        <f t="shared" si="123"/>
        <v>0</v>
      </c>
      <c r="AJ133" s="616">
        <f t="shared" si="124"/>
        <v>0</v>
      </c>
      <c r="AK133" s="616">
        <f t="shared" si="125"/>
        <v>0</v>
      </c>
      <c r="AL133" s="616">
        <f t="shared" si="126"/>
        <v>0</v>
      </c>
      <c r="AM133" s="615">
        <f t="shared" si="127"/>
        <v>0</v>
      </c>
      <c r="AN133" s="616">
        <f t="shared" si="128"/>
        <v>0</v>
      </c>
      <c r="AO133" s="616">
        <f t="shared" si="129"/>
        <v>0</v>
      </c>
      <c r="AP133" s="616">
        <f t="shared" si="130"/>
        <v>0</v>
      </c>
      <c r="AQ133" s="637">
        <f t="shared" si="131"/>
        <v>0</v>
      </c>
      <c r="AR133" s="638">
        <f t="shared" si="116"/>
        <v>0</v>
      </c>
      <c r="AS133" s="616">
        <f t="shared" si="91"/>
        <v>0</v>
      </c>
      <c r="AT133" s="616">
        <f t="shared" si="92"/>
        <v>0</v>
      </c>
      <c r="AU133" s="616">
        <f t="shared" si="93"/>
        <v>0</v>
      </c>
      <c r="AV133" s="616">
        <f t="shared" si="94"/>
        <v>0</v>
      </c>
      <c r="AW133" s="616">
        <f t="shared" si="95"/>
        <v>0</v>
      </c>
      <c r="AX133" s="616">
        <f t="shared" si="96"/>
        <v>0</v>
      </c>
      <c r="AY133" s="616"/>
      <c r="AZ133" s="615">
        <f t="shared" si="97"/>
        <v>0</v>
      </c>
      <c r="BA133" s="616">
        <f t="shared" si="98"/>
        <v>0</v>
      </c>
      <c r="BB133" s="616">
        <f t="shared" si="99"/>
        <v>0</v>
      </c>
      <c r="BC133" s="616">
        <f t="shared" si="100"/>
        <v>0</v>
      </c>
      <c r="BD133" s="616">
        <f t="shared" si="101"/>
        <v>0</v>
      </c>
      <c r="BE133" s="616">
        <f t="shared" si="102"/>
        <v>0</v>
      </c>
      <c r="BF133" s="616">
        <f t="shared" si="103"/>
        <v>0</v>
      </c>
      <c r="BG133" s="616"/>
      <c r="BH133" s="615">
        <f t="shared" si="104"/>
        <v>0</v>
      </c>
      <c r="BI133" s="616">
        <f t="shared" si="105"/>
        <v>0</v>
      </c>
      <c r="BJ133" s="616">
        <f t="shared" si="106"/>
        <v>0</v>
      </c>
      <c r="BK133" s="616">
        <f t="shared" si="107"/>
        <v>0</v>
      </c>
      <c r="BL133" s="616">
        <f t="shared" si="108"/>
        <v>0</v>
      </c>
      <c r="BM133" s="616">
        <f t="shared" si="109"/>
        <v>0</v>
      </c>
      <c r="BN133" s="616">
        <f t="shared" si="110"/>
        <v>0</v>
      </c>
      <c r="BO133" s="616"/>
      <c r="BP133" s="304"/>
    </row>
    <row r="134" s="547" customFormat="1" ht="23" customHeight="1" spans="1:69">
      <c r="A134" s="647"/>
      <c r="B134" s="647"/>
      <c r="C134" s="647" t="s">
        <v>128</v>
      </c>
      <c r="D134" s="648">
        <v>204</v>
      </c>
      <c r="E134" s="642">
        <f t="shared" ref="E134:P134" si="132">SUM(E135:E144)</f>
        <v>6584.22</v>
      </c>
      <c r="F134" s="642">
        <f t="shared" si="132"/>
        <v>4991.78</v>
      </c>
      <c r="G134" s="642">
        <f t="shared" si="132"/>
        <v>1642.44</v>
      </c>
      <c r="H134" s="642">
        <f t="shared" si="132"/>
        <v>1775.91</v>
      </c>
      <c r="I134" s="642">
        <f t="shared" si="132"/>
        <v>137.32</v>
      </c>
      <c r="J134" s="642">
        <f t="shared" si="132"/>
        <v>8.28</v>
      </c>
      <c r="K134" s="642">
        <f t="shared" si="132"/>
        <v>91.58</v>
      </c>
      <c r="L134" s="642">
        <f t="shared" si="132"/>
        <v>1336.25</v>
      </c>
      <c r="M134" s="642">
        <f t="shared" si="132"/>
        <v>1592.44</v>
      </c>
      <c r="N134" s="642">
        <f t="shared" si="132"/>
        <v>1208.19</v>
      </c>
      <c r="O134" s="642">
        <f t="shared" si="132"/>
        <v>3.6</v>
      </c>
      <c r="P134" s="642">
        <f t="shared" si="132"/>
        <v>199.15</v>
      </c>
      <c r="Q134" s="642">
        <f t="shared" ref="Q134:AE134" si="133">SUM(Q135:Q144)</f>
        <v>181.5</v>
      </c>
      <c r="R134" s="642">
        <f t="shared" si="133"/>
        <v>-172.72</v>
      </c>
      <c r="S134" s="642">
        <f t="shared" si="133"/>
        <v>-226.1</v>
      </c>
      <c r="T134" s="642">
        <f t="shared" si="133"/>
        <v>-102.06</v>
      </c>
      <c r="U134" s="642">
        <f t="shared" si="133"/>
        <v>-81.58</v>
      </c>
      <c r="V134" s="642">
        <f t="shared" si="133"/>
        <v>21.83</v>
      </c>
      <c r="W134" s="642">
        <f t="shared" si="133"/>
        <v>-0.18</v>
      </c>
      <c r="X134" s="642">
        <f t="shared" si="133"/>
        <v>-1.74</v>
      </c>
      <c r="Y134" s="642">
        <f t="shared" si="133"/>
        <v>-62.37</v>
      </c>
      <c r="Z134" s="642">
        <f t="shared" si="133"/>
        <v>53.38</v>
      </c>
      <c r="AA134" s="642">
        <f t="shared" si="133"/>
        <v>18.96</v>
      </c>
      <c r="AB134" s="642">
        <f t="shared" si="133"/>
        <v>14.85</v>
      </c>
      <c r="AC134" s="642">
        <f t="shared" ref="AC134:AQ134" si="134">SUM(AC135:AC144)</f>
        <v>17.97</v>
      </c>
      <c r="AD134" s="642">
        <f t="shared" si="134"/>
        <v>1.6</v>
      </c>
      <c r="AE134" s="642">
        <f t="shared" si="134"/>
        <v>6411.5</v>
      </c>
      <c r="AF134" s="642">
        <f t="shared" si="134"/>
        <v>4765.68</v>
      </c>
      <c r="AG134" s="642">
        <f t="shared" si="134"/>
        <v>1540.38</v>
      </c>
      <c r="AH134" s="642">
        <f t="shared" si="134"/>
        <v>1694.33</v>
      </c>
      <c r="AI134" s="642">
        <f t="shared" si="134"/>
        <v>159.15</v>
      </c>
      <c r="AJ134" s="642">
        <f t="shared" si="134"/>
        <v>8.1</v>
      </c>
      <c r="AK134" s="642">
        <f t="shared" si="134"/>
        <v>89.84</v>
      </c>
      <c r="AL134" s="642">
        <f t="shared" si="134"/>
        <v>1273.88</v>
      </c>
      <c r="AM134" s="642">
        <f t="shared" si="134"/>
        <v>1645.82</v>
      </c>
      <c r="AN134" s="642">
        <f t="shared" si="134"/>
        <v>1227.15</v>
      </c>
      <c r="AO134" s="642">
        <f t="shared" si="134"/>
        <v>18.45</v>
      </c>
      <c r="AP134" s="642">
        <f t="shared" si="134"/>
        <v>217.12</v>
      </c>
      <c r="AQ134" s="651">
        <f t="shared" si="134"/>
        <v>183.1</v>
      </c>
      <c r="AR134" s="652">
        <f t="shared" ref="AR134:AY134" si="135">SUM(AR135:AR144)</f>
        <v>1698.825</v>
      </c>
      <c r="AS134" s="642">
        <f t="shared" si="135"/>
        <v>782.7072</v>
      </c>
      <c r="AT134" s="642">
        <f t="shared" si="135"/>
        <v>273.468</v>
      </c>
      <c r="AU134" s="642">
        <f t="shared" si="135"/>
        <v>205.101</v>
      </c>
      <c r="AV134" s="642">
        <f t="shared" si="135"/>
        <v>6.8367</v>
      </c>
      <c r="AW134" s="642">
        <f t="shared" si="135"/>
        <v>20.5101</v>
      </c>
      <c r="AX134" s="642">
        <f t="shared" si="135"/>
        <v>410.202</v>
      </c>
      <c r="AY134" s="642">
        <f t="shared" si="135"/>
        <v>0</v>
      </c>
      <c r="AZ134" s="642">
        <f t="shared" ref="AZ134:BO134" si="136">SUM(AZ135:AZ144)</f>
        <v>-85.08432</v>
      </c>
      <c r="BA134" s="642">
        <f t="shared" si="136"/>
        <v>-35.8688</v>
      </c>
      <c r="BB134" s="642">
        <f t="shared" si="136"/>
        <v>-14.6912</v>
      </c>
      <c r="BC134" s="642">
        <f t="shared" si="136"/>
        <v>-11.0184</v>
      </c>
      <c r="BD134" s="642">
        <f t="shared" si="136"/>
        <v>-0.36728</v>
      </c>
      <c r="BE134" s="642">
        <f t="shared" si="136"/>
        <v>-1.10184</v>
      </c>
      <c r="BF134" s="642">
        <f t="shared" si="136"/>
        <v>-22.0368</v>
      </c>
      <c r="BG134" s="642">
        <f t="shared" si="136"/>
        <v>0</v>
      </c>
      <c r="BH134" s="642">
        <f t="shared" si="136"/>
        <v>1613.74068</v>
      </c>
      <c r="BI134" s="642">
        <f t="shared" si="136"/>
        <v>746.8384</v>
      </c>
      <c r="BJ134" s="642">
        <f t="shared" si="136"/>
        <v>258.7768</v>
      </c>
      <c r="BK134" s="642">
        <f t="shared" si="136"/>
        <v>194.0826</v>
      </c>
      <c r="BL134" s="642">
        <f t="shared" si="136"/>
        <v>6.46942</v>
      </c>
      <c r="BM134" s="642">
        <f t="shared" si="136"/>
        <v>19.40826</v>
      </c>
      <c r="BN134" s="642">
        <f t="shared" si="136"/>
        <v>388.1652</v>
      </c>
      <c r="BO134" s="642">
        <f t="shared" si="136"/>
        <v>0</v>
      </c>
      <c r="BP134" s="334"/>
      <c r="BQ134" s="579"/>
    </row>
    <row r="135" s="130" customFormat="1" ht="24" spans="1:68">
      <c r="A135" s="497" t="s">
        <v>202</v>
      </c>
      <c r="B135" s="497" t="s">
        <v>203</v>
      </c>
      <c r="C135" s="497" t="s">
        <v>381</v>
      </c>
      <c r="D135" s="497" t="s">
        <v>382</v>
      </c>
      <c r="E135" s="615">
        <f t="shared" ref="E135:E144" si="137">F135+M135</f>
        <v>5061.71</v>
      </c>
      <c r="F135" s="615">
        <f t="shared" ref="F135:F144" si="138">SUM(G135:L135)</f>
        <v>4019.45</v>
      </c>
      <c r="G135" s="616">
        <v>1279.9</v>
      </c>
      <c r="H135" s="616">
        <v>1562.59</v>
      </c>
      <c r="I135" s="616">
        <v>106.66</v>
      </c>
      <c r="J135" s="616"/>
      <c r="K135" s="616"/>
      <c r="L135" s="616">
        <v>1070.3</v>
      </c>
      <c r="M135" s="615">
        <f t="shared" ref="M135:M144" si="139">SUM(N135:Q135)</f>
        <v>1042.26</v>
      </c>
      <c r="N135" s="616">
        <v>741.96</v>
      </c>
      <c r="O135" s="650"/>
      <c r="P135" s="616">
        <v>157.3</v>
      </c>
      <c r="Q135" s="616">
        <v>143</v>
      </c>
      <c r="R135" s="615">
        <f t="shared" ref="R135:R144" si="140">S135+Z135</f>
        <v>-145.88</v>
      </c>
      <c r="S135" s="615">
        <f t="shared" ref="S135:S144" si="141">SUM(T135:Y135)</f>
        <v>-183.21</v>
      </c>
      <c r="T135" s="616">
        <v>-69.61</v>
      </c>
      <c r="U135" s="616">
        <v>-77.5</v>
      </c>
      <c r="V135" s="616">
        <v>23.61</v>
      </c>
      <c r="W135" s="616"/>
      <c r="X135" s="616"/>
      <c r="Y135" s="616">
        <v>-59.71</v>
      </c>
      <c r="Z135" s="615">
        <f t="shared" ref="Z135:Z144" si="142">SUM(AA135:AD135)</f>
        <v>37.33</v>
      </c>
      <c r="AA135" s="616">
        <v>4.65</v>
      </c>
      <c r="AB135" s="616">
        <f>0.3+12.15+0.45</f>
        <v>12.9</v>
      </c>
      <c r="AC135" s="616">
        <v>16.83</v>
      </c>
      <c r="AD135" s="616">
        <v>2.95</v>
      </c>
      <c r="AE135" s="615">
        <f t="shared" si="119"/>
        <v>4915.83</v>
      </c>
      <c r="AF135" s="615">
        <f t="shared" si="120"/>
        <v>3836.24</v>
      </c>
      <c r="AG135" s="616">
        <f t="shared" si="121"/>
        <v>1210.29</v>
      </c>
      <c r="AH135" s="616">
        <f t="shared" si="122"/>
        <v>1485.09</v>
      </c>
      <c r="AI135" s="616">
        <f t="shared" si="123"/>
        <v>130.27</v>
      </c>
      <c r="AJ135" s="616">
        <f t="shared" si="124"/>
        <v>0</v>
      </c>
      <c r="AK135" s="616">
        <f t="shared" si="125"/>
        <v>0</v>
      </c>
      <c r="AL135" s="616">
        <f t="shared" si="126"/>
        <v>1010.59</v>
      </c>
      <c r="AM135" s="615">
        <f t="shared" si="127"/>
        <v>1079.59</v>
      </c>
      <c r="AN135" s="616">
        <f t="shared" si="128"/>
        <v>746.61</v>
      </c>
      <c r="AO135" s="616">
        <f t="shared" si="129"/>
        <v>12.9</v>
      </c>
      <c r="AP135" s="616">
        <f t="shared" si="130"/>
        <v>174.13</v>
      </c>
      <c r="AQ135" s="637">
        <f t="shared" si="131"/>
        <v>145.95</v>
      </c>
      <c r="AR135" s="638">
        <f t="shared" ref="AR135:AR144" si="143">SUM(AS135:AY135)</f>
        <v>1404.89932</v>
      </c>
      <c r="AS135" s="616">
        <f t="shared" si="91"/>
        <v>643.112</v>
      </c>
      <c r="AT135" s="616">
        <f t="shared" si="92"/>
        <v>227.3992</v>
      </c>
      <c r="AU135" s="616">
        <f t="shared" si="93"/>
        <v>170.5494</v>
      </c>
      <c r="AV135" s="616">
        <f t="shared" si="94"/>
        <v>5.68498</v>
      </c>
      <c r="AW135" s="616">
        <f t="shared" si="95"/>
        <v>17.05494</v>
      </c>
      <c r="AX135" s="616">
        <f t="shared" si="96"/>
        <v>341.0988</v>
      </c>
      <c r="AY135" s="616"/>
      <c r="AZ135" s="615">
        <f t="shared" si="97"/>
        <v>-68.73908</v>
      </c>
      <c r="BA135" s="616">
        <f t="shared" si="98"/>
        <v>-29.3136</v>
      </c>
      <c r="BB135" s="616">
        <f t="shared" si="99"/>
        <v>-11.7688</v>
      </c>
      <c r="BC135" s="616">
        <f t="shared" si="100"/>
        <v>-8.8266</v>
      </c>
      <c r="BD135" s="616">
        <f t="shared" si="101"/>
        <v>-0.29422</v>
      </c>
      <c r="BE135" s="616">
        <f t="shared" si="102"/>
        <v>-0.88266</v>
      </c>
      <c r="BF135" s="616">
        <f t="shared" si="103"/>
        <v>-17.6532</v>
      </c>
      <c r="BG135" s="616"/>
      <c r="BH135" s="615">
        <f t="shared" si="104"/>
        <v>1336.16024</v>
      </c>
      <c r="BI135" s="616">
        <f t="shared" si="105"/>
        <v>613.7984</v>
      </c>
      <c r="BJ135" s="616">
        <f t="shared" si="106"/>
        <v>215.6304</v>
      </c>
      <c r="BK135" s="616">
        <f t="shared" si="107"/>
        <v>161.7228</v>
      </c>
      <c r="BL135" s="616">
        <f t="shared" si="108"/>
        <v>5.39076</v>
      </c>
      <c r="BM135" s="616">
        <f t="shared" si="109"/>
        <v>16.17228</v>
      </c>
      <c r="BN135" s="616">
        <f t="shared" si="110"/>
        <v>323.4456</v>
      </c>
      <c r="BO135" s="616"/>
      <c r="BP135" s="304"/>
    </row>
    <row r="136" s="130" customFormat="1" ht="24" spans="1:68">
      <c r="A136" s="497" t="s">
        <v>202</v>
      </c>
      <c r="B136" s="497" t="s">
        <v>203</v>
      </c>
      <c r="C136" s="497" t="s">
        <v>383</v>
      </c>
      <c r="D136" s="497" t="s">
        <v>382</v>
      </c>
      <c r="E136" s="615">
        <f t="shared" si="137"/>
        <v>710.43</v>
      </c>
      <c r="F136" s="615">
        <f t="shared" si="138"/>
        <v>345.8</v>
      </c>
      <c r="G136" s="616">
        <v>146.12</v>
      </c>
      <c r="H136" s="616">
        <v>72.39</v>
      </c>
      <c r="I136" s="616">
        <v>12.18</v>
      </c>
      <c r="J136" s="616">
        <v>0.96</v>
      </c>
      <c r="K136" s="616">
        <v>25.34</v>
      </c>
      <c r="L136" s="616">
        <v>88.81</v>
      </c>
      <c r="M136" s="615">
        <f t="shared" si="139"/>
        <v>364.63</v>
      </c>
      <c r="N136" s="616">
        <v>336.88</v>
      </c>
      <c r="O136" s="616">
        <v>3.6</v>
      </c>
      <c r="P136" s="616">
        <v>12.65</v>
      </c>
      <c r="Q136" s="616">
        <v>11.5</v>
      </c>
      <c r="R136" s="615">
        <f t="shared" si="140"/>
        <v>-11.28</v>
      </c>
      <c r="S136" s="615">
        <f t="shared" si="141"/>
        <v>-25.15</v>
      </c>
      <c r="T136" s="616">
        <v>-25.07</v>
      </c>
      <c r="U136" s="616"/>
      <c r="V136" s="616">
        <v>-0.31</v>
      </c>
      <c r="W136" s="616"/>
      <c r="X136" s="616">
        <v>-0.3</v>
      </c>
      <c r="Y136" s="616">
        <v>0.53</v>
      </c>
      <c r="Z136" s="615">
        <f t="shared" si="142"/>
        <v>13.87</v>
      </c>
      <c r="AA136" s="616">
        <v>11.85</v>
      </c>
      <c r="AB136" s="616">
        <v>0.15</v>
      </c>
      <c r="AC136" s="616">
        <v>2.37</v>
      </c>
      <c r="AD136" s="616">
        <v>-0.5</v>
      </c>
      <c r="AE136" s="615">
        <f t="shared" si="119"/>
        <v>699.15</v>
      </c>
      <c r="AF136" s="615">
        <f t="shared" si="120"/>
        <v>320.65</v>
      </c>
      <c r="AG136" s="616">
        <f t="shared" si="121"/>
        <v>121.05</v>
      </c>
      <c r="AH136" s="616">
        <f t="shared" si="122"/>
        <v>72.39</v>
      </c>
      <c r="AI136" s="616">
        <f t="shared" si="123"/>
        <v>11.87</v>
      </c>
      <c r="AJ136" s="616">
        <f t="shared" si="124"/>
        <v>0.96</v>
      </c>
      <c r="AK136" s="616">
        <f t="shared" si="125"/>
        <v>25.04</v>
      </c>
      <c r="AL136" s="616">
        <f t="shared" si="126"/>
        <v>89.34</v>
      </c>
      <c r="AM136" s="615">
        <f t="shared" si="127"/>
        <v>378.5</v>
      </c>
      <c r="AN136" s="616">
        <f t="shared" si="128"/>
        <v>348.73</v>
      </c>
      <c r="AO136" s="616">
        <f t="shared" si="129"/>
        <v>3.75</v>
      </c>
      <c r="AP136" s="616">
        <f t="shared" si="130"/>
        <v>15.02</v>
      </c>
      <c r="AQ136" s="637">
        <f t="shared" si="131"/>
        <v>11</v>
      </c>
      <c r="AR136" s="638">
        <f t="shared" si="143"/>
        <v>109.68068</v>
      </c>
      <c r="AS136" s="616">
        <f t="shared" si="91"/>
        <v>51.12</v>
      </c>
      <c r="AT136" s="616">
        <f t="shared" si="92"/>
        <v>17.4808</v>
      </c>
      <c r="AU136" s="616">
        <f t="shared" si="93"/>
        <v>13.1106</v>
      </c>
      <c r="AV136" s="616">
        <f t="shared" si="94"/>
        <v>0.43702</v>
      </c>
      <c r="AW136" s="616">
        <f t="shared" si="95"/>
        <v>1.31106</v>
      </c>
      <c r="AX136" s="616">
        <f t="shared" si="96"/>
        <v>26.2212</v>
      </c>
      <c r="AY136" s="616"/>
      <c r="AZ136" s="615">
        <f t="shared" si="97"/>
        <v>-10.69476</v>
      </c>
      <c r="BA136" s="616">
        <f t="shared" si="98"/>
        <v>-3.976</v>
      </c>
      <c r="BB136" s="616">
        <f t="shared" si="99"/>
        <v>-2.0056</v>
      </c>
      <c r="BC136" s="616">
        <f t="shared" si="100"/>
        <v>-1.5042</v>
      </c>
      <c r="BD136" s="616">
        <f t="shared" si="101"/>
        <v>-0.05014</v>
      </c>
      <c r="BE136" s="616">
        <f t="shared" si="102"/>
        <v>-0.15042</v>
      </c>
      <c r="BF136" s="616">
        <f t="shared" si="103"/>
        <v>-3.0084</v>
      </c>
      <c r="BG136" s="616"/>
      <c r="BH136" s="615">
        <f t="shared" si="104"/>
        <v>98.98592</v>
      </c>
      <c r="BI136" s="616">
        <f t="shared" si="105"/>
        <v>47.144</v>
      </c>
      <c r="BJ136" s="616">
        <f t="shared" si="106"/>
        <v>15.4752</v>
      </c>
      <c r="BK136" s="616">
        <f t="shared" si="107"/>
        <v>11.6064</v>
      </c>
      <c r="BL136" s="616">
        <f t="shared" si="108"/>
        <v>0.38688</v>
      </c>
      <c r="BM136" s="616">
        <f t="shared" si="109"/>
        <v>1.16064</v>
      </c>
      <c r="BN136" s="616">
        <f t="shared" si="110"/>
        <v>23.2128</v>
      </c>
      <c r="BO136" s="616"/>
      <c r="BP136" s="304"/>
    </row>
    <row r="137" s="130" customFormat="1" ht="24" spans="1:68">
      <c r="A137" s="497" t="s">
        <v>202</v>
      </c>
      <c r="B137" s="497" t="s">
        <v>203</v>
      </c>
      <c r="C137" s="497" t="s">
        <v>384</v>
      </c>
      <c r="D137" s="497" t="s">
        <v>382</v>
      </c>
      <c r="E137" s="615">
        <f t="shared" si="137"/>
        <v>59.67</v>
      </c>
      <c r="F137" s="615">
        <f t="shared" si="138"/>
        <v>0</v>
      </c>
      <c r="G137" s="616"/>
      <c r="H137" s="616"/>
      <c r="I137" s="616"/>
      <c r="J137" s="616"/>
      <c r="K137" s="616"/>
      <c r="L137" s="616"/>
      <c r="M137" s="615">
        <f t="shared" si="139"/>
        <v>59.67</v>
      </c>
      <c r="N137" s="616">
        <v>59.67</v>
      </c>
      <c r="O137" s="616"/>
      <c r="P137" s="616"/>
      <c r="Q137" s="616"/>
      <c r="R137" s="615">
        <f t="shared" si="140"/>
        <v>1.02</v>
      </c>
      <c r="S137" s="615">
        <f t="shared" si="141"/>
        <v>0</v>
      </c>
      <c r="T137" s="616"/>
      <c r="U137" s="616"/>
      <c r="V137" s="616"/>
      <c r="W137" s="616"/>
      <c r="X137" s="616"/>
      <c r="Y137" s="616"/>
      <c r="Z137" s="615">
        <f t="shared" si="142"/>
        <v>1.02</v>
      </c>
      <c r="AA137" s="616">
        <v>1.02</v>
      </c>
      <c r="AB137" s="616"/>
      <c r="AC137" s="616"/>
      <c r="AD137" s="616"/>
      <c r="AE137" s="615">
        <f t="shared" si="119"/>
        <v>60.69</v>
      </c>
      <c r="AF137" s="615">
        <f t="shared" si="120"/>
        <v>0</v>
      </c>
      <c r="AG137" s="616">
        <f t="shared" si="121"/>
        <v>0</v>
      </c>
      <c r="AH137" s="616">
        <f t="shared" si="122"/>
        <v>0</v>
      </c>
      <c r="AI137" s="616">
        <f t="shared" si="123"/>
        <v>0</v>
      </c>
      <c r="AJ137" s="616">
        <f t="shared" si="124"/>
        <v>0</v>
      </c>
      <c r="AK137" s="616">
        <f t="shared" si="125"/>
        <v>0</v>
      </c>
      <c r="AL137" s="616">
        <f t="shared" si="126"/>
        <v>0</v>
      </c>
      <c r="AM137" s="615">
        <f t="shared" si="127"/>
        <v>60.69</v>
      </c>
      <c r="AN137" s="616">
        <f t="shared" si="128"/>
        <v>60.69</v>
      </c>
      <c r="AO137" s="616">
        <f t="shared" si="129"/>
        <v>0</v>
      </c>
      <c r="AP137" s="616">
        <f t="shared" si="130"/>
        <v>0</v>
      </c>
      <c r="AQ137" s="637">
        <f t="shared" si="131"/>
        <v>0</v>
      </c>
      <c r="AR137" s="638">
        <f t="shared" si="143"/>
        <v>0</v>
      </c>
      <c r="AS137" s="616">
        <f t="shared" si="91"/>
        <v>0</v>
      </c>
      <c r="AT137" s="616">
        <f t="shared" si="92"/>
        <v>0</v>
      </c>
      <c r="AU137" s="616">
        <f t="shared" si="93"/>
        <v>0</v>
      </c>
      <c r="AV137" s="616">
        <f t="shared" si="94"/>
        <v>0</v>
      </c>
      <c r="AW137" s="616">
        <f t="shared" si="95"/>
        <v>0</v>
      </c>
      <c r="AX137" s="616">
        <f t="shared" si="96"/>
        <v>0</v>
      </c>
      <c r="AY137" s="616"/>
      <c r="AZ137" s="615">
        <f t="shared" si="97"/>
        <v>0</v>
      </c>
      <c r="BA137" s="616">
        <f t="shared" si="98"/>
        <v>0</v>
      </c>
      <c r="BB137" s="616">
        <f t="shared" si="99"/>
        <v>0</v>
      </c>
      <c r="BC137" s="616">
        <f t="shared" si="100"/>
        <v>0</v>
      </c>
      <c r="BD137" s="616">
        <f t="shared" si="101"/>
        <v>0</v>
      </c>
      <c r="BE137" s="616">
        <f t="shared" si="102"/>
        <v>0</v>
      </c>
      <c r="BF137" s="616">
        <f t="shared" si="103"/>
        <v>0</v>
      </c>
      <c r="BG137" s="616"/>
      <c r="BH137" s="615">
        <f t="shared" si="104"/>
        <v>0</v>
      </c>
      <c r="BI137" s="616">
        <f t="shared" si="105"/>
        <v>0</v>
      </c>
      <c r="BJ137" s="616">
        <f t="shared" si="106"/>
        <v>0</v>
      </c>
      <c r="BK137" s="616">
        <f t="shared" si="107"/>
        <v>0</v>
      </c>
      <c r="BL137" s="616">
        <f t="shared" si="108"/>
        <v>0</v>
      </c>
      <c r="BM137" s="616">
        <f t="shared" si="109"/>
        <v>0</v>
      </c>
      <c r="BN137" s="616">
        <f t="shared" si="110"/>
        <v>0</v>
      </c>
      <c r="BO137" s="616"/>
      <c r="BP137" s="304"/>
    </row>
    <row r="138" s="130" customFormat="1" ht="24" spans="1:68">
      <c r="A138" s="497" t="s">
        <v>202</v>
      </c>
      <c r="B138" s="497" t="s">
        <v>206</v>
      </c>
      <c r="C138" s="497" t="s">
        <v>385</v>
      </c>
      <c r="D138" s="497" t="s">
        <v>386</v>
      </c>
      <c r="E138" s="615">
        <f t="shared" si="137"/>
        <v>0</v>
      </c>
      <c r="F138" s="615">
        <f t="shared" si="138"/>
        <v>0</v>
      </c>
      <c r="G138" s="616"/>
      <c r="H138" s="616"/>
      <c r="I138" s="616"/>
      <c r="J138" s="616"/>
      <c r="K138" s="616"/>
      <c r="L138" s="616"/>
      <c r="M138" s="615">
        <f t="shared" si="139"/>
        <v>0</v>
      </c>
      <c r="N138" s="616"/>
      <c r="O138" s="616"/>
      <c r="P138" s="616"/>
      <c r="Q138" s="616"/>
      <c r="R138" s="615">
        <f t="shared" si="140"/>
        <v>0</v>
      </c>
      <c r="S138" s="615">
        <f t="shared" si="141"/>
        <v>0</v>
      </c>
      <c r="T138" s="616"/>
      <c r="U138" s="616"/>
      <c r="V138" s="616"/>
      <c r="W138" s="616"/>
      <c r="X138" s="616"/>
      <c r="Y138" s="616"/>
      <c r="Z138" s="615">
        <f t="shared" si="142"/>
        <v>0</v>
      </c>
      <c r="AA138" s="616"/>
      <c r="AB138" s="616"/>
      <c r="AC138" s="616"/>
      <c r="AD138" s="616"/>
      <c r="AE138" s="615">
        <f t="shared" si="119"/>
        <v>0</v>
      </c>
      <c r="AF138" s="615">
        <f t="shared" si="120"/>
        <v>0</v>
      </c>
      <c r="AG138" s="616">
        <f t="shared" si="121"/>
        <v>0</v>
      </c>
      <c r="AH138" s="616">
        <f t="shared" si="122"/>
        <v>0</v>
      </c>
      <c r="AI138" s="616">
        <f t="shared" si="123"/>
        <v>0</v>
      </c>
      <c r="AJ138" s="616">
        <f t="shared" si="124"/>
        <v>0</v>
      </c>
      <c r="AK138" s="616">
        <f t="shared" si="125"/>
        <v>0</v>
      </c>
      <c r="AL138" s="616">
        <f t="shared" si="126"/>
        <v>0</v>
      </c>
      <c r="AM138" s="615">
        <f t="shared" si="127"/>
        <v>0</v>
      </c>
      <c r="AN138" s="616">
        <f t="shared" si="128"/>
        <v>0</v>
      </c>
      <c r="AO138" s="616">
        <f t="shared" si="129"/>
        <v>0</v>
      </c>
      <c r="AP138" s="616">
        <f t="shared" si="130"/>
        <v>0</v>
      </c>
      <c r="AQ138" s="637">
        <f t="shared" si="131"/>
        <v>0</v>
      </c>
      <c r="AR138" s="638">
        <f t="shared" si="143"/>
        <v>0</v>
      </c>
      <c r="AS138" s="616">
        <f>(G138+H138+I138+L138)*0.16</f>
        <v>0</v>
      </c>
      <c r="AT138" s="616">
        <f>(G138+H138)*0.08</f>
        <v>0</v>
      </c>
      <c r="AU138" s="616">
        <f>(G138+H138)*0.06</f>
        <v>0</v>
      </c>
      <c r="AV138" s="616">
        <f>(G138+H138)*0.002</f>
        <v>0</v>
      </c>
      <c r="AW138" s="616">
        <f>(G138+H138)*0.006</f>
        <v>0</v>
      </c>
      <c r="AX138" s="616">
        <f>(G138+H138)*0.12</f>
        <v>0</v>
      </c>
      <c r="AY138" s="616"/>
      <c r="AZ138" s="615">
        <f>SUM(BA138:BG138)</f>
        <v>0</v>
      </c>
      <c r="BA138" s="616">
        <f>(T138+U138+V138+Y138)*0.16</f>
        <v>0</v>
      </c>
      <c r="BB138" s="616">
        <f>(T138+U138)*0.08</f>
        <v>0</v>
      </c>
      <c r="BC138" s="616">
        <f>(T138+U138)*0.06</f>
        <v>0</v>
      </c>
      <c r="BD138" s="616">
        <f>(T138+U138)*0.002</f>
        <v>0</v>
      </c>
      <c r="BE138" s="616">
        <f>(T138+U138)*0.006</f>
        <v>0</v>
      </c>
      <c r="BF138" s="616">
        <f>(T138+U138)*0.12</f>
        <v>0</v>
      </c>
      <c r="BG138" s="616"/>
      <c r="BH138" s="615">
        <f>SUM(BI138:BO138)</f>
        <v>0</v>
      </c>
      <c r="BI138" s="616">
        <f>(AG138+AH138+AI138+AL138)*0.16</f>
        <v>0</v>
      </c>
      <c r="BJ138" s="616">
        <f>(AG138+AH138)*0.08</f>
        <v>0</v>
      </c>
      <c r="BK138" s="616">
        <f>(AG138+AH138)*0.06</f>
        <v>0</v>
      </c>
      <c r="BL138" s="616">
        <f>(AG138+AH138)*0.002</f>
        <v>0</v>
      </c>
      <c r="BM138" s="616">
        <f>(AG138+AH138)*0.006</f>
        <v>0</v>
      </c>
      <c r="BN138" s="616">
        <f>(AG138+AH138)*0.12</f>
        <v>0</v>
      </c>
      <c r="BO138" s="616"/>
      <c r="BP138" s="304"/>
    </row>
    <row r="139" s="130" customFormat="1" ht="24" customHeight="1" spans="1:68">
      <c r="A139" s="497" t="s">
        <v>202</v>
      </c>
      <c r="B139" s="497" t="s">
        <v>203</v>
      </c>
      <c r="C139" s="497" t="s">
        <v>387</v>
      </c>
      <c r="D139" s="497" t="s">
        <v>388</v>
      </c>
      <c r="E139" s="615">
        <f t="shared" si="137"/>
        <v>0</v>
      </c>
      <c r="F139" s="615">
        <f t="shared" si="138"/>
        <v>0</v>
      </c>
      <c r="G139" s="616"/>
      <c r="H139" s="616"/>
      <c r="I139" s="616"/>
      <c r="J139" s="616"/>
      <c r="K139" s="616"/>
      <c r="L139" s="616"/>
      <c r="M139" s="615">
        <f t="shared" si="139"/>
        <v>0</v>
      </c>
      <c r="N139" s="616"/>
      <c r="O139" s="616"/>
      <c r="P139" s="616"/>
      <c r="Q139" s="616"/>
      <c r="R139" s="615">
        <f t="shared" si="140"/>
        <v>0.15</v>
      </c>
      <c r="S139" s="615">
        <f t="shared" si="141"/>
        <v>0</v>
      </c>
      <c r="T139" s="616"/>
      <c r="U139" s="616"/>
      <c r="V139" s="616"/>
      <c r="W139" s="616"/>
      <c r="X139" s="616"/>
      <c r="Y139" s="616"/>
      <c r="Z139" s="615">
        <f t="shared" si="142"/>
        <v>0.15</v>
      </c>
      <c r="AA139" s="616"/>
      <c r="AB139" s="616">
        <v>0.15</v>
      </c>
      <c r="AC139" s="616"/>
      <c r="AD139" s="616"/>
      <c r="AE139" s="615">
        <f t="shared" si="119"/>
        <v>0.15</v>
      </c>
      <c r="AF139" s="615">
        <f t="shared" si="120"/>
        <v>0</v>
      </c>
      <c r="AG139" s="616">
        <f t="shared" si="121"/>
        <v>0</v>
      </c>
      <c r="AH139" s="616">
        <f t="shared" si="122"/>
        <v>0</v>
      </c>
      <c r="AI139" s="616">
        <f t="shared" si="123"/>
        <v>0</v>
      </c>
      <c r="AJ139" s="616">
        <f t="shared" si="124"/>
        <v>0</v>
      </c>
      <c r="AK139" s="616">
        <f t="shared" si="125"/>
        <v>0</v>
      </c>
      <c r="AL139" s="616">
        <f t="shared" si="126"/>
        <v>0</v>
      </c>
      <c r="AM139" s="615">
        <f t="shared" si="127"/>
        <v>0.15</v>
      </c>
      <c r="AN139" s="616">
        <f t="shared" si="128"/>
        <v>0</v>
      </c>
      <c r="AO139" s="616">
        <f t="shared" si="129"/>
        <v>0.15</v>
      </c>
      <c r="AP139" s="616">
        <f t="shared" si="130"/>
        <v>0</v>
      </c>
      <c r="AQ139" s="637">
        <f t="shared" si="131"/>
        <v>0</v>
      </c>
      <c r="AR139" s="638">
        <f t="shared" si="143"/>
        <v>0</v>
      </c>
      <c r="AS139" s="616">
        <f>(G139+H139+I139+L139)*0.16</f>
        <v>0</v>
      </c>
      <c r="AT139" s="616">
        <f>(G139+H139)*0.08</f>
        <v>0</v>
      </c>
      <c r="AU139" s="616">
        <f>(G139+H139)*0.06</f>
        <v>0</v>
      </c>
      <c r="AV139" s="616">
        <f>(G139+H139)*0.002</f>
        <v>0</v>
      </c>
      <c r="AW139" s="616">
        <f>(G139+H139)*0.006</f>
        <v>0</v>
      </c>
      <c r="AX139" s="616">
        <f>(G139+H139)*0.12</f>
        <v>0</v>
      </c>
      <c r="AY139" s="616"/>
      <c r="AZ139" s="615">
        <f>SUM(BA139:BG139)</f>
        <v>0</v>
      </c>
      <c r="BA139" s="616">
        <f>(T139+U139+V139+Y139)*0.16</f>
        <v>0</v>
      </c>
      <c r="BB139" s="616">
        <f>(T139+U139)*0.08</f>
        <v>0</v>
      </c>
      <c r="BC139" s="616">
        <f>(T139+U139)*0.06</f>
        <v>0</v>
      </c>
      <c r="BD139" s="616">
        <f>(T139+U139)*0.002</f>
        <v>0</v>
      </c>
      <c r="BE139" s="616">
        <f>(T139+U139)*0.006</f>
        <v>0</v>
      </c>
      <c r="BF139" s="616">
        <f>(T139+U139)*0.12</f>
        <v>0</v>
      </c>
      <c r="BG139" s="616"/>
      <c r="BH139" s="615">
        <f>SUM(BI139:BO139)</f>
        <v>0</v>
      </c>
      <c r="BI139" s="616">
        <f>(AG139+AH139+AI139+AL139)*0.16</f>
        <v>0</v>
      </c>
      <c r="BJ139" s="616">
        <f>(AG139+AH139)*0.08</f>
        <v>0</v>
      </c>
      <c r="BK139" s="616">
        <f>(AG139+AH139)*0.06</f>
        <v>0</v>
      </c>
      <c r="BL139" s="616">
        <f>(AG139+AH139)*0.002</f>
        <v>0</v>
      </c>
      <c r="BM139" s="616">
        <f>(AG139+AH139)*0.006</f>
        <v>0</v>
      </c>
      <c r="BN139" s="616">
        <f>(AG139+AH139)*0.12</f>
        <v>0</v>
      </c>
      <c r="BO139" s="616"/>
      <c r="BP139" s="304"/>
    </row>
    <row r="140" s="130" customFormat="1" ht="24" spans="1:68">
      <c r="A140" s="497" t="s">
        <v>202</v>
      </c>
      <c r="B140" s="497" t="s">
        <v>203</v>
      </c>
      <c r="C140" s="497" t="s">
        <v>389</v>
      </c>
      <c r="D140" s="497" t="s">
        <v>390</v>
      </c>
      <c r="E140" s="615">
        <f t="shared" si="137"/>
        <v>688.8</v>
      </c>
      <c r="F140" s="615">
        <f t="shared" si="138"/>
        <v>568.72</v>
      </c>
      <c r="G140" s="616">
        <v>191.73</v>
      </c>
      <c r="H140" s="616">
        <v>126.2</v>
      </c>
      <c r="I140" s="616">
        <v>16.42</v>
      </c>
      <c r="J140" s="616">
        <v>7.32</v>
      </c>
      <c r="K140" s="616">
        <v>66.24</v>
      </c>
      <c r="L140" s="616">
        <v>160.81</v>
      </c>
      <c r="M140" s="615">
        <f t="shared" si="139"/>
        <v>120.08</v>
      </c>
      <c r="N140" s="616">
        <v>69.68</v>
      </c>
      <c r="O140" s="618"/>
      <c r="P140" s="616">
        <v>26.4</v>
      </c>
      <c r="Q140" s="616">
        <v>24</v>
      </c>
      <c r="R140" s="615">
        <f t="shared" si="140"/>
        <v>-10.43</v>
      </c>
      <c r="S140" s="615">
        <f t="shared" si="141"/>
        <v>-11.08</v>
      </c>
      <c r="T140" s="616">
        <v>-3.03</v>
      </c>
      <c r="U140" s="616">
        <v>-1.77</v>
      </c>
      <c r="V140" s="616">
        <v>-1.47</v>
      </c>
      <c r="W140" s="616">
        <v>-0.18</v>
      </c>
      <c r="X140" s="616">
        <v>-1.44</v>
      </c>
      <c r="Y140" s="616">
        <v>-3.19</v>
      </c>
      <c r="Z140" s="615">
        <f t="shared" si="142"/>
        <v>0.65</v>
      </c>
      <c r="AA140" s="616">
        <v>1.44</v>
      </c>
      <c r="AB140" s="616">
        <v>1.5</v>
      </c>
      <c r="AC140" s="616">
        <v>-1.44</v>
      </c>
      <c r="AD140" s="616">
        <v>-0.85</v>
      </c>
      <c r="AE140" s="615">
        <f t="shared" si="119"/>
        <v>678.37</v>
      </c>
      <c r="AF140" s="615">
        <f t="shared" si="120"/>
        <v>557.64</v>
      </c>
      <c r="AG140" s="616">
        <f t="shared" si="121"/>
        <v>188.7</v>
      </c>
      <c r="AH140" s="616">
        <f t="shared" si="122"/>
        <v>124.43</v>
      </c>
      <c r="AI140" s="616">
        <f t="shared" si="123"/>
        <v>14.95</v>
      </c>
      <c r="AJ140" s="616">
        <f t="shared" si="124"/>
        <v>7.14</v>
      </c>
      <c r="AK140" s="616">
        <f t="shared" si="125"/>
        <v>64.8</v>
      </c>
      <c r="AL140" s="616">
        <f t="shared" si="126"/>
        <v>157.62</v>
      </c>
      <c r="AM140" s="615">
        <f t="shared" si="127"/>
        <v>120.73</v>
      </c>
      <c r="AN140" s="616">
        <f t="shared" si="128"/>
        <v>71.12</v>
      </c>
      <c r="AO140" s="616">
        <f t="shared" si="129"/>
        <v>1.5</v>
      </c>
      <c r="AP140" s="616">
        <f t="shared" si="130"/>
        <v>24.96</v>
      </c>
      <c r="AQ140" s="637">
        <f t="shared" si="131"/>
        <v>23.15</v>
      </c>
      <c r="AR140" s="638">
        <f t="shared" si="143"/>
        <v>164.43084</v>
      </c>
      <c r="AS140" s="616">
        <f t="shared" ref="AS140:AS202" si="144">(G140+H140+I140+L140)*0.16</f>
        <v>79.2256</v>
      </c>
      <c r="AT140" s="616">
        <f t="shared" ref="AT140:AT202" si="145">(G140+H140)*0.08</f>
        <v>25.4344</v>
      </c>
      <c r="AU140" s="616">
        <f t="shared" ref="AU140:AU202" si="146">(G140+H140)*0.06</f>
        <v>19.0758</v>
      </c>
      <c r="AV140" s="616">
        <f t="shared" ref="AV140:AV202" si="147">(G140+H140)*0.002</f>
        <v>0.63586</v>
      </c>
      <c r="AW140" s="616">
        <f t="shared" ref="AW140:AW202" si="148">(G140+H140)*0.006</f>
        <v>1.90758</v>
      </c>
      <c r="AX140" s="616">
        <f t="shared" ref="AX140:AX202" si="149">(G140+H140)*0.12</f>
        <v>38.1516</v>
      </c>
      <c r="AY140" s="616"/>
      <c r="AZ140" s="615">
        <f t="shared" ref="AZ140:AZ202" si="150">SUM(BA140:BG140)</f>
        <v>-2.8</v>
      </c>
      <c r="BA140" s="616">
        <f t="shared" ref="BA140:BA202" si="151">(T140+U140+V140+Y140)*0.16</f>
        <v>-1.5136</v>
      </c>
      <c r="BB140" s="616">
        <f t="shared" ref="BB140:BB202" si="152">(T140+U140)*0.08</f>
        <v>-0.384</v>
      </c>
      <c r="BC140" s="616">
        <f t="shared" ref="BC140:BC202" si="153">(T140+U140)*0.06</f>
        <v>-0.288</v>
      </c>
      <c r="BD140" s="616">
        <f t="shared" ref="BD140:BD202" si="154">(T140+U140)*0.002</f>
        <v>-0.0096</v>
      </c>
      <c r="BE140" s="616">
        <f t="shared" ref="BE140:BE202" si="155">(T140+U140)*0.006</f>
        <v>-0.0288</v>
      </c>
      <c r="BF140" s="616">
        <f t="shared" ref="BF140:BF202" si="156">(T140+U140)*0.12</f>
        <v>-0.576</v>
      </c>
      <c r="BG140" s="616"/>
      <c r="BH140" s="615">
        <f t="shared" ref="BH140:BH202" si="157">SUM(BI140:BO140)</f>
        <v>161.63084</v>
      </c>
      <c r="BI140" s="616">
        <f t="shared" ref="BI140:BI202" si="158">(AG140+AH140+AI140+AL140)*0.16</f>
        <v>77.712</v>
      </c>
      <c r="BJ140" s="616">
        <f t="shared" ref="BJ140:BJ202" si="159">(AG140+AH140)*0.08</f>
        <v>25.0504</v>
      </c>
      <c r="BK140" s="616">
        <f t="shared" ref="BK140:BK202" si="160">(AG140+AH140)*0.06</f>
        <v>18.7878</v>
      </c>
      <c r="BL140" s="616">
        <f t="shared" ref="BL140:BL202" si="161">(AG140+AH140)*0.002</f>
        <v>0.62626</v>
      </c>
      <c r="BM140" s="616">
        <f t="shared" ref="BM140:BM202" si="162">(AG140+AH140)*0.006</f>
        <v>1.87878</v>
      </c>
      <c r="BN140" s="616">
        <f t="shared" ref="BN140:BN202" si="163">(AG140+AH140)*0.12</f>
        <v>37.5756</v>
      </c>
      <c r="BO140" s="616"/>
      <c r="BP140" s="304"/>
    </row>
    <row r="141" s="130" customFormat="1" ht="24" spans="1:68">
      <c r="A141" s="497" t="s">
        <v>202</v>
      </c>
      <c r="B141" s="497" t="s">
        <v>391</v>
      </c>
      <c r="C141" s="497" t="s">
        <v>392</v>
      </c>
      <c r="D141" s="497" t="s">
        <v>393</v>
      </c>
      <c r="E141" s="615">
        <f t="shared" si="137"/>
        <v>0</v>
      </c>
      <c r="F141" s="615">
        <f t="shared" si="138"/>
        <v>0</v>
      </c>
      <c r="G141" s="616"/>
      <c r="H141" s="616"/>
      <c r="I141" s="616"/>
      <c r="J141" s="616"/>
      <c r="K141" s="616"/>
      <c r="L141" s="616"/>
      <c r="M141" s="615">
        <f t="shared" si="139"/>
        <v>0</v>
      </c>
      <c r="N141" s="616"/>
      <c r="O141" s="616"/>
      <c r="P141" s="616"/>
      <c r="Q141" s="616"/>
      <c r="R141" s="615">
        <f t="shared" si="140"/>
        <v>0</v>
      </c>
      <c r="S141" s="615">
        <f t="shared" si="141"/>
        <v>0</v>
      </c>
      <c r="T141" s="616"/>
      <c r="U141" s="616"/>
      <c r="V141" s="616"/>
      <c r="W141" s="616"/>
      <c r="X141" s="616"/>
      <c r="Y141" s="616"/>
      <c r="Z141" s="615">
        <f t="shared" si="142"/>
        <v>0</v>
      </c>
      <c r="AA141" s="616"/>
      <c r="AB141" s="616"/>
      <c r="AC141" s="616"/>
      <c r="AD141" s="616"/>
      <c r="AE141" s="615">
        <f t="shared" ref="AE141:AE146" si="164">AF141+AM141</f>
        <v>0</v>
      </c>
      <c r="AF141" s="615">
        <f t="shared" ref="AF141:AF146" si="165">SUM(AG141:AL141)</f>
        <v>0</v>
      </c>
      <c r="AG141" s="616">
        <f t="shared" ref="AG141:AG146" si="166">G141+T141</f>
        <v>0</v>
      </c>
      <c r="AH141" s="616">
        <f t="shared" ref="AH141:AH146" si="167">H141+U141</f>
        <v>0</v>
      </c>
      <c r="AI141" s="616">
        <f t="shared" ref="AI141:AI146" si="168">I141+V141</f>
        <v>0</v>
      </c>
      <c r="AJ141" s="616">
        <f t="shared" ref="AJ141:AJ146" si="169">J141+W141</f>
        <v>0</v>
      </c>
      <c r="AK141" s="616">
        <f t="shared" ref="AK141:AK146" si="170">K141+X141</f>
        <v>0</v>
      </c>
      <c r="AL141" s="616">
        <f t="shared" ref="AL141:AL146" si="171">L141+Y141</f>
        <v>0</v>
      </c>
      <c r="AM141" s="615">
        <f t="shared" ref="AM141:AM146" si="172">SUM(AN141:AQ141)</f>
        <v>0</v>
      </c>
      <c r="AN141" s="616">
        <f t="shared" ref="AN141:AN146" si="173">N141+AA141</f>
        <v>0</v>
      </c>
      <c r="AO141" s="616">
        <f t="shared" ref="AO141:AO146" si="174">O141+AB141</f>
        <v>0</v>
      </c>
      <c r="AP141" s="616">
        <f t="shared" ref="AP141:AP146" si="175">P141+AC141</f>
        <v>0</v>
      </c>
      <c r="AQ141" s="637">
        <f t="shared" ref="AQ141:AQ146" si="176">Q141+AD141</f>
        <v>0</v>
      </c>
      <c r="AR141" s="638">
        <f t="shared" si="143"/>
        <v>0</v>
      </c>
      <c r="AS141" s="616">
        <f t="shared" si="144"/>
        <v>0</v>
      </c>
      <c r="AT141" s="616">
        <f t="shared" si="145"/>
        <v>0</v>
      </c>
      <c r="AU141" s="616">
        <f t="shared" si="146"/>
        <v>0</v>
      </c>
      <c r="AV141" s="616">
        <f t="shared" si="147"/>
        <v>0</v>
      </c>
      <c r="AW141" s="616">
        <f t="shared" si="148"/>
        <v>0</v>
      </c>
      <c r="AX141" s="616">
        <f t="shared" si="149"/>
        <v>0</v>
      </c>
      <c r="AY141" s="616"/>
      <c r="AZ141" s="615">
        <f t="shared" si="150"/>
        <v>0</v>
      </c>
      <c r="BA141" s="616">
        <f t="shared" si="151"/>
        <v>0</v>
      </c>
      <c r="BB141" s="616">
        <f t="shared" si="152"/>
        <v>0</v>
      </c>
      <c r="BC141" s="616">
        <f t="shared" si="153"/>
        <v>0</v>
      </c>
      <c r="BD141" s="616">
        <f t="shared" si="154"/>
        <v>0</v>
      </c>
      <c r="BE141" s="616">
        <f t="shared" si="155"/>
        <v>0</v>
      </c>
      <c r="BF141" s="616">
        <f t="shared" si="156"/>
        <v>0</v>
      </c>
      <c r="BG141" s="616"/>
      <c r="BH141" s="615">
        <f t="shared" si="157"/>
        <v>0</v>
      </c>
      <c r="BI141" s="616">
        <f t="shared" si="158"/>
        <v>0</v>
      </c>
      <c r="BJ141" s="616">
        <f t="shared" si="159"/>
        <v>0</v>
      </c>
      <c r="BK141" s="616">
        <f t="shared" si="160"/>
        <v>0</v>
      </c>
      <c r="BL141" s="616">
        <f t="shared" si="161"/>
        <v>0</v>
      </c>
      <c r="BM141" s="616">
        <f t="shared" si="162"/>
        <v>0</v>
      </c>
      <c r="BN141" s="616">
        <f t="shared" si="163"/>
        <v>0</v>
      </c>
      <c r="BO141" s="616"/>
      <c r="BP141" s="304"/>
    </row>
    <row r="142" s="130" customFormat="1" ht="24" spans="1:68">
      <c r="A142" s="497" t="s">
        <v>202</v>
      </c>
      <c r="B142" s="497" t="s">
        <v>206</v>
      </c>
      <c r="C142" s="497" t="s">
        <v>394</v>
      </c>
      <c r="D142" s="497" t="s">
        <v>393</v>
      </c>
      <c r="E142" s="615">
        <f t="shared" si="137"/>
        <v>0</v>
      </c>
      <c r="F142" s="615">
        <f t="shared" si="138"/>
        <v>0</v>
      </c>
      <c r="G142" s="616"/>
      <c r="H142" s="616"/>
      <c r="I142" s="616"/>
      <c r="J142" s="616"/>
      <c r="K142" s="616"/>
      <c r="L142" s="616"/>
      <c r="M142" s="615">
        <f t="shared" si="139"/>
        <v>0</v>
      </c>
      <c r="N142" s="616"/>
      <c r="O142" s="616"/>
      <c r="P142" s="616"/>
      <c r="Q142" s="616"/>
      <c r="R142" s="615">
        <f t="shared" si="140"/>
        <v>0</v>
      </c>
      <c r="S142" s="615">
        <f t="shared" si="141"/>
        <v>0</v>
      </c>
      <c r="T142" s="616"/>
      <c r="U142" s="616"/>
      <c r="V142" s="616"/>
      <c r="W142" s="616"/>
      <c r="X142" s="616"/>
      <c r="Y142" s="616"/>
      <c r="Z142" s="615">
        <f t="shared" si="142"/>
        <v>0</v>
      </c>
      <c r="AA142" s="616"/>
      <c r="AB142" s="616"/>
      <c r="AC142" s="616"/>
      <c r="AD142" s="616"/>
      <c r="AE142" s="615">
        <f t="shared" si="164"/>
        <v>0</v>
      </c>
      <c r="AF142" s="615">
        <f t="shared" si="165"/>
        <v>0</v>
      </c>
      <c r="AG142" s="616">
        <f t="shared" si="166"/>
        <v>0</v>
      </c>
      <c r="AH142" s="616">
        <f t="shared" si="167"/>
        <v>0</v>
      </c>
      <c r="AI142" s="616">
        <f t="shared" si="168"/>
        <v>0</v>
      </c>
      <c r="AJ142" s="616">
        <f t="shared" si="169"/>
        <v>0</v>
      </c>
      <c r="AK142" s="616">
        <f t="shared" si="170"/>
        <v>0</v>
      </c>
      <c r="AL142" s="616">
        <f t="shared" si="171"/>
        <v>0</v>
      </c>
      <c r="AM142" s="615">
        <f t="shared" si="172"/>
        <v>0</v>
      </c>
      <c r="AN142" s="616">
        <f t="shared" si="173"/>
        <v>0</v>
      </c>
      <c r="AO142" s="616">
        <f t="shared" si="174"/>
        <v>0</v>
      </c>
      <c r="AP142" s="616">
        <f t="shared" si="175"/>
        <v>0</v>
      </c>
      <c r="AQ142" s="637">
        <f t="shared" si="176"/>
        <v>0</v>
      </c>
      <c r="AR142" s="638">
        <f t="shared" si="143"/>
        <v>0</v>
      </c>
      <c r="AS142" s="616">
        <f t="shared" si="144"/>
        <v>0</v>
      </c>
      <c r="AT142" s="616">
        <f t="shared" si="145"/>
        <v>0</v>
      </c>
      <c r="AU142" s="616">
        <f t="shared" si="146"/>
        <v>0</v>
      </c>
      <c r="AV142" s="616">
        <f t="shared" si="147"/>
        <v>0</v>
      </c>
      <c r="AW142" s="616">
        <f t="shared" si="148"/>
        <v>0</v>
      </c>
      <c r="AX142" s="616">
        <f t="shared" si="149"/>
        <v>0</v>
      </c>
      <c r="AY142" s="616"/>
      <c r="AZ142" s="615">
        <f t="shared" si="150"/>
        <v>0</v>
      </c>
      <c r="BA142" s="616">
        <f t="shared" si="151"/>
        <v>0</v>
      </c>
      <c r="BB142" s="616">
        <f t="shared" si="152"/>
        <v>0</v>
      </c>
      <c r="BC142" s="616">
        <f t="shared" si="153"/>
        <v>0</v>
      </c>
      <c r="BD142" s="616">
        <f t="shared" si="154"/>
        <v>0</v>
      </c>
      <c r="BE142" s="616">
        <f t="shared" si="155"/>
        <v>0</v>
      </c>
      <c r="BF142" s="616">
        <f t="shared" si="156"/>
        <v>0</v>
      </c>
      <c r="BG142" s="616"/>
      <c r="BH142" s="615">
        <f t="shared" si="157"/>
        <v>0</v>
      </c>
      <c r="BI142" s="616">
        <f t="shared" si="158"/>
        <v>0</v>
      </c>
      <c r="BJ142" s="616">
        <f t="shared" si="159"/>
        <v>0</v>
      </c>
      <c r="BK142" s="616">
        <f t="shared" si="160"/>
        <v>0</v>
      </c>
      <c r="BL142" s="616">
        <f t="shared" si="161"/>
        <v>0</v>
      </c>
      <c r="BM142" s="616">
        <f t="shared" si="162"/>
        <v>0</v>
      </c>
      <c r="BN142" s="616">
        <f t="shared" si="163"/>
        <v>0</v>
      </c>
      <c r="BO142" s="616"/>
      <c r="BP142" s="304"/>
    </row>
    <row r="143" s="130" customFormat="1" ht="24" spans="1:68">
      <c r="A143" s="497" t="s">
        <v>202</v>
      </c>
      <c r="B143" s="497" t="s">
        <v>206</v>
      </c>
      <c r="C143" s="497" t="s">
        <v>395</v>
      </c>
      <c r="D143" s="497" t="s">
        <v>393</v>
      </c>
      <c r="E143" s="615">
        <f t="shared" si="137"/>
        <v>0</v>
      </c>
      <c r="F143" s="615">
        <f t="shared" si="138"/>
        <v>0</v>
      </c>
      <c r="G143" s="616"/>
      <c r="H143" s="616"/>
      <c r="I143" s="616"/>
      <c r="J143" s="616"/>
      <c r="K143" s="616"/>
      <c r="L143" s="616"/>
      <c r="M143" s="615">
        <f t="shared" si="139"/>
        <v>0</v>
      </c>
      <c r="N143" s="616"/>
      <c r="O143" s="616"/>
      <c r="P143" s="616"/>
      <c r="Q143" s="616"/>
      <c r="R143" s="615">
        <f t="shared" si="140"/>
        <v>0</v>
      </c>
      <c r="S143" s="615">
        <f t="shared" si="141"/>
        <v>0</v>
      </c>
      <c r="T143" s="616"/>
      <c r="U143" s="616"/>
      <c r="V143" s="616"/>
      <c r="W143" s="616"/>
      <c r="X143" s="616"/>
      <c r="Y143" s="616"/>
      <c r="Z143" s="615">
        <f t="shared" si="142"/>
        <v>0</v>
      </c>
      <c r="AA143" s="616"/>
      <c r="AB143" s="616"/>
      <c r="AC143" s="616"/>
      <c r="AD143" s="616"/>
      <c r="AE143" s="615">
        <f t="shared" si="164"/>
        <v>0</v>
      </c>
      <c r="AF143" s="615">
        <f t="shared" si="165"/>
        <v>0</v>
      </c>
      <c r="AG143" s="616">
        <f t="shared" si="166"/>
        <v>0</v>
      </c>
      <c r="AH143" s="616">
        <f t="shared" si="167"/>
        <v>0</v>
      </c>
      <c r="AI143" s="616">
        <f t="shared" si="168"/>
        <v>0</v>
      </c>
      <c r="AJ143" s="616">
        <f t="shared" si="169"/>
        <v>0</v>
      </c>
      <c r="AK143" s="616">
        <f t="shared" si="170"/>
        <v>0</v>
      </c>
      <c r="AL143" s="616">
        <f t="shared" si="171"/>
        <v>0</v>
      </c>
      <c r="AM143" s="615">
        <f t="shared" si="172"/>
        <v>0</v>
      </c>
      <c r="AN143" s="616">
        <f t="shared" si="173"/>
        <v>0</v>
      </c>
      <c r="AO143" s="616">
        <f t="shared" si="174"/>
        <v>0</v>
      </c>
      <c r="AP143" s="616">
        <f t="shared" si="175"/>
        <v>0</v>
      </c>
      <c r="AQ143" s="637">
        <f t="shared" si="176"/>
        <v>0</v>
      </c>
      <c r="AR143" s="638">
        <f t="shared" si="143"/>
        <v>0</v>
      </c>
      <c r="AS143" s="616">
        <f t="shared" si="144"/>
        <v>0</v>
      </c>
      <c r="AT143" s="616">
        <f t="shared" si="145"/>
        <v>0</v>
      </c>
      <c r="AU143" s="616">
        <f t="shared" si="146"/>
        <v>0</v>
      </c>
      <c r="AV143" s="616">
        <f t="shared" si="147"/>
        <v>0</v>
      </c>
      <c r="AW143" s="616">
        <f t="shared" si="148"/>
        <v>0</v>
      </c>
      <c r="AX143" s="616">
        <f t="shared" si="149"/>
        <v>0</v>
      </c>
      <c r="AY143" s="616"/>
      <c r="AZ143" s="615">
        <f t="shared" si="150"/>
        <v>0</v>
      </c>
      <c r="BA143" s="616">
        <f t="shared" si="151"/>
        <v>0</v>
      </c>
      <c r="BB143" s="616">
        <f t="shared" si="152"/>
        <v>0</v>
      </c>
      <c r="BC143" s="616">
        <f t="shared" si="153"/>
        <v>0</v>
      </c>
      <c r="BD143" s="616">
        <f t="shared" si="154"/>
        <v>0</v>
      </c>
      <c r="BE143" s="616">
        <f t="shared" si="155"/>
        <v>0</v>
      </c>
      <c r="BF143" s="616">
        <f t="shared" si="156"/>
        <v>0</v>
      </c>
      <c r="BG143" s="616"/>
      <c r="BH143" s="615">
        <f t="shared" si="157"/>
        <v>0</v>
      </c>
      <c r="BI143" s="616">
        <f t="shared" si="158"/>
        <v>0</v>
      </c>
      <c r="BJ143" s="616">
        <f t="shared" si="159"/>
        <v>0</v>
      </c>
      <c r="BK143" s="616">
        <f t="shared" si="160"/>
        <v>0</v>
      </c>
      <c r="BL143" s="616">
        <f t="shared" si="161"/>
        <v>0</v>
      </c>
      <c r="BM143" s="616">
        <f t="shared" si="162"/>
        <v>0</v>
      </c>
      <c r="BN143" s="616">
        <f t="shared" si="163"/>
        <v>0</v>
      </c>
      <c r="BO143" s="616"/>
      <c r="BP143" s="304"/>
    </row>
    <row r="144" s="130" customFormat="1" ht="36" spans="1:68">
      <c r="A144" s="497" t="s">
        <v>202</v>
      </c>
      <c r="B144" s="497" t="s">
        <v>203</v>
      </c>
      <c r="C144" s="497" t="s">
        <v>396</v>
      </c>
      <c r="D144" s="497" t="s">
        <v>397</v>
      </c>
      <c r="E144" s="615">
        <f t="shared" si="137"/>
        <v>63.61</v>
      </c>
      <c r="F144" s="615">
        <f t="shared" si="138"/>
        <v>57.81</v>
      </c>
      <c r="G144" s="616">
        <v>24.69</v>
      </c>
      <c r="H144" s="616">
        <v>14.73</v>
      </c>
      <c r="I144" s="616">
        <v>2.06</v>
      </c>
      <c r="J144" s="616"/>
      <c r="K144" s="616"/>
      <c r="L144" s="616">
        <v>16.33</v>
      </c>
      <c r="M144" s="615">
        <f t="shared" si="139"/>
        <v>5.8</v>
      </c>
      <c r="N144" s="616"/>
      <c r="O144" s="616"/>
      <c r="P144" s="616">
        <v>2.8</v>
      </c>
      <c r="Q144" s="616">
        <v>3</v>
      </c>
      <c r="R144" s="615">
        <f t="shared" si="140"/>
        <v>-6.3</v>
      </c>
      <c r="S144" s="615">
        <f t="shared" si="141"/>
        <v>-6.66</v>
      </c>
      <c r="T144" s="616">
        <v>-4.35</v>
      </c>
      <c r="U144" s="616">
        <v>-2.31</v>
      </c>
      <c r="V144" s="616"/>
      <c r="W144" s="616"/>
      <c r="X144" s="616"/>
      <c r="Y144" s="616"/>
      <c r="Z144" s="615">
        <f t="shared" si="142"/>
        <v>0.36</v>
      </c>
      <c r="AA144" s="616"/>
      <c r="AB144" s="616">
        <v>0.15</v>
      </c>
      <c r="AC144" s="616">
        <v>0.21</v>
      </c>
      <c r="AD144" s="616"/>
      <c r="AE144" s="615">
        <f t="shared" si="164"/>
        <v>57.31</v>
      </c>
      <c r="AF144" s="615">
        <f t="shared" si="165"/>
        <v>51.15</v>
      </c>
      <c r="AG144" s="616">
        <f t="shared" si="166"/>
        <v>20.34</v>
      </c>
      <c r="AH144" s="616">
        <f t="shared" si="167"/>
        <v>12.42</v>
      </c>
      <c r="AI144" s="616">
        <f t="shared" si="168"/>
        <v>2.06</v>
      </c>
      <c r="AJ144" s="616">
        <f t="shared" si="169"/>
        <v>0</v>
      </c>
      <c r="AK144" s="616">
        <f t="shared" si="170"/>
        <v>0</v>
      </c>
      <c r="AL144" s="616">
        <f t="shared" si="171"/>
        <v>16.33</v>
      </c>
      <c r="AM144" s="615">
        <f t="shared" si="172"/>
        <v>6.16</v>
      </c>
      <c r="AN144" s="616">
        <f t="shared" si="173"/>
        <v>0</v>
      </c>
      <c r="AO144" s="616">
        <f t="shared" si="174"/>
        <v>0.15</v>
      </c>
      <c r="AP144" s="616">
        <f t="shared" si="175"/>
        <v>3.01</v>
      </c>
      <c r="AQ144" s="637">
        <f t="shared" si="176"/>
        <v>3</v>
      </c>
      <c r="AR144" s="638">
        <f t="shared" si="143"/>
        <v>19.81416</v>
      </c>
      <c r="AS144" s="616">
        <f t="shared" si="144"/>
        <v>9.2496</v>
      </c>
      <c r="AT144" s="616">
        <f t="shared" si="145"/>
        <v>3.1536</v>
      </c>
      <c r="AU144" s="616">
        <f t="shared" si="146"/>
        <v>2.3652</v>
      </c>
      <c r="AV144" s="616">
        <f t="shared" si="147"/>
        <v>0.07884</v>
      </c>
      <c r="AW144" s="616">
        <f t="shared" si="148"/>
        <v>0.23652</v>
      </c>
      <c r="AX144" s="616">
        <f t="shared" si="149"/>
        <v>4.7304</v>
      </c>
      <c r="AY144" s="616"/>
      <c r="AZ144" s="615">
        <f t="shared" si="150"/>
        <v>-2.85048</v>
      </c>
      <c r="BA144" s="616">
        <f t="shared" si="151"/>
        <v>-1.0656</v>
      </c>
      <c r="BB144" s="616">
        <f t="shared" si="152"/>
        <v>-0.5328</v>
      </c>
      <c r="BC144" s="616">
        <f t="shared" si="153"/>
        <v>-0.3996</v>
      </c>
      <c r="BD144" s="616">
        <f t="shared" si="154"/>
        <v>-0.01332</v>
      </c>
      <c r="BE144" s="616">
        <f t="shared" si="155"/>
        <v>-0.03996</v>
      </c>
      <c r="BF144" s="616">
        <f t="shared" si="156"/>
        <v>-0.7992</v>
      </c>
      <c r="BG144" s="616"/>
      <c r="BH144" s="615">
        <f t="shared" si="157"/>
        <v>16.96368</v>
      </c>
      <c r="BI144" s="616">
        <f t="shared" si="158"/>
        <v>8.184</v>
      </c>
      <c r="BJ144" s="616">
        <f t="shared" si="159"/>
        <v>2.6208</v>
      </c>
      <c r="BK144" s="616">
        <f t="shared" si="160"/>
        <v>1.9656</v>
      </c>
      <c r="BL144" s="616">
        <f t="shared" si="161"/>
        <v>0.06552</v>
      </c>
      <c r="BM144" s="616">
        <f t="shared" si="162"/>
        <v>0.19656</v>
      </c>
      <c r="BN144" s="616">
        <f t="shared" si="163"/>
        <v>3.9312</v>
      </c>
      <c r="BO144" s="616"/>
      <c r="BP144" s="304"/>
    </row>
    <row r="145" s="508" customFormat="1" ht="21" customHeight="1" spans="1:69">
      <c r="A145" s="647"/>
      <c r="B145" s="647"/>
      <c r="C145" s="647" t="s">
        <v>129</v>
      </c>
      <c r="D145" s="648">
        <v>205</v>
      </c>
      <c r="E145" s="612">
        <f t="shared" ref="E145:P145" si="177">SUM(E146:E206)</f>
        <v>97.64</v>
      </c>
      <c r="F145" s="612">
        <f t="shared" si="177"/>
        <v>91.19</v>
      </c>
      <c r="G145" s="612">
        <f t="shared" si="177"/>
        <v>47.74</v>
      </c>
      <c r="H145" s="612">
        <f t="shared" si="177"/>
        <v>28.05</v>
      </c>
      <c r="I145" s="612">
        <f t="shared" si="177"/>
        <v>4.41</v>
      </c>
      <c r="J145" s="612">
        <f t="shared" si="177"/>
        <v>0</v>
      </c>
      <c r="K145" s="612">
        <f t="shared" si="177"/>
        <v>0</v>
      </c>
      <c r="L145" s="612">
        <f t="shared" si="177"/>
        <v>10.99</v>
      </c>
      <c r="M145" s="612">
        <f t="shared" si="177"/>
        <v>6.45</v>
      </c>
      <c r="N145" s="612">
        <f t="shared" si="177"/>
        <v>0</v>
      </c>
      <c r="O145" s="612">
        <f t="shared" si="177"/>
        <v>0</v>
      </c>
      <c r="P145" s="612">
        <f t="shared" si="177"/>
        <v>4.95</v>
      </c>
      <c r="Q145" s="612">
        <f t="shared" ref="Q145:AE145" si="178">SUM(Q146:Q206)</f>
        <v>1.5</v>
      </c>
      <c r="R145" s="612">
        <f t="shared" si="178"/>
        <v>28.51</v>
      </c>
      <c r="S145" s="612">
        <f t="shared" si="178"/>
        <v>26.34</v>
      </c>
      <c r="T145" s="612">
        <f t="shared" si="178"/>
        <v>3.17</v>
      </c>
      <c r="U145" s="612">
        <f t="shared" si="178"/>
        <v>0</v>
      </c>
      <c r="V145" s="612">
        <f t="shared" si="178"/>
        <v>0</v>
      </c>
      <c r="W145" s="612">
        <f t="shared" si="178"/>
        <v>0</v>
      </c>
      <c r="X145" s="612">
        <f t="shared" si="178"/>
        <v>0</v>
      </c>
      <c r="Y145" s="612">
        <f t="shared" si="178"/>
        <v>23.17</v>
      </c>
      <c r="Z145" s="612">
        <f t="shared" si="178"/>
        <v>2.17</v>
      </c>
      <c r="AA145" s="612">
        <f t="shared" si="178"/>
        <v>0</v>
      </c>
      <c r="AB145" s="612">
        <f t="shared" si="178"/>
        <v>0.15</v>
      </c>
      <c r="AC145" s="612">
        <f t="shared" si="178"/>
        <v>1.18</v>
      </c>
      <c r="AD145" s="612">
        <f t="shared" si="178"/>
        <v>0.84</v>
      </c>
      <c r="AE145" s="612">
        <f t="shared" ref="AE145:AQ145" si="179">SUM(AE146:AE206)</f>
        <v>126.15</v>
      </c>
      <c r="AF145" s="612">
        <f t="shared" si="179"/>
        <v>117.53</v>
      </c>
      <c r="AG145" s="612">
        <f t="shared" si="179"/>
        <v>50.91</v>
      </c>
      <c r="AH145" s="612">
        <f t="shared" si="179"/>
        <v>28.05</v>
      </c>
      <c r="AI145" s="612">
        <f t="shared" si="179"/>
        <v>4.41</v>
      </c>
      <c r="AJ145" s="612">
        <f t="shared" si="179"/>
        <v>0</v>
      </c>
      <c r="AK145" s="612">
        <f t="shared" si="179"/>
        <v>0</v>
      </c>
      <c r="AL145" s="612">
        <f t="shared" si="179"/>
        <v>34.16</v>
      </c>
      <c r="AM145" s="612">
        <f t="shared" si="179"/>
        <v>8.62</v>
      </c>
      <c r="AN145" s="612">
        <f t="shared" si="179"/>
        <v>0</v>
      </c>
      <c r="AO145" s="612">
        <f t="shared" si="179"/>
        <v>0.15</v>
      </c>
      <c r="AP145" s="612">
        <f t="shared" si="179"/>
        <v>6.13</v>
      </c>
      <c r="AQ145" s="635">
        <f t="shared" si="179"/>
        <v>2.34</v>
      </c>
      <c r="AR145" s="636">
        <f t="shared" ref="AR145:AY145" si="180">SUM(AR146:AR206)</f>
        <v>34.90212</v>
      </c>
      <c r="AS145" s="612">
        <f t="shared" si="180"/>
        <v>14.5904</v>
      </c>
      <c r="AT145" s="612">
        <f t="shared" si="180"/>
        <v>6.0632</v>
      </c>
      <c r="AU145" s="612">
        <f t="shared" si="180"/>
        <v>4.5474</v>
      </c>
      <c r="AV145" s="612">
        <f t="shared" si="180"/>
        <v>0.15158</v>
      </c>
      <c r="AW145" s="612">
        <f t="shared" si="180"/>
        <v>0.45474</v>
      </c>
      <c r="AX145" s="612">
        <f t="shared" si="180"/>
        <v>9.0948</v>
      </c>
      <c r="AY145" s="612">
        <f t="shared" si="180"/>
        <v>0</v>
      </c>
      <c r="AZ145" s="612">
        <f t="shared" ref="AZ145:BO145" si="181">SUM(AZ146:AZ206)</f>
        <v>5.06396</v>
      </c>
      <c r="BA145" s="612">
        <f t="shared" si="181"/>
        <v>4.2144</v>
      </c>
      <c r="BB145" s="612">
        <f t="shared" si="181"/>
        <v>0.2536</v>
      </c>
      <c r="BC145" s="612">
        <f t="shared" si="181"/>
        <v>0.1902</v>
      </c>
      <c r="BD145" s="612">
        <f t="shared" si="181"/>
        <v>0.00634</v>
      </c>
      <c r="BE145" s="612">
        <f t="shared" si="181"/>
        <v>0.01902</v>
      </c>
      <c r="BF145" s="612">
        <f t="shared" si="181"/>
        <v>0.3804</v>
      </c>
      <c r="BG145" s="612">
        <f t="shared" si="181"/>
        <v>0</v>
      </c>
      <c r="BH145" s="612">
        <f t="shared" si="181"/>
        <v>39.96608</v>
      </c>
      <c r="BI145" s="612">
        <f t="shared" si="181"/>
        <v>18.8048</v>
      </c>
      <c r="BJ145" s="612">
        <f t="shared" si="181"/>
        <v>6.3168</v>
      </c>
      <c r="BK145" s="612">
        <f t="shared" si="181"/>
        <v>4.7376</v>
      </c>
      <c r="BL145" s="612">
        <f t="shared" si="181"/>
        <v>0.15792</v>
      </c>
      <c r="BM145" s="612">
        <f t="shared" si="181"/>
        <v>0.47376</v>
      </c>
      <c r="BN145" s="612">
        <f t="shared" si="181"/>
        <v>9.4752</v>
      </c>
      <c r="BO145" s="612">
        <f t="shared" si="181"/>
        <v>0</v>
      </c>
      <c r="BP145" s="334"/>
      <c r="BQ145" s="580"/>
    </row>
    <row r="146" s="130" customFormat="1" ht="24" spans="1:68">
      <c r="A146" s="497" t="s">
        <v>202</v>
      </c>
      <c r="B146" s="497" t="s">
        <v>203</v>
      </c>
      <c r="C146" s="497" t="s">
        <v>398</v>
      </c>
      <c r="D146" s="497" t="s">
        <v>399</v>
      </c>
      <c r="E146" s="615">
        <f t="shared" ref="E146:E206" si="182">F146+M146</f>
        <v>59.75</v>
      </c>
      <c r="F146" s="615">
        <f t="shared" ref="F146:F177" si="183">SUM(G146:L146)</f>
        <v>56.45</v>
      </c>
      <c r="G146" s="616">
        <v>34.08</v>
      </c>
      <c r="H146" s="616">
        <v>19.53</v>
      </c>
      <c r="I146" s="616">
        <v>2.84</v>
      </c>
      <c r="J146" s="616"/>
      <c r="K146" s="616"/>
      <c r="L146" s="650"/>
      <c r="M146" s="615">
        <f t="shared" ref="M146:M206" si="184">SUM(N146:Q146)</f>
        <v>3.3</v>
      </c>
      <c r="N146" s="616"/>
      <c r="O146" s="616"/>
      <c r="P146" s="616">
        <v>3.3</v>
      </c>
      <c r="Q146" s="616"/>
      <c r="R146" s="615">
        <f t="shared" ref="R146:R206" si="185">S146+Z146</f>
        <v>28.4</v>
      </c>
      <c r="S146" s="615">
        <f t="shared" ref="S146:S206" si="186">SUM(T146:Y146)</f>
        <v>27.6</v>
      </c>
      <c r="T146" s="649">
        <v>4.35</v>
      </c>
      <c r="U146" s="649"/>
      <c r="V146" s="649"/>
      <c r="W146" s="616"/>
      <c r="X146" s="616"/>
      <c r="Y146" s="616">
        <v>23.25</v>
      </c>
      <c r="Z146" s="615">
        <f t="shared" ref="Z146:Z206" si="187">SUM(AA146:AD146)</f>
        <v>0.8</v>
      </c>
      <c r="AA146" s="616"/>
      <c r="AB146" s="616">
        <v>0.15</v>
      </c>
      <c r="AC146" s="649">
        <v>0.65</v>
      </c>
      <c r="AD146" s="616"/>
      <c r="AE146" s="615">
        <f t="shared" si="164"/>
        <v>88.15</v>
      </c>
      <c r="AF146" s="615">
        <f t="shared" si="165"/>
        <v>84.05</v>
      </c>
      <c r="AG146" s="616">
        <f t="shared" si="166"/>
        <v>38.43</v>
      </c>
      <c r="AH146" s="616">
        <f t="shared" si="167"/>
        <v>19.53</v>
      </c>
      <c r="AI146" s="616">
        <f t="shared" si="168"/>
        <v>2.84</v>
      </c>
      <c r="AJ146" s="616">
        <f t="shared" si="169"/>
        <v>0</v>
      </c>
      <c r="AK146" s="616">
        <f t="shared" si="170"/>
        <v>0</v>
      </c>
      <c r="AL146" s="616">
        <f t="shared" si="171"/>
        <v>23.25</v>
      </c>
      <c r="AM146" s="615">
        <f t="shared" si="172"/>
        <v>4.1</v>
      </c>
      <c r="AN146" s="616">
        <f t="shared" si="173"/>
        <v>0</v>
      </c>
      <c r="AO146" s="616">
        <f t="shared" si="174"/>
        <v>0.15</v>
      </c>
      <c r="AP146" s="616">
        <f t="shared" si="175"/>
        <v>3.95</v>
      </c>
      <c r="AQ146" s="637">
        <f t="shared" si="176"/>
        <v>0</v>
      </c>
      <c r="AR146" s="638">
        <f t="shared" ref="AR146:AR206" si="188">SUM(AS146:AY146)</f>
        <v>23.39948</v>
      </c>
      <c r="AS146" s="616">
        <f t="shared" si="144"/>
        <v>9.032</v>
      </c>
      <c r="AT146" s="616">
        <f t="shared" si="145"/>
        <v>4.2888</v>
      </c>
      <c r="AU146" s="616">
        <f t="shared" si="146"/>
        <v>3.2166</v>
      </c>
      <c r="AV146" s="616">
        <f t="shared" si="147"/>
        <v>0.10722</v>
      </c>
      <c r="AW146" s="616">
        <f t="shared" si="148"/>
        <v>0.32166</v>
      </c>
      <c r="AX146" s="616">
        <f t="shared" si="149"/>
        <v>6.4332</v>
      </c>
      <c r="AY146" s="616"/>
      <c r="AZ146" s="615">
        <f t="shared" si="150"/>
        <v>5.5818</v>
      </c>
      <c r="BA146" s="616">
        <f t="shared" si="151"/>
        <v>4.416</v>
      </c>
      <c r="BB146" s="616">
        <f t="shared" si="152"/>
        <v>0.348</v>
      </c>
      <c r="BC146" s="616">
        <f t="shared" si="153"/>
        <v>0.261</v>
      </c>
      <c r="BD146" s="616">
        <f t="shared" si="154"/>
        <v>0.0087</v>
      </c>
      <c r="BE146" s="616">
        <f t="shared" si="155"/>
        <v>0.0261</v>
      </c>
      <c r="BF146" s="616">
        <f t="shared" si="156"/>
        <v>0.522</v>
      </c>
      <c r="BG146" s="616"/>
      <c r="BH146" s="615">
        <f t="shared" si="157"/>
        <v>28.98128</v>
      </c>
      <c r="BI146" s="616">
        <f t="shared" si="158"/>
        <v>13.448</v>
      </c>
      <c r="BJ146" s="616">
        <f t="shared" si="159"/>
        <v>4.6368</v>
      </c>
      <c r="BK146" s="616">
        <f t="shared" si="160"/>
        <v>3.4776</v>
      </c>
      <c r="BL146" s="616">
        <f t="shared" si="161"/>
        <v>0.11592</v>
      </c>
      <c r="BM146" s="616">
        <f t="shared" si="162"/>
        <v>0.34776</v>
      </c>
      <c r="BN146" s="616">
        <f t="shared" si="163"/>
        <v>6.9552</v>
      </c>
      <c r="BO146" s="616"/>
      <c r="BP146" s="654"/>
    </row>
    <row r="147" s="130" customFormat="1" ht="24" spans="1:68">
      <c r="A147" s="497" t="s">
        <v>202</v>
      </c>
      <c r="B147" s="497" t="s">
        <v>400</v>
      </c>
      <c r="C147" s="497" t="s">
        <v>401</v>
      </c>
      <c r="D147" s="497" t="s">
        <v>402</v>
      </c>
      <c r="E147" s="615">
        <f t="shared" si="182"/>
        <v>0</v>
      </c>
      <c r="F147" s="615">
        <f t="shared" si="183"/>
        <v>0</v>
      </c>
      <c r="G147" s="616"/>
      <c r="H147" s="616"/>
      <c r="I147" s="616"/>
      <c r="J147" s="616"/>
      <c r="K147" s="616"/>
      <c r="L147" s="616"/>
      <c r="M147" s="615">
        <f t="shared" si="184"/>
        <v>0</v>
      </c>
      <c r="N147" s="616"/>
      <c r="O147" s="616"/>
      <c r="P147" s="616"/>
      <c r="Q147" s="616"/>
      <c r="R147" s="615">
        <f t="shared" si="185"/>
        <v>0</v>
      </c>
      <c r="S147" s="615">
        <f t="shared" si="186"/>
        <v>0</v>
      </c>
      <c r="T147" s="616"/>
      <c r="U147" s="616"/>
      <c r="V147" s="616"/>
      <c r="W147" s="616"/>
      <c r="X147" s="616"/>
      <c r="Y147" s="616"/>
      <c r="Z147" s="615">
        <f t="shared" si="187"/>
        <v>0</v>
      </c>
      <c r="AA147" s="616"/>
      <c r="AB147" s="616"/>
      <c r="AC147" s="616"/>
      <c r="AD147" s="616"/>
      <c r="AE147" s="615">
        <f t="shared" ref="AE147:AE178" si="189">AF147+AM147</f>
        <v>0</v>
      </c>
      <c r="AF147" s="615">
        <f t="shared" ref="AF147:AF178" si="190">SUM(AG147:AL147)</f>
        <v>0</v>
      </c>
      <c r="AG147" s="616">
        <f t="shared" ref="AG147:AG178" si="191">G147+T147</f>
        <v>0</v>
      </c>
      <c r="AH147" s="616">
        <f t="shared" ref="AH147:AH178" si="192">H147+U147</f>
        <v>0</v>
      </c>
      <c r="AI147" s="616">
        <f t="shared" ref="AI147:AI178" si="193">I147+V147</f>
        <v>0</v>
      </c>
      <c r="AJ147" s="616">
        <f t="shared" ref="AJ147:AJ178" si="194">J147+W147</f>
        <v>0</v>
      </c>
      <c r="AK147" s="616">
        <f t="shared" ref="AK147:AK178" si="195">K147+X147</f>
        <v>0</v>
      </c>
      <c r="AL147" s="616">
        <f t="shared" ref="AL147:AL178" si="196">L147+Y147</f>
        <v>0</v>
      </c>
      <c r="AM147" s="615">
        <f t="shared" ref="AM147:AM178" si="197">SUM(AN147:AQ147)</f>
        <v>0</v>
      </c>
      <c r="AN147" s="616">
        <f t="shared" ref="AN147:AN178" si="198">N147+AA147</f>
        <v>0</v>
      </c>
      <c r="AO147" s="616">
        <f t="shared" ref="AO147:AO178" si="199">O147+AB147</f>
        <v>0</v>
      </c>
      <c r="AP147" s="616">
        <f t="shared" ref="AP147:AP178" si="200">P147+AC147</f>
        <v>0</v>
      </c>
      <c r="AQ147" s="637">
        <f t="shared" ref="AQ147:AQ178" si="201">Q147+AD147</f>
        <v>0</v>
      </c>
      <c r="AR147" s="638">
        <f t="shared" si="188"/>
        <v>0</v>
      </c>
      <c r="AS147" s="616">
        <f t="shared" si="144"/>
        <v>0</v>
      </c>
      <c r="AT147" s="616">
        <f t="shared" si="145"/>
        <v>0</v>
      </c>
      <c r="AU147" s="616">
        <f t="shared" si="146"/>
        <v>0</v>
      </c>
      <c r="AV147" s="616">
        <f t="shared" si="147"/>
        <v>0</v>
      </c>
      <c r="AW147" s="616">
        <f t="shared" si="148"/>
        <v>0</v>
      </c>
      <c r="AX147" s="616">
        <f t="shared" si="149"/>
        <v>0</v>
      </c>
      <c r="AY147" s="616"/>
      <c r="AZ147" s="615">
        <f t="shared" si="150"/>
        <v>0</v>
      </c>
      <c r="BA147" s="616">
        <f t="shared" si="151"/>
        <v>0</v>
      </c>
      <c r="BB147" s="616">
        <f t="shared" si="152"/>
        <v>0</v>
      </c>
      <c r="BC147" s="616">
        <f t="shared" si="153"/>
        <v>0</v>
      </c>
      <c r="BD147" s="616">
        <f t="shared" si="154"/>
        <v>0</v>
      </c>
      <c r="BE147" s="616">
        <f t="shared" si="155"/>
        <v>0</v>
      </c>
      <c r="BF147" s="616">
        <f t="shared" si="156"/>
        <v>0</v>
      </c>
      <c r="BG147" s="616"/>
      <c r="BH147" s="615">
        <f t="shared" si="157"/>
        <v>0</v>
      </c>
      <c r="BI147" s="616">
        <f t="shared" si="158"/>
        <v>0</v>
      </c>
      <c r="BJ147" s="616">
        <f t="shared" si="159"/>
        <v>0</v>
      </c>
      <c r="BK147" s="616">
        <f t="shared" si="160"/>
        <v>0</v>
      </c>
      <c r="BL147" s="616">
        <f t="shared" si="161"/>
        <v>0</v>
      </c>
      <c r="BM147" s="616">
        <f t="shared" si="162"/>
        <v>0</v>
      </c>
      <c r="BN147" s="616">
        <f t="shared" si="163"/>
        <v>0</v>
      </c>
      <c r="BO147" s="616"/>
      <c r="BP147" s="304"/>
    </row>
    <row r="148" s="130" customFormat="1" ht="24" spans="1:68">
      <c r="A148" s="497" t="s">
        <v>202</v>
      </c>
      <c r="B148" s="497" t="s">
        <v>400</v>
      </c>
      <c r="C148" s="497" t="s">
        <v>403</v>
      </c>
      <c r="D148" s="497" t="s">
        <v>402</v>
      </c>
      <c r="E148" s="615">
        <f t="shared" si="182"/>
        <v>0</v>
      </c>
      <c r="F148" s="615">
        <f t="shared" si="183"/>
        <v>0</v>
      </c>
      <c r="G148" s="616"/>
      <c r="H148" s="616"/>
      <c r="I148" s="616"/>
      <c r="J148" s="616"/>
      <c r="K148" s="616"/>
      <c r="L148" s="616"/>
      <c r="M148" s="615">
        <f t="shared" si="184"/>
        <v>0</v>
      </c>
      <c r="N148" s="616"/>
      <c r="O148" s="616"/>
      <c r="P148" s="616"/>
      <c r="Q148" s="616"/>
      <c r="R148" s="615">
        <f t="shared" si="185"/>
        <v>0</v>
      </c>
      <c r="S148" s="615">
        <f t="shared" si="186"/>
        <v>0</v>
      </c>
      <c r="T148" s="616"/>
      <c r="U148" s="616"/>
      <c r="V148" s="616"/>
      <c r="W148" s="616"/>
      <c r="X148" s="616"/>
      <c r="Y148" s="616"/>
      <c r="Z148" s="615">
        <f t="shared" si="187"/>
        <v>0</v>
      </c>
      <c r="AA148" s="616"/>
      <c r="AB148" s="616"/>
      <c r="AC148" s="616"/>
      <c r="AD148" s="616"/>
      <c r="AE148" s="615">
        <f t="shared" si="189"/>
        <v>0</v>
      </c>
      <c r="AF148" s="615">
        <f t="shared" si="190"/>
        <v>0</v>
      </c>
      <c r="AG148" s="616">
        <f t="shared" si="191"/>
        <v>0</v>
      </c>
      <c r="AH148" s="616">
        <f t="shared" si="192"/>
        <v>0</v>
      </c>
      <c r="AI148" s="616">
        <f t="shared" si="193"/>
        <v>0</v>
      </c>
      <c r="AJ148" s="616">
        <f t="shared" si="194"/>
        <v>0</v>
      </c>
      <c r="AK148" s="616">
        <f t="shared" si="195"/>
        <v>0</v>
      </c>
      <c r="AL148" s="616">
        <f t="shared" si="196"/>
        <v>0</v>
      </c>
      <c r="AM148" s="615">
        <f t="shared" si="197"/>
        <v>0</v>
      </c>
      <c r="AN148" s="616">
        <f t="shared" si="198"/>
        <v>0</v>
      </c>
      <c r="AO148" s="616">
        <f t="shared" si="199"/>
        <v>0</v>
      </c>
      <c r="AP148" s="616">
        <f t="shared" si="200"/>
        <v>0</v>
      </c>
      <c r="AQ148" s="637">
        <f t="shared" si="201"/>
        <v>0</v>
      </c>
      <c r="AR148" s="638">
        <f t="shared" si="188"/>
        <v>0</v>
      </c>
      <c r="AS148" s="616">
        <f t="shared" si="144"/>
        <v>0</v>
      </c>
      <c r="AT148" s="616">
        <f t="shared" si="145"/>
        <v>0</v>
      </c>
      <c r="AU148" s="616">
        <f t="shared" si="146"/>
        <v>0</v>
      </c>
      <c r="AV148" s="616">
        <f t="shared" si="147"/>
        <v>0</v>
      </c>
      <c r="AW148" s="616">
        <f t="shared" si="148"/>
        <v>0</v>
      </c>
      <c r="AX148" s="616">
        <f t="shared" si="149"/>
        <v>0</v>
      </c>
      <c r="AY148" s="616"/>
      <c r="AZ148" s="615">
        <f t="shared" si="150"/>
        <v>0</v>
      </c>
      <c r="BA148" s="616">
        <f t="shared" si="151"/>
        <v>0</v>
      </c>
      <c r="BB148" s="616">
        <f t="shared" si="152"/>
        <v>0</v>
      </c>
      <c r="BC148" s="616">
        <f t="shared" si="153"/>
        <v>0</v>
      </c>
      <c r="BD148" s="616">
        <f t="shared" si="154"/>
        <v>0</v>
      </c>
      <c r="BE148" s="616">
        <f t="shared" si="155"/>
        <v>0</v>
      </c>
      <c r="BF148" s="616">
        <f t="shared" si="156"/>
        <v>0</v>
      </c>
      <c r="BG148" s="616"/>
      <c r="BH148" s="615">
        <f t="shared" si="157"/>
        <v>0</v>
      </c>
      <c r="BI148" s="616">
        <f t="shared" si="158"/>
        <v>0</v>
      </c>
      <c r="BJ148" s="616">
        <f t="shared" si="159"/>
        <v>0</v>
      </c>
      <c r="BK148" s="616">
        <f t="shared" si="160"/>
        <v>0</v>
      </c>
      <c r="BL148" s="616">
        <f t="shared" si="161"/>
        <v>0</v>
      </c>
      <c r="BM148" s="616">
        <f t="shared" si="162"/>
        <v>0</v>
      </c>
      <c r="BN148" s="616">
        <f t="shared" si="163"/>
        <v>0</v>
      </c>
      <c r="BO148" s="616"/>
      <c r="BP148" s="304"/>
    </row>
    <row r="149" s="130" customFormat="1" ht="24" spans="1:68">
      <c r="A149" s="497" t="s">
        <v>202</v>
      </c>
      <c r="B149" s="497" t="s">
        <v>404</v>
      </c>
      <c r="C149" s="497" t="s">
        <v>405</v>
      </c>
      <c r="D149" s="497" t="s">
        <v>406</v>
      </c>
      <c r="E149" s="615">
        <f t="shared" si="182"/>
        <v>0</v>
      </c>
      <c r="F149" s="615">
        <f t="shared" si="183"/>
        <v>0</v>
      </c>
      <c r="G149" s="616"/>
      <c r="H149" s="616"/>
      <c r="I149" s="616"/>
      <c r="J149" s="616"/>
      <c r="K149" s="616"/>
      <c r="L149" s="616"/>
      <c r="M149" s="615">
        <f t="shared" si="184"/>
        <v>0</v>
      </c>
      <c r="N149" s="616"/>
      <c r="O149" s="616"/>
      <c r="P149" s="616"/>
      <c r="Q149" s="616"/>
      <c r="R149" s="615">
        <f t="shared" si="185"/>
        <v>0</v>
      </c>
      <c r="S149" s="615">
        <f t="shared" si="186"/>
        <v>0</v>
      </c>
      <c r="T149" s="616"/>
      <c r="U149" s="616"/>
      <c r="V149" s="616"/>
      <c r="W149" s="616"/>
      <c r="X149" s="616"/>
      <c r="Y149" s="616"/>
      <c r="Z149" s="615">
        <f t="shared" si="187"/>
        <v>0</v>
      </c>
      <c r="AA149" s="616"/>
      <c r="AB149" s="616"/>
      <c r="AC149" s="616"/>
      <c r="AD149" s="616"/>
      <c r="AE149" s="615">
        <f t="shared" si="189"/>
        <v>0</v>
      </c>
      <c r="AF149" s="615">
        <f t="shared" si="190"/>
        <v>0</v>
      </c>
      <c r="AG149" s="616">
        <f t="shared" si="191"/>
        <v>0</v>
      </c>
      <c r="AH149" s="616">
        <f t="shared" si="192"/>
        <v>0</v>
      </c>
      <c r="AI149" s="616">
        <f t="shared" si="193"/>
        <v>0</v>
      </c>
      <c r="AJ149" s="616">
        <f t="shared" si="194"/>
        <v>0</v>
      </c>
      <c r="AK149" s="616">
        <f t="shared" si="195"/>
        <v>0</v>
      </c>
      <c r="AL149" s="616">
        <f t="shared" si="196"/>
        <v>0</v>
      </c>
      <c r="AM149" s="615">
        <f t="shared" si="197"/>
        <v>0</v>
      </c>
      <c r="AN149" s="616">
        <f t="shared" si="198"/>
        <v>0</v>
      </c>
      <c r="AO149" s="616">
        <f t="shared" si="199"/>
        <v>0</v>
      </c>
      <c r="AP149" s="616">
        <f t="shared" si="200"/>
        <v>0</v>
      </c>
      <c r="AQ149" s="637">
        <f t="shared" si="201"/>
        <v>0</v>
      </c>
      <c r="AR149" s="638">
        <f t="shared" si="188"/>
        <v>0</v>
      </c>
      <c r="AS149" s="616">
        <f t="shared" si="144"/>
        <v>0</v>
      </c>
      <c r="AT149" s="616">
        <f t="shared" si="145"/>
        <v>0</v>
      </c>
      <c r="AU149" s="616">
        <f t="shared" si="146"/>
        <v>0</v>
      </c>
      <c r="AV149" s="616">
        <f t="shared" si="147"/>
        <v>0</v>
      </c>
      <c r="AW149" s="616">
        <f t="shared" si="148"/>
        <v>0</v>
      </c>
      <c r="AX149" s="616">
        <f t="shared" si="149"/>
        <v>0</v>
      </c>
      <c r="AY149" s="616"/>
      <c r="AZ149" s="615">
        <f t="shared" si="150"/>
        <v>0</v>
      </c>
      <c r="BA149" s="616">
        <f t="shared" si="151"/>
        <v>0</v>
      </c>
      <c r="BB149" s="616">
        <f t="shared" si="152"/>
        <v>0</v>
      </c>
      <c r="BC149" s="616">
        <f t="shared" si="153"/>
        <v>0</v>
      </c>
      <c r="BD149" s="616">
        <f t="shared" si="154"/>
        <v>0</v>
      </c>
      <c r="BE149" s="616">
        <f t="shared" si="155"/>
        <v>0</v>
      </c>
      <c r="BF149" s="616">
        <f t="shared" si="156"/>
        <v>0</v>
      </c>
      <c r="BG149" s="616"/>
      <c r="BH149" s="615">
        <f t="shared" si="157"/>
        <v>0</v>
      </c>
      <c r="BI149" s="616">
        <f t="shared" si="158"/>
        <v>0</v>
      </c>
      <c r="BJ149" s="616">
        <f t="shared" si="159"/>
        <v>0</v>
      </c>
      <c r="BK149" s="616">
        <f t="shared" si="160"/>
        <v>0</v>
      </c>
      <c r="BL149" s="616">
        <f t="shared" si="161"/>
        <v>0</v>
      </c>
      <c r="BM149" s="616">
        <f t="shared" si="162"/>
        <v>0</v>
      </c>
      <c r="BN149" s="616">
        <f t="shared" si="163"/>
        <v>0</v>
      </c>
      <c r="BO149" s="616"/>
      <c r="BP149" s="304"/>
    </row>
    <row r="150" s="130" customFormat="1" ht="24" spans="1:68">
      <c r="A150" s="497" t="s">
        <v>202</v>
      </c>
      <c r="B150" s="497" t="s">
        <v>404</v>
      </c>
      <c r="C150" s="497" t="s">
        <v>407</v>
      </c>
      <c r="D150" s="497" t="s">
        <v>406</v>
      </c>
      <c r="E150" s="615">
        <f t="shared" si="182"/>
        <v>0</v>
      </c>
      <c r="F150" s="615">
        <f t="shared" si="183"/>
        <v>0</v>
      </c>
      <c r="G150" s="616"/>
      <c r="H150" s="616"/>
      <c r="I150" s="616"/>
      <c r="J150" s="616"/>
      <c r="K150" s="616"/>
      <c r="L150" s="616"/>
      <c r="M150" s="615">
        <f t="shared" si="184"/>
        <v>0</v>
      </c>
      <c r="N150" s="616"/>
      <c r="O150" s="616"/>
      <c r="P150" s="616"/>
      <c r="Q150" s="616"/>
      <c r="R150" s="615">
        <f t="shared" si="185"/>
        <v>0</v>
      </c>
      <c r="S150" s="615">
        <f t="shared" si="186"/>
        <v>0</v>
      </c>
      <c r="T150" s="616"/>
      <c r="U150" s="616"/>
      <c r="V150" s="616"/>
      <c r="W150" s="616"/>
      <c r="X150" s="616"/>
      <c r="Y150" s="616"/>
      <c r="Z150" s="615">
        <f t="shared" si="187"/>
        <v>0</v>
      </c>
      <c r="AA150" s="616"/>
      <c r="AB150" s="616"/>
      <c r="AC150" s="616"/>
      <c r="AD150" s="616"/>
      <c r="AE150" s="615">
        <f t="shared" si="189"/>
        <v>0</v>
      </c>
      <c r="AF150" s="615">
        <f t="shared" si="190"/>
        <v>0</v>
      </c>
      <c r="AG150" s="616">
        <f t="shared" si="191"/>
        <v>0</v>
      </c>
      <c r="AH150" s="616">
        <f t="shared" si="192"/>
        <v>0</v>
      </c>
      <c r="AI150" s="616">
        <f t="shared" si="193"/>
        <v>0</v>
      </c>
      <c r="AJ150" s="616">
        <f t="shared" si="194"/>
        <v>0</v>
      </c>
      <c r="AK150" s="616">
        <f t="shared" si="195"/>
        <v>0</v>
      </c>
      <c r="AL150" s="616">
        <f t="shared" si="196"/>
        <v>0</v>
      </c>
      <c r="AM150" s="615">
        <f t="shared" si="197"/>
        <v>0</v>
      </c>
      <c r="AN150" s="616">
        <f t="shared" si="198"/>
        <v>0</v>
      </c>
      <c r="AO150" s="616">
        <f t="shared" si="199"/>
        <v>0</v>
      </c>
      <c r="AP150" s="616">
        <f t="shared" si="200"/>
        <v>0</v>
      </c>
      <c r="AQ150" s="637">
        <f t="shared" si="201"/>
        <v>0</v>
      </c>
      <c r="AR150" s="638">
        <f t="shared" si="188"/>
        <v>0</v>
      </c>
      <c r="AS150" s="616">
        <f t="shared" si="144"/>
        <v>0</v>
      </c>
      <c r="AT150" s="616">
        <f t="shared" si="145"/>
        <v>0</v>
      </c>
      <c r="AU150" s="616">
        <f t="shared" si="146"/>
        <v>0</v>
      </c>
      <c r="AV150" s="616">
        <f t="shared" si="147"/>
        <v>0</v>
      </c>
      <c r="AW150" s="616">
        <f t="shared" si="148"/>
        <v>0</v>
      </c>
      <c r="AX150" s="616">
        <f t="shared" si="149"/>
        <v>0</v>
      </c>
      <c r="AY150" s="616"/>
      <c r="AZ150" s="615">
        <f t="shared" si="150"/>
        <v>0</v>
      </c>
      <c r="BA150" s="616">
        <f t="shared" si="151"/>
        <v>0</v>
      </c>
      <c r="BB150" s="616">
        <f t="shared" si="152"/>
        <v>0</v>
      </c>
      <c r="BC150" s="616">
        <f t="shared" si="153"/>
        <v>0</v>
      </c>
      <c r="BD150" s="616">
        <f t="shared" si="154"/>
        <v>0</v>
      </c>
      <c r="BE150" s="616">
        <f t="shared" si="155"/>
        <v>0</v>
      </c>
      <c r="BF150" s="616">
        <f t="shared" si="156"/>
        <v>0</v>
      </c>
      <c r="BG150" s="616"/>
      <c r="BH150" s="615">
        <f t="shared" si="157"/>
        <v>0</v>
      </c>
      <c r="BI150" s="616">
        <f t="shared" si="158"/>
        <v>0</v>
      </c>
      <c r="BJ150" s="616">
        <f t="shared" si="159"/>
        <v>0</v>
      </c>
      <c r="BK150" s="616">
        <f t="shared" si="160"/>
        <v>0</v>
      </c>
      <c r="BL150" s="616">
        <f t="shared" si="161"/>
        <v>0</v>
      </c>
      <c r="BM150" s="616">
        <f t="shared" si="162"/>
        <v>0</v>
      </c>
      <c r="BN150" s="616">
        <f t="shared" si="163"/>
        <v>0</v>
      </c>
      <c r="BO150" s="616"/>
      <c r="BP150" s="304"/>
    </row>
    <row r="151" s="130" customFormat="1" ht="24" spans="1:68">
      <c r="A151" s="497" t="s">
        <v>202</v>
      </c>
      <c r="B151" s="497" t="s">
        <v>206</v>
      </c>
      <c r="C151" s="497" t="s">
        <v>408</v>
      </c>
      <c r="D151" s="497" t="s">
        <v>409</v>
      </c>
      <c r="E151" s="615">
        <f t="shared" si="182"/>
        <v>0</v>
      </c>
      <c r="F151" s="615">
        <f t="shared" si="183"/>
        <v>0</v>
      </c>
      <c r="G151" s="616"/>
      <c r="H151" s="616"/>
      <c r="I151" s="616"/>
      <c r="J151" s="616"/>
      <c r="K151" s="616"/>
      <c r="L151" s="616"/>
      <c r="M151" s="615">
        <f t="shared" si="184"/>
        <v>0</v>
      </c>
      <c r="N151" s="616"/>
      <c r="O151" s="616"/>
      <c r="P151" s="616"/>
      <c r="Q151" s="616"/>
      <c r="R151" s="615">
        <f t="shared" si="185"/>
        <v>0</v>
      </c>
      <c r="S151" s="615">
        <f t="shared" si="186"/>
        <v>0</v>
      </c>
      <c r="T151" s="616"/>
      <c r="U151" s="616"/>
      <c r="V151" s="616"/>
      <c r="W151" s="616"/>
      <c r="X151" s="616"/>
      <c r="Y151" s="616"/>
      <c r="Z151" s="615">
        <f t="shared" si="187"/>
        <v>0</v>
      </c>
      <c r="AA151" s="616"/>
      <c r="AB151" s="616"/>
      <c r="AC151" s="616"/>
      <c r="AD151" s="616"/>
      <c r="AE151" s="615">
        <f t="shared" si="189"/>
        <v>0</v>
      </c>
      <c r="AF151" s="615">
        <f t="shared" si="190"/>
        <v>0</v>
      </c>
      <c r="AG151" s="616">
        <f t="shared" si="191"/>
        <v>0</v>
      </c>
      <c r="AH151" s="616">
        <f t="shared" si="192"/>
        <v>0</v>
      </c>
      <c r="AI151" s="616">
        <f t="shared" si="193"/>
        <v>0</v>
      </c>
      <c r="AJ151" s="616">
        <f t="shared" si="194"/>
        <v>0</v>
      </c>
      <c r="AK151" s="616">
        <f t="shared" si="195"/>
        <v>0</v>
      </c>
      <c r="AL151" s="616">
        <f t="shared" si="196"/>
        <v>0</v>
      </c>
      <c r="AM151" s="615">
        <f t="shared" si="197"/>
        <v>0</v>
      </c>
      <c r="AN151" s="616">
        <f t="shared" si="198"/>
        <v>0</v>
      </c>
      <c r="AO151" s="616">
        <f t="shared" si="199"/>
        <v>0</v>
      </c>
      <c r="AP151" s="616">
        <f t="shared" si="200"/>
        <v>0</v>
      </c>
      <c r="AQ151" s="637">
        <f t="shared" si="201"/>
        <v>0</v>
      </c>
      <c r="AR151" s="638">
        <f t="shared" si="188"/>
        <v>0</v>
      </c>
      <c r="AS151" s="616">
        <f t="shared" si="144"/>
        <v>0</v>
      </c>
      <c r="AT151" s="616">
        <f t="shared" si="145"/>
        <v>0</v>
      </c>
      <c r="AU151" s="616">
        <f t="shared" si="146"/>
        <v>0</v>
      </c>
      <c r="AV151" s="616">
        <f t="shared" si="147"/>
        <v>0</v>
      </c>
      <c r="AW151" s="616">
        <f t="shared" si="148"/>
        <v>0</v>
      </c>
      <c r="AX151" s="616">
        <f t="shared" si="149"/>
        <v>0</v>
      </c>
      <c r="AY151" s="616"/>
      <c r="AZ151" s="615">
        <f t="shared" si="150"/>
        <v>0</v>
      </c>
      <c r="BA151" s="616">
        <f t="shared" si="151"/>
        <v>0</v>
      </c>
      <c r="BB151" s="616">
        <f t="shared" si="152"/>
        <v>0</v>
      </c>
      <c r="BC151" s="616">
        <f t="shared" si="153"/>
        <v>0</v>
      </c>
      <c r="BD151" s="616">
        <f t="shared" si="154"/>
        <v>0</v>
      </c>
      <c r="BE151" s="616">
        <f t="shared" si="155"/>
        <v>0</v>
      </c>
      <c r="BF151" s="616">
        <f t="shared" si="156"/>
        <v>0</v>
      </c>
      <c r="BG151" s="616"/>
      <c r="BH151" s="615">
        <f t="shared" si="157"/>
        <v>0</v>
      </c>
      <c r="BI151" s="616">
        <f t="shared" si="158"/>
        <v>0</v>
      </c>
      <c r="BJ151" s="616">
        <f t="shared" si="159"/>
        <v>0</v>
      </c>
      <c r="BK151" s="616">
        <f t="shared" si="160"/>
        <v>0</v>
      </c>
      <c r="BL151" s="616">
        <f t="shared" si="161"/>
        <v>0</v>
      </c>
      <c r="BM151" s="616">
        <f t="shared" si="162"/>
        <v>0</v>
      </c>
      <c r="BN151" s="616">
        <f t="shared" si="163"/>
        <v>0</v>
      </c>
      <c r="BO151" s="616"/>
      <c r="BP151" s="304"/>
    </row>
    <row r="152" s="130" customFormat="1" ht="24" spans="1:68">
      <c r="A152" s="497" t="s">
        <v>202</v>
      </c>
      <c r="B152" s="497" t="s">
        <v>400</v>
      </c>
      <c r="C152" s="497" t="s">
        <v>410</v>
      </c>
      <c r="D152" s="497" t="s">
        <v>411</v>
      </c>
      <c r="E152" s="615">
        <f t="shared" si="182"/>
        <v>0</v>
      </c>
      <c r="F152" s="615">
        <f t="shared" si="183"/>
        <v>0</v>
      </c>
      <c r="G152" s="616"/>
      <c r="H152" s="616"/>
      <c r="I152" s="616"/>
      <c r="J152" s="616"/>
      <c r="K152" s="616"/>
      <c r="L152" s="616"/>
      <c r="M152" s="615">
        <f t="shared" si="184"/>
        <v>0</v>
      </c>
      <c r="N152" s="616"/>
      <c r="O152" s="616"/>
      <c r="P152" s="616"/>
      <c r="Q152" s="616"/>
      <c r="R152" s="615">
        <f t="shared" si="185"/>
        <v>0</v>
      </c>
      <c r="S152" s="615">
        <f t="shared" si="186"/>
        <v>0</v>
      </c>
      <c r="T152" s="616"/>
      <c r="U152" s="616"/>
      <c r="V152" s="616"/>
      <c r="W152" s="616"/>
      <c r="X152" s="616"/>
      <c r="Y152" s="616"/>
      <c r="Z152" s="615">
        <f t="shared" si="187"/>
        <v>0</v>
      </c>
      <c r="AA152" s="616"/>
      <c r="AB152" s="616"/>
      <c r="AC152" s="616"/>
      <c r="AD152" s="616"/>
      <c r="AE152" s="615">
        <f t="shared" si="189"/>
        <v>0</v>
      </c>
      <c r="AF152" s="615">
        <f t="shared" si="190"/>
        <v>0</v>
      </c>
      <c r="AG152" s="616">
        <f t="shared" si="191"/>
        <v>0</v>
      </c>
      <c r="AH152" s="616">
        <f t="shared" si="192"/>
        <v>0</v>
      </c>
      <c r="AI152" s="616">
        <f t="shared" si="193"/>
        <v>0</v>
      </c>
      <c r="AJ152" s="616">
        <f t="shared" si="194"/>
        <v>0</v>
      </c>
      <c r="AK152" s="616">
        <f t="shared" si="195"/>
        <v>0</v>
      </c>
      <c r="AL152" s="616">
        <f t="shared" si="196"/>
        <v>0</v>
      </c>
      <c r="AM152" s="615">
        <f t="shared" si="197"/>
        <v>0</v>
      </c>
      <c r="AN152" s="616">
        <f t="shared" si="198"/>
        <v>0</v>
      </c>
      <c r="AO152" s="616">
        <f t="shared" si="199"/>
        <v>0</v>
      </c>
      <c r="AP152" s="616">
        <f t="shared" si="200"/>
        <v>0</v>
      </c>
      <c r="AQ152" s="637">
        <f t="shared" si="201"/>
        <v>0</v>
      </c>
      <c r="AR152" s="638">
        <f t="shared" si="188"/>
        <v>0</v>
      </c>
      <c r="AS152" s="616">
        <f t="shared" si="144"/>
        <v>0</v>
      </c>
      <c r="AT152" s="616">
        <f t="shared" si="145"/>
        <v>0</v>
      </c>
      <c r="AU152" s="616">
        <f t="shared" si="146"/>
        <v>0</v>
      </c>
      <c r="AV152" s="616">
        <f t="shared" si="147"/>
        <v>0</v>
      </c>
      <c r="AW152" s="616">
        <f t="shared" si="148"/>
        <v>0</v>
      </c>
      <c r="AX152" s="616">
        <f t="shared" si="149"/>
        <v>0</v>
      </c>
      <c r="AY152" s="616"/>
      <c r="AZ152" s="615">
        <f t="shared" si="150"/>
        <v>0</v>
      </c>
      <c r="BA152" s="616">
        <f t="shared" si="151"/>
        <v>0</v>
      </c>
      <c r="BB152" s="616">
        <f t="shared" si="152"/>
        <v>0</v>
      </c>
      <c r="BC152" s="616">
        <f t="shared" si="153"/>
        <v>0</v>
      </c>
      <c r="BD152" s="616">
        <f t="shared" si="154"/>
        <v>0</v>
      </c>
      <c r="BE152" s="616">
        <f t="shared" si="155"/>
        <v>0</v>
      </c>
      <c r="BF152" s="616">
        <f t="shared" si="156"/>
        <v>0</v>
      </c>
      <c r="BG152" s="616"/>
      <c r="BH152" s="615">
        <f t="shared" si="157"/>
        <v>0</v>
      </c>
      <c r="BI152" s="616">
        <f t="shared" si="158"/>
        <v>0</v>
      </c>
      <c r="BJ152" s="616">
        <f t="shared" si="159"/>
        <v>0</v>
      </c>
      <c r="BK152" s="616">
        <f t="shared" si="160"/>
        <v>0</v>
      </c>
      <c r="BL152" s="616">
        <f t="shared" si="161"/>
        <v>0</v>
      </c>
      <c r="BM152" s="616">
        <f t="shared" si="162"/>
        <v>0</v>
      </c>
      <c r="BN152" s="616">
        <f t="shared" si="163"/>
        <v>0</v>
      </c>
      <c r="BO152" s="616"/>
      <c r="BP152" s="304"/>
    </row>
    <row r="153" s="130" customFormat="1" ht="24" spans="1:68">
      <c r="A153" s="497" t="s">
        <v>202</v>
      </c>
      <c r="B153" s="497" t="s">
        <v>404</v>
      </c>
      <c r="C153" s="497" t="s">
        <v>412</v>
      </c>
      <c r="D153" s="497" t="s">
        <v>406</v>
      </c>
      <c r="E153" s="615">
        <f t="shared" si="182"/>
        <v>0</v>
      </c>
      <c r="F153" s="615">
        <f t="shared" si="183"/>
        <v>0</v>
      </c>
      <c r="G153" s="616"/>
      <c r="H153" s="616"/>
      <c r="I153" s="616"/>
      <c r="J153" s="616"/>
      <c r="K153" s="616"/>
      <c r="L153" s="616"/>
      <c r="M153" s="615">
        <f t="shared" si="184"/>
        <v>0</v>
      </c>
      <c r="N153" s="616"/>
      <c r="O153" s="616"/>
      <c r="P153" s="616"/>
      <c r="Q153" s="616"/>
      <c r="R153" s="615">
        <f t="shared" si="185"/>
        <v>0</v>
      </c>
      <c r="S153" s="615">
        <f t="shared" si="186"/>
        <v>0</v>
      </c>
      <c r="T153" s="616"/>
      <c r="U153" s="616"/>
      <c r="V153" s="616"/>
      <c r="W153" s="616"/>
      <c r="X153" s="616"/>
      <c r="Y153" s="616"/>
      <c r="Z153" s="615">
        <f t="shared" si="187"/>
        <v>0</v>
      </c>
      <c r="AA153" s="616"/>
      <c r="AB153" s="616"/>
      <c r="AC153" s="616"/>
      <c r="AD153" s="616"/>
      <c r="AE153" s="615">
        <f t="shared" si="189"/>
        <v>0</v>
      </c>
      <c r="AF153" s="615">
        <f t="shared" si="190"/>
        <v>0</v>
      </c>
      <c r="AG153" s="616">
        <f t="shared" si="191"/>
        <v>0</v>
      </c>
      <c r="AH153" s="616">
        <f t="shared" si="192"/>
        <v>0</v>
      </c>
      <c r="AI153" s="616">
        <f t="shared" si="193"/>
        <v>0</v>
      </c>
      <c r="AJ153" s="616">
        <f t="shared" si="194"/>
        <v>0</v>
      </c>
      <c r="AK153" s="616">
        <f t="shared" si="195"/>
        <v>0</v>
      </c>
      <c r="AL153" s="616">
        <f t="shared" si="196"/>
        <v>0</v>
      </c>
      <c r="AM153" s="615">
        <f t="shared" si="197"/>
        <v>0</v>
      </c>
      <c r="AN153" s="616">
        <f t="shared" si="198"/>
        <v>0</v>
      </c>
      <c r="AO153" s="616">
        <f t="shared" si="199"/>
        <v>0</v>
      </c>
      <c r="AP153" s="616">
        <f t="shared" si="200"/>
        <v>0</v>
      </c>
      <c r="AQ153" s="637">
        <f t="shared" si="201"/>
        <v>0</v>
      </c>
      <c r="AR153" s="638">
        <f t="shared" si="188"/>
        <v>0</v>
      </c>
      <c r="AS153" s="616">
        <f t="shared" si="144"/>
        <v>0</v>
      </c>
      <c r="AT153" s="616">
        <f t="shared" si="145"/>
        <v>0</v>
      </c>
      <c r="AU153" s="616">
        <f t="shared" si="146"/>
        <v>0</v>
      </c>
      <c r="AV153" s="616">
        <f t="shared" si="147"/>
        <v>0</v>
      </c>
      <c r="AW153" s="616">
        <f t="shared" si="148"/>
        <v>0</v>
      </c>
      <c r="AX153" s="616">
        <f t="shared" si="149"/>
        <v>0</v>
      </c>
      <c r="AY153" s="616"/>
      <c r="AZ153" s="615">
        <f t="shared" si="150"/>
        <v>0</v>
      </c>
      <c r="BA153" s="616">
        <f t="shared" si="151"/>
        <v>0</v>
      </c>
      <c r="BB153" s="616">
        <f t="shared" si="152"/>
        <v>0</v>
      </c>
      <c r="BC153" s="616">
        <f t="shared" si="153"/>
        <v>0</v>
      </c>
      <c r="BD153" s="616">
        <f t="shared" si="154"/>
        <v>0</v>
      </c>
      <c r="BE153" s="616">
        <f t="shared" si="155"/>
        <v>0</v>
      </c>
      <c r="BF153" s="616">
        <f t="shared" si="156"/>
        <v>0</v>
      </c>
      <c r="BG153" s="616"/>
      <c r="BH153" s="615">
        <f t="shared" si="157"/>
        <v>0</v>
      </c>
      <c r="BI153" s="616">
        <f t="shared" si="158"/>
        <v>0</v>
      </c>
      <c r="BJ153" s="616">
        <f t="shared" si="159"/>
        <v>0</v>
      </c>
      <c r="BK153" s="616">
        <f t="shared" si="160"/>
        <v>0</v>
      </c>
      <c r="BL153" s="616">
        <f t="shared" si="161"/>
        <v>0</v>
      </c>
      <c r="BM153" s="616">
        <f t="shared" si="162"/>
        <v>0</v>
      </c>
      <c r="BN153" s="616">
        <f t="shared" si="163"/>
        <v>0</v>
      </c>
      <c r="BO153" s="616"/>
      <c r="BP153" s="304"/>
    </row>
    <row r="154" s="130" customFormat="1" ht="24" spans="1:68">
      <c r="A154" s="497" t="s">
        <v>202</v>
      </c>
      <c r="B154" s="497" t="s">
        <v>400</v>
      </c>
      <c r="C154" s="497" t="s">
        <v>413</v>
      </c>
      <c r="D154" s="497" t="s">
        <v>414</v>
      </c>
      <c r="E154" s="615">
        <f t="shared" si="182"/>
        <v>0</v>
      </c>
      <c r="F154" s="615">
        <f t="shared" si="183"/>
        <v>0</v>
      </c>
      <c r="G154" s="616"/>
      <c r="H154" s="616"/>
      <c r="I154" s="616"/>
      <c r="J154" s="616"/>
      <c r="K154" s="616"/>
      <c r="L154" s="616"/>
      <c r="M154" s="615">
        <f t="shared" si="184"/>
        <v>0</v>
      </c>
      <c r="N154" s="616"/>
      <c r="O154" s="616"/>
      <c r="P154" s="616"/>
      <c r="Q154" s="616"/>
      <c r="R154" s="615">
        <f t="shared" si="185"/>
        <v>0</v>
      </c>
      <c r="S154" s="615">
        <f t="shared" si="186"/>
        <v>0</v>
      </c>
      <c r="T154" s="616"/>
      <c r="U154" s="616"/>
      <c r="V154" s="616"/>
      <c r="W154" s="616"/>
      <c r="X154" s="616"/>
      <c r="Y154" s="616"/>
      <c r="Z154" s="615">
        <f t="shared" si="187"/>
        <v>0</v>
      </c>
      <c r="AA154" s="616"/>
      <c r="AB154" s="616"/>
      <c r="AC154" s="616"/>
      <c r="AD154" s="616"/>
      <c r="AE154" s="615">
        <f t="shared" si="189"/>
        <v>0</v>
      </c>
      <c r="AF154" s="615">
        <f t="shared" si="190"/>
        <v>0</v>
      </c>
      <c r="AG154" s="616">
        <f t="shared" si="191"/>
        <v>0</v>
      </c>
      <c r="AH154" s="616">
        <f t="shared" si="192"/>
        <v>0</v>
      </c>
      <c r="AI154" s="616">
        <f t="shared" si="193"/>
        <v>0</v>
      </c>
      <c r="AJ154" s="616">
        <f t="shared" si="194"/>
        <v>0</v>
      </c>
      <c r="AK154" s="616">
        <f t="shared" si="195"/>
        <v>0</v>
      </c>
      <c r="AL154" s="616">
        <f t="shared" si="196"/>
        <v>0</v>
      </c>
      <c r="AM154" s="615">
        <f t="shared" si="197"/>
        <v>0</v>
      </c>
      <c r="AN154" s="616">
        <f t="shared" si="198"/>
        <v>0</v>
      </c>
      <c r="AO154" s="616">
        <f t="shared" si="199"/>
        <v>0</v>
      </c>
      <c r="AP154" s="616">
        <f t="shared" si="200"/>
        <v>0</v>
      </c>
      <c r="AQ154" s="637">
        <f t="shared" si="201"/>
        <v>0</v>
      </c>
      <c r="AR154" s="638">
        <f t="shared" si="188"/>
        <v>0</v>
      </c>
      <c r="AS154" s="616">
        <f t="shared" si="144"/>
        <v>0</v>
      </c>
      <c r="AT154" s="616">
        <f t="shared" si="145"/>
        <v>0</v>
      </c>
      <c r="AU154" s="616">
        <f t="shared" si="146"/>
        <v>0</v>
      </c>
      <c r="AV154" s="616">
        <f t="shared" si="147"/>
        <v>0</v>
      </c>
      <c r="AW154" s="616">
        <f t="shared" si="148"/>
        <v>0</v>
      </c>
      <c r="AX154" s="616">
        <f t="shared" si="149"/>
        <v>0</v>
      </c>
      <c r="AY154" s="616"/>
      <c r="AZ154" s="615">
        <f t="shared" si="150"/>
        <v>0</v>
      </c>
      <c r="BA154" s="616">
        <f t="shared" si="151"/>
        <v>0</v>
      </c>
      <c r="BB154" s="616">
        <f t="shared" si="152"/>
        <v>0</v>
      </c>
      <c r="BC154" s="616">
        <f t="shared" si="153"/>
        <v>0</v>
      </c>
      <c r="BD154" s="616">
        <f t="shared" si="154"/>
        <v>0</v>
      </c>
      <c r="BE154" s="616">
        <f t="shared" si="155"/>
        <v>0</v>
      </c>
      <c r="BF154" s="616">
        <f t="shared" si="156"/>
        <v>0</v>
      </c>
      <c r="BG154" s="616"/>
      <c r="BH154" s="615">
        <f t="shared" si="157"/>
        <v>0</v>
      </c>
      <c r="BI154" s="616">
        <f t="shared" si="158"/>
        <v>0</v>
      </c>
      <c r="BJ154" s="616">
        <f t="shared" si="159"/>
        <v>0</v>
      </c>
      <c r="BK154" s="616">
        <f t="shared" si="160"/>
        <v>0</v>
      </c>
      <c r="BL154" s="616">
        <f t="shared" si="161"/>
        <v>0</v>
      </c>
      <c r="BM154" s="616">
        <f t="shared" si="162"/>
        <v>0</v>
      </c>
      <c r="BN154" s="616">
        <f t="shared" si="163"/>
        <v>0</v>
      </c>
      <c r="BO154" s="616"/>
      <c r="BP154" s="304"/>
    </row>
    <row r="155" s="130" customFormat="1" ht="24" spans="1:68">
      <c r="A155" s="497" t="s">
        <v>202</v>
      </c>
      <c r="B155" s="497" t="s">
        <v>404</v>
      </c>
      <c r="C155" s="497" t="s">
        <v>415</v>
      </c>
      <c r="D155" s="497" t="s">
        <v>416</v>
      </c>
      <c r="E155" s="615">
        <f t="shared" si="182"/>
        <v>0</v>
      </c>
      <c r="F155" s="615">
        <f t="shared" si="183"/>
        <v>0</v>
      </c>
      <c r="G155" s="616"/>
      <c r="H155" s="616"/>
      <c r="I155" s="616"/>
      <c r="J155" s="616"/>
      <c r="K155" s="616"/>
      <c r="L155" s="616"/>
      <c r="M155" s="615">
        <f t="shared" si="184"/>
        <v>0</v>
      </c>
      <c r="N155" s="616"/>
      <c r="O155" s="616"/>
      <c r="P155" s="616"/>
      <c r="Q155" s="616"/>
      <c r="R155" s="615">
        <f t="shared" si="185"/>
        <v>0</v>
      </c>
      <c r="S155" s="615">
        <f t="shared" si="186"/>
        <v>0</v>
      </c>
      <c r="T155" s="616"/>
      <c r="U155" s="616"/>
      <c r="V155" s="616"/>
      <c r="W155" s="616"/>
      <c r="X155" s="616"/>
      <c r="Y155" s="616"/>
      <c r="Z155" s="615">
        <f t="shared" si="187"/>
        <v>0</v>
      </c>
      <c r="AA155" s="616"/>
      <c r="AB155" s="616"/>
      <c r="AC155" s="616"/>
      <c r="AD155" s="616"/>
      <c r="AE155" s="615">
        <f t="shared" si="189"/>
        <v>0</v>
      </c>
      <c r="AF155" s="615">
        <f t="shared" si="190"/>
        <v>0</v>
      </c>
      <c r="AG155" s="616">
        <f t="shared" si="191"/>
        <v>0</v>
      </c>
      <c r="AH155" s="616">
        <f t="shared" si="192"/>
        <v>0</v>
      </c>
      <c r="AI155" s="616">
        <f t="shared" si="193"/>
        <v>0</v>
      </c>
      <c r="AJ155" s="616">
        <f t="shared" si="194"/>
        <v>0</v>
      </c>
      <c r="AK155" s="616">
        <f t="shared" si="195"/>
        <v>0</v>
      </c>
      <c r="AL155" s="616">
        <f t="shared" si="196"/>
        <v>0</v>
      </c>
      <c r="AM155" s="615">
        <f t="shared" si="197"/>
        <v>0</v>
      </c>
      <c r="AN155" s="616">
        <f t="shared" si="198"/>
        <v>0</v>
      </c>
      <c r="AO155" s="616">
        <f t="shared" si="199"/>
        <v>0</v>
      </c>
      <c r="AP155" s="616">
        <f t="shared" si="200"/>
        <v>0</v>
      </c>
      <c r="AQ155" s="637">
        <f t="shared" si="201"/>
        <v>0</v>
      </c>
      <c r="AR155" s="638">
        <f t="shared" si="188"/>
        <v>0</v>
      </c>
      <c r="AS155" s="616">
        <f t="shared" si="144"/>
        <v>0</v>
      </c>
      <c r="AT155" s="616">
        <f t="shared" si="145"/>
        <v>0</v>
      </c>
      <c r="AU155" s="616">
        <f t="shared" si="146"/>
        <v>0</v>
      </c>
      <c r="AV155" s="616">
        <f t="shared" si="147"/>
        <v>0</v>
      </c>
      <c r="AW155" s="616">
        <f t="shared" si="148"/>
        <v>0</v>
      </c>
      <c r="AX155" s="616">
        <f t="shared" si="149"/>
        <v>0</v>
      </c>
      <c r="AY155" s="616"/>
      <c r="AZ155" s="615">
        <f t="shared" si="150"/>
        <v>0</v>
      </c>
      <c r="BA155" s="616">
        <f t="shared" si="151"/>
        <v>0</v>
      </c>
      <c r="BB155" s="616">
        <f t="shared" si="152"/>
        <v>0</v>
      </c>
      <c r="BC155" s="616">
        <f t="shared" si="153"/>
        <v>0</v>
      </c>
      <c r="BD155" s="616">
        <f t="shared" si="154"/>
        <v>0</v>
      </c>
      <c r="BE155" s="616">
        <f t="shared" si="155"/>
        <v>0</v>
      </c>
      <c r="BF155" s="616">
        <f t="shared" si="156"/>
        <v>0</v>
      </c>
      <c r="BG155" s="616"/>
      <c r="BH155" s="615">
        <f t="shared" si="157"/>
        <v>0</v>
      </c>
      <c r="BI155" s="616">
        <f t="shared" si="158"/>
        <v>0</v>
      </c>
      <c r="BJ155" s="616">
        <f t="shared" si="159"/>
        <v>0</v>
      </c>
      <c r="BK155" s="616">
        <f t="shared" si="160"/>
        <v>0</v>
      </c>
      <c r="BL155" s="616">
        <f t="shared" si="161"/>
        <v>0</v>
      </c>
      <c r="BM155" s="616">
        <f t="shared" si="162"/>
        <v>0</v>
      </c>
      <c r="BN155" s="616">
        <f t="shared" si="163"/>
        <v>0</v>
      </c>
      <c r="BO155" s="616"/>
      <c r="BP155" s="304"/>
    </row>
    <row r="156" s="130" customFormat="1" ht="24" spans="1:68">
      <c r="A156" s="497" t="s">
        <v>202</v>
      </c>
      <c r="B156" s="497" t="s">
        <v>404</v>
      </c>
      <c r="C156" s="497" t="s">
        <v>417</v>
      </c>
      <c r="D156" s="497" t="s">
        <v>406</v>
      </c>
      <c r="E156" s="615">
        <f t="shared" si="182"/>
        <v>0</v>
      </c>
      <c r="F156" s="615">
        <f t="shared" si="183"/>
        <v>0</v>
      </c>
      <c r="G156" s="616"/>
      <c r="H156" s="616"/>
      <c r="I156" s="616"/>
      <c r="J156" s="616"/>
      <c r="K156" s="616"/>
      <c r="L156" s="616"/>
      <c r="M156" s="615">
        <f t="shared" si="184"/>
        <v>0</v>
      </c>
      <c r="N156" s="616"/>
      <c r="O156" s="616"/>
      <c r="P156" s="616"/>
      <c r="Q156" s="616"/>
      <c r="R156" s="615">
        <f t="shared" si="185"/>
        <v>0</v>
      </c>
      <c r="S156" s="615">
        <f t="shared" si="186"/>
        <v>0</v>
      </c>
      <c r="T156" s="616"/>
      <c r="U156" s="616"/>
      <c r="V156" s="616"/>
      <c r="W156" s="616"/>
      <c r="X156" s="616"/>
      <c r="Y156" s="616"/>
      <c r="Z156" s="615">
        <f t="shared" si="187"/>
        <v>0</v>
      </c>
      <c r="AA156" s="616"/>
      <c r="AB156" s="616"/>
      <c r="AC156" s="616"/>
      <c r="AD156" s="616"/>
      <c r="AE156" s="615">
        <f t="shared" si="189"/>
        <v>0</v>
      </c>
      <c r="AF156" s="615">
        <f t="shared" si="190"/>
        <v>0</v>
      </c>
      <c r="AG156" s="616">
        <f t="shared" si="191"/>
        <v>0</v>
      </c>
      <c r="AH156" s="616">
        <f t="shared" si="192"/>
        <v>0</v>
      </c>
      <c r="AI156" s="616">
        <f t="shared" si="193"/>
        <v>0</v>
      </c>
      <c r="AJ156" s="616">
        <f t="shared" si="194"/>
        <v>0</v>
      </c>
      <c r="AK156" s="616">
        <f t="shared" si="195"/>
        <v>0</v>
      </c>
      <c r="AL156" s="616">
        <f t="shared" si="196"/>
        <v>0</v>
      </c>
      <c r="AM156" s="615">
        <f t="shared" si="197"/>
        <v>0</v>
      </c>
      <c r="AN156" s="616">
        <f t="shared" si="198"/>
        <v>0</v>
      </c>
      <c r="AO156" s="616">
        <f t="shared" si="199"/>
        <v>0</v>
      </c>
      <c r="AP156" s="616">
        <f t="shared" si="200"/>
        <v>0</v>
      </c>
      <c r="AQ156" s="637">
        <f t="shared" si="201"/>
        <v>0</v>
      </c>
      <c r="AR156" s="638">
        <f t="shared" si="188"/>
        <v>0</v>
      </c>
      <c r="AS156" s="616">
        <f t="shared" si="144"/>
        <v>0</v>
      </c>
      <c r="AT156" s="616">
        <f t="shared" si="145"/>
        <v>0</v>
      </c>
      <c r="AU156" s="616">
        <f t="shared" si="146"/>
        <v>0</v>
      </c>
      <c r="AV156" s="616">
        <f t="shared" si="147"/>
        <v>0</v>
      </c>
      <c r="AW156" s="616">
        <f t="shared" si="148"/>
        <v>0</v>
      </c>
      <c r="AX156" s="616">
        <f t="shared" si="149"/>
        <v>0</v>
      </c>
      <c r="AY156" s="616"/>
      <c r="AZ156" s="615">
        <f t="shared" si="150"/>
        <v>0</v>
      </c>
      <c r="BA156" s="616">
        <f t="shared" si="151"/>
        <v>0</v>
      </c>
      <c r="BB156" s="616">
        <f t="shared" si="152"/>
        <v>0</v>
      </c>
      <c r="BC156" s="616">
        <f t="shared" si="153"/>
        <v>0</v>
      </c>
      <c r="BD156" s="616">
        <f t="shared" si="154"/>
        <v>0</v>
      </c>
      <c r="BE156" s="616">
        <f t="shared" si="155"/>
        <v>0</v>
      </c>
      <c r="BF156" s="616">
        <f t="shared" si="156"/>
        <v>0</v>
      </c>
      <c r="BG156" s="616"/>
      <c r="BH156" s="615">
        <f t="shared" si="157"/>
        <v>0</v>
      </c>
      <c r="BI156" s="616">
        <f t="shared" si="158"/>
        <v>0</v>
      </c>
      <c r="BJ156" s="616">
        <f t="shared" si="159"/>
        <v>0</v>
      </c>
      <c r="BK156" s="616">
        <f t="shared" si="160"/>
        <v>0</v>
      </c>
      <c r="BL156" s="616">
        <f t="shared" si="161"/>
        <v>0</v>
      </c>
      <c r="BM156" s="616">
        <f t="shared" si="162"/>
        <v>0</v>
      </c>
      <c r="BN156" s="616">
        <f t="shared" si="163"/>
        <v>0</v>
      </c>
      <c r="BO156" s="616"/>
      <c r="BP156" s="304"/>
    </row>
    <row r="157" s="130" customFormat="1" ht="24" spans="1:68">
      <c r="A157" s="497" t="s">
        <v>202</v>
      </c>
      <c r="B157" s="497" t="s">
        <v>206</v>
      </c>
      <c r="C157" s="497" t="s">
        <v>418</v>
      </c>
      <c r="D157" s="497" t="s">
        <v>419</v>
      </c>
      <c r="E157" s="615">
        <f t="shared" si="182"/>
        <v>0</v>
      </c>
      <c r="F157" s="615">
        <f t="shared" si="183"/>
        <v>0</v>
      </c>
      <c r="G157" s="616"/>
      <c r="H157" s="616"/>
      <c r="I157" s="616"/>
      <c r="J157" s="616"/>
      <c r="K157" s="616"/>
      <c r="L157" s="616"/>
      <c r="M157" s="615">
        <f t="shared" si="184"/>
        <v>0</v>
      </c>
      <c r="N157" s="616"/>
      <c r="O157" s="616"/>
      <c r="P157" s="616"/>
      <c r="Q157" s="616"/>
      <c r="R157" s="615">
        <f t="shared" si="185"/>
        <v>0</v>
      </c>
      <c r="S157" s="615">
        <f t="shared" si="186"/>
        <v>0</v>
      </c>
      <c r="T157" s="616"/>
      <c r="U157" s="616"/>
      <c r="V157" s="616"/>
      <c r="W157" s="616"/>
      <c r="X157" s="616"/>
      <c r="Y157" s="616"/>
      <c r="Z157" s="615">
        <f t="shared" si="187"/>
        <v>0</v>
      </c>
      <c r="AA157" s="616"/>
      <c r="AB157" s="616"/>
      <c r="AC157" s="616"/>
      <c r="AD157" s="616"/>
      <c r="AE157" s="615">
        <f t="shared" si="189"/>
        <v>0</v>
      </c>
      <c r="AF157" s="615">
        <f t="shared" si="190"/>
        <v>0</v>
      </c>
      <c r="AG157" s="616">
        <f t="shared" si="191"/>
        <v>0</v>
      </c>
      <c r="AH157" s="616">
        <f t="shared" si="192"/>
        <v>0</v>
      </c>
      <c r="AI157" s="616">
        <f t="shared" si="193"/>
        <v>0</v>
      </c>
      <c r="AJ157" s="616">
        <f t="shared" si="194"/>
        <v>0</v>
      </c>
      <c r="AK157" s="616">
        <f t="shared" si="195"/>
        <v>0</v>
      </c>
      <c r="AL157" s="616">
        <f t="shared" si="196"/>
        <v>0</v>
      </c>
      <c r="AM157" s="615">
        <f t="shared" si="197"/>
        <v>0</v>
      </c>
      <c r="AN157" s="616">
        <f t="shared" si="198"/>
        <v>0</v>
      </c>
      <c r="AO157" s="616">
        <f t="shared" si="199"/>
        <v>0</v>
      </c>
      <c r="AP157" s="616">
        <f t="shared" si="200"/>
        <v>0</v>
      </c>
      <c r="AQ157" s="637">
        <f t="shared" si="201"/>
        <v>0</v>
      </c>
      <c r="AR157" s="638">
        <f t="shared" si="188"/>
        <v>0</v>
      </c>
      <c r="AS157" s="616">
        <f t="shared" si="144"/>
        <v>0</v>
      </c>
      <c r="AT157" s="616">
        <f t="shared" si="145"/>
        <v>0</v>
      </c>
      <c r="AU157" s="616">
        <f t="shared" si="146"/>
        <v>0</v>
      </c>
      <c r="AV157" s="616">
        <f t="shared" si="147"/>
        <v>0</v>
      </c>
      <c r="AW157" s="616">
        <f t="shared" si="148"/>
        <v>0</v>
      </c>
      <c r="AX157" s="616">
        <f t="shared" si="149"/>
        <v>0</v>
      </c>
      <c r="AY157" s="616"/>
      <c r="AZ157" s="615">
        <f t="shared" si="150"/>
        <v>0</v>
      </c>
      <c r="BA157" s="616">
        <f t="shared" si="151"/>
        <v>0</v>
      </c>
      <c r="BB157" s="616">
        <f t="shared" si="152"/>
        <v>0</v>
      </c>
      <c r="BC157" s="616">
        <f t="shared" si="153"/>
        <v>0</v>
      </c>
      <c r="BD157" s="616">
        <f t="shared" si="154"/>
        <v>0</v>
      </c>
      <c r="BE157" s="616">
        <f t="shared" si="155"/>
        <v>0</v>
      </c>
      <c r="BF157" s="616">
        <f t="shared" si="156"/>
        <v>0</v>
      </c>
      <c r="BG157" s="616"/>
      <c r="BH157" s="615">
        <f t="shared" si="157"/>
        <v>0</v>
      </c>
      <c r="BI157" s="616">
        <f t="shared" si="158"/>
        <v>0</v>
      </c>
      <c r="BJ157" s="616">
        <f t="shared" si="159"/>
        <v>0</v>
      </c>
      <c r="BK157" s="616">
        <f t="shared" si="160"/>
        <v>0</v>
      </c>
      <c r="BL157" s="616">
        <f t="shared" si="161"/>
        <v>0</v>
      </c>
      <c r="BM157" s="616">
        <f t="shared" si="162"/>
        <v>0</v>
      </c>
      <c r="BN157" s="616">
        <f t="shared" si="163"/>
        <v>0</v>
      </c>
      <c r="BO157" s="616"/>
      <c r="BP157" s="304"/>
    </row>
    <row r="158" s="130" customFormat="1" ht="24" spans="1:68">
      <c r="A158" s="497" t="s">
        <v>202</v>
      </c>
      <c r="B158" s="497" t="s">
        <v>404</v>
      </c>
      <c r="C158" s="497" t="s">
        <v>420</v>
      </c>
      <c r="D158" s="497" t="s">
        <v>416</v>
      </c>
      <c r="E158" s="615">
        <f t="shared" si="182"/>
        <v>0</v>
      </c>
      <c r="F158" s="615">
        <f t="shared" si="183"/>
        <v>0</v>
      </c>
      <c r="G158" s="616"/>
      <c r="H158" s="616"/>
      <c r="I158" s="616"/>
      <c r="J158" s="616"/>
      <c r="K158" s="616"/>
      <c r="L158" s="616"/>
      <c r="M158" s="615">
        <f t="shared" si="184"/>
        <v>0</v>
      </c>
      <c r="N158" s="616"/>
      <c r="O158" s="616"/>
      <c r="P158" s="616"/>
      <c r="Q158" s="616"/>
      <c r="R158" s="615">
        <f t="shared" si="185"/>
        <v>0</v>
      </c>
      <c r="S158" s="615">
        <f t="shared" si="186"/>
        <v>0</v>
      </c>
      <c r="T158" s="616"/>
      <c r="U158" s="616"/>
      <c r="V158" s="616"/>
      <c r="W158" s="616"/>
      <c r="X158" s="616"/>
      <c r="Y158" s="616"/>
      <c r="Z158" s="615">
        <f t="shared" si="187"/>
        <v>0</v>
      </c>
      <c r="AA158" s="616"/>
      <c r="AB158" s="616"/>
      <c r="AC158" s="616"/>
      <c r="AD158" s="616"/>
      <c r="AE158" s="615">
        <f t="shared" si="189"/>
        <v>0</v>
      </c>
      <c r="AF158" s="615">
        <f t="shared" si="190"/>
        <v>0</v>
      </c>
      <c r="AG158" s="616">
        <f t="shared" si="191"/>
        <v>0</v>
      </c>
      <c r="AH158" s="616">
        <f t="shared" si="192"/>
        <v>0</v>
      </c>
      <c r="AI158" s="616">
        <f t="shared" si="193"/>
        <v>0</v>
      </c>
      <c r="AJ158" s="616">
        <f t="shared" si="194"/>
        <v>0</v>
      </c>
      <c r="AK158" s="616">
        <f t="shared" si="195"/>
        <v>0</v>
      </c>
      <c r="AL158" s="616">
        <f t="shared" si="196"/>
        <v>0</v>
      </c>
      <c r="AM158" s="615">
        <f t="shared" si="197"/>
        <v>0</v>
      </c>
      <c r="AN158" s="616">
        <f t="shared" si="198"/>
        <v>0</v>
      </c>
      <c r="AO158" s="616">
        <f t="shared" si="199"/>
        <v>0</v>
      </c>
      <c r="AP158" s="616">
        <f t="shared" si="200"/>
        <v>0</v>
      </c>
      <c r="AQ158" s="637">
        <f t="shared" si="201"/>
        <v>0</v>
      </c>
      <c r="AR158" s="638">
        <f t="shared" si="188"/>
        <v>0</v>
      </c>
      <c r="AS158" s="616">
        <f t="shared" si="144"/>
        <v>0</v>
      </c>
      <c r="AT158" s="616">
        <f t="shared" si="145"/>
        <v>0</v>
      </c>
      <c r="AU158" s="616">
        <f t="shared" si="146"/>
        <v>0</v>
      </c>
      <c r="AV158" s="616">
        <f t="shared" si="147"/>
        <v>0</v>
      </c>
      <c r="AW158" s="616">
        <f t="shared" si="148"/>
        <v>0</v>
      </c>
      <c r="AX158" s="616">
        <f t="shared" si="149"/>
        <v>0</v>
      </c>
      <c r="AY158" s="616"/>
      <c r="AZ158" s="615">
        <f t="shared" si="150"/>
        <v>0</v>
      </c>
      <c r="BA158" s="616">
        <f t="shared" si="151"/>
        <v>0</v>
      </c>
      <c r="BB158" s="616">
        <f t="shared" si="152"/>
        <v>0</v>
      </c>
      <c r="BC158" s="616">
        <f t="shared" si="153"/>
        <v>0</v>
      </c>
      <c r="BD158" s="616">
        <f t="shared" si="154"/>
        <v>0</v>
      </c>
      <c r="BE158" s="616">
        <f t="shared" si="155"/>
        <v>0</v>
      </c>
      <c r="BF158" s="616">
        <f t="shared" si="156"/>
        <v>0</v>
      </c>
      <c r="BG158" s="616"/>
      <c r="BH158" s="615">
        <f t="shared" si="157"/>
        <v>0</v>
      </c>
      <c r="BI158" s="616">
        <f t="shared" si="158"/>
        <v>0</v>
      </c>
      <c r="BJ158" s="616">
        <f t="shared" si="159"/>
        <v>0</v>
      </c>
      <c r="BK158" s="616">
        <f t="shared" si="160"/>
        <v>0</v>
      </c>
      <c r="BL158" s="616">
        <f t="shared" si="161"/>
        <v>0</v>
      </c>
      <c r="BM158" s="616">
        <f t="shared" si="162"/>
        <v>0</v>
      </c>
      <c r="BN158" s="616">
        <f t="shared" si="163"/>
        <v>0</v>
      </c>
      <c r="BO158" s="616"/>
      <c r="BP158" s="304"/>
    </row>
    <row r="159" s="130" customFormat="1" ht="24" spans="1:68">
      <c r="A159" s="497" t="s">
        <v>202</v>
      </c>
      <c r="B159" s="497" t="s">
        <v>404</v>
      </c>
      <c r="C159" s="497" t="s">
        <v>421</v>
      </c>
      <c r="D159" s="497" t="s">
        <v>406</v>
      </c>
      <c r="E159" s="615">
        <f t="shared" si="182"/>
        <v>0</v>
      </c>
      <c r="F159" s="615">
        <f t="shared" si="183"/>
        <v>0</v>
      </c>
      <c r="G159" s="616"/>
      <c r="H159" s="616"/>
      <c r="I159" s="616"/>
      <c r="J159" s="616"/>
      <c r="K159" s="616"/>
      <c r="L159" s="616"/>
      <c r="M159" s="615">
        <f t="shared" si="184"/>
        <v>0</v>
      </c>
      <c r="N159" s="616"/>
      <c r="O159" s="616"/>
      <c r="P159" s="616"/>
      <c r="Q159" s="616"/>
      <c r="R159" s="615">
        <f t="shared" si="185"/>
        <v>0</v>
      </c>
      <c r="S159" s="615">
        <f t="shared" si="186"/>
        <v>0</v>
      </c>
      <c r="T159" s="616"/>
      <c r="U159" s="616"/>
      <c r="V159" s="616"/>
      <c r="W159" s="616"/>
      <c r="X159" s="616"/>
      <c r="Y159" s="616"/>
      <c r="Z159" s="615">
        <f t="shared" si="187"/>
        <v>0</v>
      </c>
      <c r="AA159" s="616"/>
      <c r="AB159" s="616"/>
      <c r="AC159" s="650"/>
      <c r="AD159" s="616"/>
      <c r="AE159" s="615">
        <f t="shared" si="189"/>
        <v>0</v>
      </c>
      <c r="AF159" s="615">
        <f t="shared" si="190"/>
        <v>0</v>
      </c>
      <c r="AG159" s="616">
        <f t="shared" si="191"/>
        <v>0</v>
      </c>
      <c r="AH159" s="616">
        <f t="shared" si="192"/>
        <v>0</v>
      </c>
      <c r="AI159" s="616">
        <f t="shared" si="193"/>
        <v>0</v>
      </c>
      <c r="AJ159" s="616">
        <f t="shared" si="194"/>
        <v>0</v>
      </c>
      <c r="AK159" s="616">
        <f t="shared" si="195"/>
        <v>0</v>
      </c>
      <c r="AL159" s="616">
        <f t="shared" si="196"/>
        <v>0</v>
      </c>
      <c r="AM159" s="615">
        <f t="shared" si="197"/>
        <v>0</v>
      </c>
      <c r="AN159" s="616">
        <f t="shared" si="198"/>
        <v>0</v>
      </c>
      <c r="AO159" s="616">
        <f t="shared" si="199"/>
        <v>0</v>
      </c>
      <c r="AP159" s="616">
        <f t="shared" si="200"/>
        <v>0</v>
      </c>
      <c r="AQ159" s="637">
        <f t="shared" si="201"/>
        <v>0</v>
      </c>
      <c r="AR159" s="638">
        <f t="shared" si="188"/>
        <v>0</v>
      </c>
      <c r="AS159" s="616">
        <f t="shared" si="144"/>
        <v>0</v>
      </c>
      <c r="AT159" s="616">
        <f t="shared" si="145"/>
        <v>0</v>
      </c>
      <c r="AU159" s="616">
        <f t="shared" si="146"/>
        <v>0</v>
      </c>
      <c r="AV159" s="616">
        <f t="shared" si="147"/>
        <v>0</v>
      </c>
      <c r="AW159" s="616">
        <f t="shared" si="148"/>
        <v>0</v>
      </c>
      <c r="AX159" s="616">
        <f t="shared" si="149"/>
        <v>0</v>
      </c>
      <c r="AY159" s="616"/>
      <c r="AZ159" s="615">
        <f t="shared" si="150"/>
        <v>0</v>
      </c>
      <c r="BA159" s="616">
        <f t="shared" si="151"/>
        <v>0</v>
      </c>
      <c r="BB159" s="616">
        <f t="shared" si="152"/>
        <v>0</v>
      </c>
      <c r="BC159" s="616">
        <f t="shared" si="153"/>
        <v>0</v>
      </c>
      <c r="BD159" s="616">
        <f t="shared" si="154"/>
        <v>0</v>
      </c>
      <c r="BE159" s="616">
        <f t="shared" si="155"/>
        <v>0</v>
      </c>
      <c r="BF159" s="616">
        <f t="shared" si="156"/>
        <v>0</v>
      </c>
      <c r="BG159" s="616"/>
      <c r="BH159" s="615">
        <f t="shared" si="157"/>
        <v>0</v>
      </c>
      <c r="BI159" s="616">
        <f t="shared" si="158"/>
        <v>0</v>
      </c>
      <c r="BJ159" s="616">
        <f t="shared" si="159"/>
        <v>0</v>
      </c>
      <c r="BK159" s="616">
        <f t="shared" si="160"/>
        <v>0</v>
      </c>
      <c r="BL159" s="616">
        <f t="shared" si="161"/>
        <v>0</v>
      </c>
      <c r="BM159" s="616">
        <f t="shared" si="162"/>
        <v>0</v>
      </c>
      <c r="BN159" s="616">
        <f t="shared" si="163"/>
        <v>0</v>
      </c>
      <c r="BO159" s="616"/>
      <c r="BP159" s="304"/>
    </row>
    <row r="160" s="130" customFormat="1" ht="24" spans="1:68">
      <c r="A160" s="497" t="s">
        <v>202</v>
      </c>
      <c r="B160" s="497" t="s">
        <v>404</v>
      </c>
      <c r="C160" s="497" t="s">
        <v>422</v>
      </c>
      <c r="D160" s="497" t="s">
        <v>416</v>
      </c>
      <c r="E160" s="615">
        <f t="shared" si="182"/>
        <v>0</v>
      </c>
      <c r="F160" s="615">
        <f t="shared" si="183"/>
        <v>0</v>
      </c>
      <c r="G160" s="616"/>
      <c r="H160" s="616"/>
      <c r="I160" s="616"/>
      <c r="J160" s="616"/>
      <c r="K160" s="616"/>
      <c r="L160" s="616"/>
      <c r="M160" s="615">
        <f t="shared" si="184"/>
        <v>0</v>
      </c>
      <c r="N160" s="616"/>
      <c r="O160" s="616"/>
      <c r="P160" s="616"/>
      <c r="Q160" s="616"/>
      <c r="R160" s="615">
        <f t="shared" si="185"/>
        <v>0</v>
      </c>
      <c r="S160" s="615">
        <f t="shared" si="186"/>
        <v>0</v>
      </c>
      <c r="T160" s="616"/>
      <c r="U160" s="616"/>
      <c r="V160" s="616"/>
      <c r="W160" s="616"/>
      <c r="X160" s="616"/>
      <c r="Y160" s="616"/>
      <c r="Z160" s="615">
        <f t="shared" si="187"/>
        <v>0</v>
      </c>
      <c r="AA160" s="616"/>
      <c r="AB160" s="616"/>
      <c r="AC160" s="616"/>
      <c r="AD160" s="616"/>
      <c r="AE160" s="615">
        <f t="shared" si="189"/>
        <v>0</v>
      </c>
      <c r="AF160" s="615">
        <f t="shared" si="190"/>
        <v>0</v>
      </c>
      <c r="AG160" s="616">
        <f t="shared" si="191"/>
        <v>0</v>
      </c>
      <c r="AH160" s="616">
        <f t="shared" si="192"/>
        <v>0</v>
      </c>
      <c r="AI160" s="616">
        <f t="shared" si="193"/>
        <v>0</v>
      </c>
      <c r="AJ160" s="616">
        <f t="shared" si="194"/>
        <v>0</v>
      </c>
      <c r="AK160" s="616">
        <f t="shared" si="195"/>
        <v>0</v>
      </c>
      <c r="AL160" s="616">
        <f t="shared" si="196"/>
        <v>0</v>
      </c>
      <c r="AM160" s="615">
        <f t="shared" si="197"/>
        <v>0</v>
      </c>
      <c r="AN160" s="616">
        <f t="shared" si="198"/>
        <v>0</v>
      </c>
      <c r="AO160" s="616">
        <f t="shared" si="199"/>
        <v>0</v>
      </c>
      <c r="AP160" s="616">
        <f t="shared" si="200"/>
        <v>0</v>
      </c>
      <c r="AQ160" s="637">
        <f t="shared" si="201"/>
        <v>0</v>
      </c>
      <c r="AR160" s="638">
        <f t="shared" si="188"/>
        <v>0</v>
      </c>
      <c r="AS160" s="616">
        <f t="shared" si="144"/>
        <v>0</v>
      </c>
      <c r="AT160" s="616">
        <f t="shared" si="145"/>
        <v>0</v>
      </c>
      <c r="AU160" s="616">
        <f t="shared" si="146"/>
        <v>0</v>
      </c>
      <c r="AV160" s="616">
        <f t="shared" si="147"/>
        <v>0</v>
      </c>
      <c r="AW160" s="616">
        <f t="shared" si="148"/>
        <v>0</v>
      </c>
      <c r="AX160" s="616">
        <f t="shared" si="149"/>
        <v>0</v>
      </c>
      <c r="AY160" s="616"/>
      <c r="AZ160" s="615">
        <f t="shared" si="150"/>
        <v>0</v>
      </c>
      <c r="BA160" s="616">
        <f t="shared" si="151"/>
        <v>0</v>
      </c>
      <c r="BB160" s="616">
        <f t="shared" si="152"/>
        <v>0</v>
      </c>
      <c r="BC160" s="616">
        <f t="shared" si="153"/>
        <v>0</v>
      </c>
      <c r="BD160" s="616">
        <f t="shared" si="154"/>
        <v>0</v>
      </c>
      <c r="BE160" s="616">
        <f t="shared" si="155"/>
        <v>0</v>
      </c>
      <c r="BF160" s="616">
        <f t="shared" si="156"/>
        <v>0</v>
      </c>
      <c r="BG160" s="616"/>
      <c r="BH160" s="615">
        <f t="shared" si="157"/>
        <v>0</v>
      </c>
      <c r="BI160" s="616">
        <f t="shared" si="158"/>
        <v>0</v>
      </c>
      <c r="BJ160" s="616">
        <f t="shared" si="159"/>
        <v>0</v>
      </c>
      <c r="BK160" s="616">
        <f t="shared" si="160"/>
        <v>0</v>
      </c>
      <c r="BL160" s="616">
        <f t="shared" si="161"/>
        <v>0</v>
      </c>
      <c r="BM160" s="616">
        <f t="shared" si="162"/>
        <v>0</v>
      </c>
      <c r="BN160" s="616">
        <f t="shared" si="163"/>
        <v>0</v>
      </c>
      <c r="BO160" s="616"/>
      <c r="BP160" s="304"/>
    </row>
    <row r="161" s="130" customFormat="1" ht="24" spans="1:68">
      <c r="A161" s="497" t="s">
        <v>202</v>
      </c>
      <c r="B161" s="497" t="s">
        <v>404</v>
      </c>
      <c r="C161" s="497" t="s">
        <v>423</v>
      </c>
      <c r="D161" s="497" t="s">
        <v>416</v>
      </c>
      <c r="E161" s="615">
        <f t="shared" si="182"/>
        <v>0</v>
      </c>
      <c r="F161" s="615">
        <f t="shared" si="183"/>
        <v>0</v>
      </c>
      <c r="G161" s="616"/>
      <c r="H161" s="616"/>
      <c r="I161" s="616"/>
      <c r="J161" s="616"/>
      <c r="K161" s="616"/>
      <c r="L161" s="616"/>
      <c r="M161" s="615">
        <f t="shared" si="184"/>
        <v>0</v>
      </c>
      <c r="N161" s="616"/>
      <c r="O161" s="616"/>
      <c r="P161" s="616"/>
      <c r="Q161" s="616"/>
      <c r="R161" s="615">
        <f t="shared" si="185"/>
        <v>0</v>
      </c>
      <c r="S161" s="615">
        <f t="shared" si="186"/>
        <v>0</v>
      </c>
      <c r="T161" s="616"/>
      <c r="U161" s="616"/>
      <c r="V161" s="616"/>
      <c r="W161" s="616"/>
      <c r="X161" s="616"/>
      <c r="Y161" s="616"/>
      <c r="Z161" s="615">
        <f t="shared" si="187"/>
        <v>0</v>
      </c>
      <c r="AA161" s="616"/>
      <c r="AB161" s="616"/>
      <c r="AC161" s="616"/>
      <c r="AD161" s="616"/>
      <c r="AE161" s="615">
        <f t="shared" si="189"/>
        <v>0</v>
      </c>
      <c r="AF161" s="615">
        <f t="shared" si="190"/>
        <v>0</v>
      </c>
      <c r="AG161" s="616">
        <f t="shared" si="191"/>
        <v>0</v>
      </c>
      <c r="AH161" s="616">
        <f t="shared" si="192"/>
        <v>0</v>
      </c>
      <c r="AI161" s="616">
        <f t="shared" si="193"/>
        <v>0</v>
      </c>
      <c r="AJ161" s="616">
        <f t="shared" si="194"/>
        <v>0</v>
      </c>
      <c r="AK161" s="616">
        <f t="shared" si="195"/>
        <v>0</v>
      </c>
      <c r="AL161" s="616">
        <f t="shared" si="196"/>
        <v>0</v>
      </c>
      <c r="AM161" s="615">
        <f t="shared" si="197"/>
        <v>0</v>
      </c>
      <c r="AN161" s="616">
        <f t="shared" si="198"/>
        <v>0</v>
      </c>
      <c r="AO161" s="616">
        <f t="shared" si="199"/>
        <v>0</v>
      </c>
      <c r="AP161" s="616">
        <f t="shared" si="200"/>
        <v>0</v>
      </c>
      <c r="AQ161" s="637">
        <f t="shared" si="201"/>
        <v>0</v>
      </c>
      <c r="AR161" s="638">
        <f t="shared" si="188"/>
        <v>0</v>
      </c>
      <c r="AS161" s="616">
        <f t="shared" si="144"/>
        <v>0</v>
      </c>
      <c r="AT161" s="616">
        <f t="shared" si="145"/>
        <v>0</v>
      </c>
      <c r="AU161" s="616">
        <f t="shared" si="146"/>
        <v>0</v>
      </c>
      <c r="AV161" s="616">
        <f t="shared" si="147"/>
        <v>0</v>
      </c>
      <c r="AW161" s="616">
        <f t="shared" si="148"/>
        <v>0</v>
      </c>
      <c r="AX161" s="616">
        <f t="shared" si="149"/>
        <v>0</v>
      </c>
      <c r="AY161" s="616"/>
      <c r="AZ161" s="615">
        <f t="shared" si="150"/>
        <v>0</v>
      </c>
      <c r="BA161" s="616">
        <f t="shared" si="151"/>
        <v>0</v>
      </c>
      <c r="BB161" s="616">
        <f t="shared" si="152"/>
        <v>0</v>
      </c>
      <c r="BC161" s="616">
        <f t="shared" si="153"/>
        <v>0</v>
      </c>
      <c r="BD161" s="616">
        <f t="shared" si="154"/>
        <v>0</v>
      </c>
      <c r="BE161" s="616">
        <f t="shared" si="155"/>
        <v>0</v>
      </c>
      <c r="BF161" s="616">
        <f t="shared" si="156"/>
        <v>0</v>
      </c>
      <c r="BG161" s="616"/>
      <c r="BH161" s="615">
        <f t="shared" si="157"/>
        <v>0</v>
      </c>
      <c r="BI161" s="616">
        <f t="shared" si="158"/>
        <v>0</v>
      </c>
      <c r="BJ161" s="616">
        <f t="shared" si="159"/>
        <v>0</v>
      </c>
      <c r="BK161" s="616">
        <f t="shared" si="160"/>
        <v>0</v>
      </c>
      <c r="BL161" s="616">
        <f t="shared" si="161"/>
        <v>0</v>
      </c>
      <c r="BM161" s="616">
        <f t="shared" si="162"/>
        <v>0</v>
      </c>
      <c r="BN161" s="616">
        <f t="shared" si="163"/>
        <v>0</v>
      </c>
      <c r="BO161" s="616"/>
      <c r="BP161" s="304"/>
    </row>
    <row r="162" s="130" customFormat="1" ht="24" spans="1:68">
      <c r="A162" s="497" t="s">
        <v>202</v>
      </c>
      <c r="B162" s="497" t="s">
        <v>404</v>
      </c>
      <c r="C162" s="497" t="s">
        <v>424</v>
      </c>
      <c r="D162" s="497" t="s">
        <v>406</v>
      </c>
      <c r="E162" s="615">
        <f t="shared" si="182"/>
        <v>0</v>
      </c>
      <c r="F162" s="615">
        <f t="shared" si="183"/>
        <v>0</v>
      </c>
      <c r="G162" s="616"/>
      <c r="H162" s="616"/>
      <c r="I162" s="616"/>
      <c r="J162" s="616"/>
      <c r="K162" s="616"/>
      <c r="L162" s="616"/>
      <c r="M162" s="615">
        <f t="shared" si="184"/>
        <v>0</v>
      </c>
      <c r="N162" s="616"/>
      <c r="O162" s="616"/>
      <c r="P162" s="616"/>
      <c r="Q162" s="616"/>
      <c r="R162" s="615">
        <f t="shared" si="185"/>
        <v>0</v>
      </c>
      <c r="S162" s="615">
        <f t="shared" si="186"/>
        <v>0</v>
      </c>
      <c r="T162" s="616"/>
      <c r="U162" s="616"/>
      <c r="V162" s="616"/>
      <c r="W162" s="616"/>
      <c r="X162" s="616"/>
      <c r="Y162" s="616"/>
      <c r="Z162" s="615">
        <f t="shared" si="187"/>
        <v>0</v>
      </c>
      <c r="AA162" s="616"/>
      <c r="AB162" s="616"/>
      <c r="AC162" s="616"/>
      <c r="AD162" s="616"/>
      <c r="AE162" s="615">
        <f t="shared" si="189"/>
        <v>0</v>
      </c>
      <c r="AF162" s="615">
        <f t="shared" si="190"/>
        <v>0</v>
      </c>
      <c r="AG162" s="616">
        <f t="shared" si="191"/>
        <v>0</v>
      </c>
      <c r="AH162" s="616">
        <f t="shared" si="192"/>
        <v>0</v>
      </c>
      <c r="AI162" s="616">
        <f t="shared" si="193"/>
        <v>0</v>
      </c>
      <c r="AJ162" s="616">
        <f t="shared" si="194"/>
        <v>0</v>
      </c>
      <c r="AK162" s="616">
        <f t="shared" si="195"/>
        <v>0</v>
      </c>
      <c r="AL162" s="616">
        <f t="shared" si="196"/>
        <v>0</v>
      </c>
      <c r="AM162" s="615">
        <f t="shared" si="197"/>
        <v>0</v>
      </c>
      <c r="AN162" s="616">
        <f t="shared" si="198"/>
        <v>0</v>
      </c>
      <c r="AO162" s="616">
        <f t="shared" si="199"/>
        <v>0</v>
      </c>
      <c r="AP162" s="616">
        <f t="shared" si="200"/>
        <v>0</v>
      </c>
      <c r="AQ162" s="637">
        <f t="shared" si="201"/>
        <v>0</v>
      </c>
      <c r="AR162" s="638">
        <f t="shared" si="188"/>
        <v>0</v>
      </c>
      <c r="AS162" s="616">
        <f t="shared" si="144"/>
        <v>0</v>
      </c>
      <c r="AT162" s="616">
        <f t="shared" si="145"/>
        <v>0</v>
      </c>
      <c r="AU162" s="616">
        <f t="shared" si="146"/>
        <v>0</v>
      </c>
      <c r="AV162" s="616">
        <f t="shared" si="147"/>
        <v>0</v>
      </c>
      <c r="AW162" s="616">
        <f t="shared" si="148"/>
        <v>0</v>
      </c>
      <c r="AX162" s="616">
        <f t="shared" si="149"/>
        <v>0</v>
      </c>
      <c r="AY162" s="616"/>
      <c r="AZ162" s="615">
        <f t="shared" si="150"/>
        <v>0</v>
      </c>
      <c r="BA162" s="616">
        <f t="shared" si="151"/>
        <v>0</v>
      </c>
      <c r="BB162" s="616">
        <f t="shared" si="152"/>
        <v>0</v>
      </c>
      <c r="BC162" s="616">
        <f t="shared" si="153"/>
        <v>0</v>
      </c>
      <c r="BD162" s="616">
        <f t="shared" si="154"/>
        <v>0</v>
      </c>
      <c r="BE162" s="616">
        <f t="shared" si="155"/>
        <v>0</v>
      </c>
      <c r="BF162" s="616">
        <f t="shared" si="156"/>
        <v>0</v>
      </c>
      <c r="BG162" s="616"/>
      <c r="BH162" s="615">
        <f t="shared" si="157"/>
        <v>0</v>
      </c>
      <c r="BI162" s="616">
        <f t="shared" si="158"/>
        <v>0</v>
      </c>
      <c r="BJ162" s="616">
        <f t="shared" si="159"/>
        <v>0</v>
      </c>
      <c r="BK162" s="616">
        <f t="shared" si="160"/>
        <v>0</v>
      </c>
      <c r="BL162" s="616">
        <f t="shared" si="161"/>
        <v>0</v>
      </c>
      <c r="BM162" s="616">
        <f t="shared" si="162"/>
        <v>0</v>
      </c>
      <c r="BN162" s="616">
        <f t="shared" si="163"/>
        <v>0</v>
      </c>
      <c r="BO162" s="616"/>
      <c r="BP162" s="304"/>
    </row>
    <row r="163" s="130" customFormat="1" ht="24" spans="1:68">
      <c r="A163" s="497" t="s">
        <v>202</v>
      </c>
      <c r="B163" s="497" t="s">
        <v>404</v>
      </c>
      <c r="C163" s="497" t="s">
        <v>425</v>
      </c>
      <c r="D163" s="497" t="s">
        <v>406</v>
      </c>
      <c r="E163" s="615">
        <f t="shared" si="182"/>
        <v>0</v>
      </c>
      <c r="F163" s="615">
        <f t="shared" si="183"/>
        <v>0</v>
      </c>
      <c r="G163" s="616"/>
      <c r="H163" s="616"/>
      <c r="I163" s="616"/>
      <c r="J163" s="616"/>
      <c r="K163" s="616"/>
      <c r="L163" s="616"/>
      <c r="M163" s="615">
        <f t="shared" si="184"/>
        <v>0</v>
      </c>
      <c r="N163" s="616"/>
      <c r="O163" s="616"/>
      <c r="P163" s="616"/>
      <c r="Q163" s="616"/>
      <c r="R163" s="615">
        <f t="shared" si="185"/>
        <v>0</v>
      </c>
      <c r="S163" s="615">
        <f t="shared" si="186"/>
        <v>0</v>
      </c>
      <c r="T163" s="616"/>
      <c r="U163" s="616"/>
      <c r="V163" s="616"/>
      <c r="W163" s="616"/>
      <c r="X163" s="616"/>
      <c r="Y163" s="616"/>
      <c r="Z163" s="615">
        <f t="shared" si="187"/>
        <v>0</v>
      </c>
      <c r="AA163" s="616"/>
      <c r="AB163" s="616"/>
      <c r="AC163" s="616"/>
      <c r="AD163" s="616"/>
      <c r="AE163" s="615">
        <f t="shared" si="189"/>
        <v>0</v>
      </c>
      <c r="AF163" s="615">
        <f t="shared" si="190"/>
        <v>0</v>
      </c>
      <c r="AG163" s="616">
        <f t="shared" si="191"/>
        <v>0</v>
      </c>
      <c r="AH163" s="616">
        <f t="shared" si="192"/>
        <v>0</v>
      </c>
      <c r="AI163" s="616">
        <f t="shared" si="193"/>
        <v>0</v>
      </c>
      <c r="AJ163" s="616">
        <f t="shared" si="194"/>
        <v>0</v>
      </c>
      <c r="AK163" s="616">
        <f t="shared" si="195"/>
        <v>0</v>
      </c>
      <c r="AL163" s="616">
        <f t="shared" si="196"/>
        <v>0</v>
      </c>
      <c r="AM163" s="615">
        <f t="shared" si="197"/>
        <v>0</v>
      </c>
      <c r="AN163" s="616">
        <f t="shared" si="198"/>
        <v>0</v>
      </c>
      <c r="AO163" s="616">
        <f t="shared" si="199"/>
        <v>0</v>
      </c>
      <c r="AP163" s="616">
        <f t="shared" si="200"/>
        <v>0</v>
      </c>
      <c r="AQ163" s="637">
        <f t="shared" si="201"/>
        <v>0</v>
      </c>
      <c r="AR163" s="638">
        <f t="shared" si="188"/>
        <v>0</v>
      </c>
      <c r="AS163" s="616">
        <f t="shared" si="144"/>
        <v>0</v>
      </c>
      <c r="AT163" s="616">
        <f t="shared" si="145"/>
        <v>0</v>
      </c>
      <c r="AU163" s="616">
        <f t="shared" si="146"/>
        <v>0</v>
      </c>
      <c r="AV163" s="616">
        <f t="shared" si="147"/>
        <v>0</v>
      </c>
      <c r="AW163" s="616">
        <f t="shared" si="148"/>
        <v>0</v>
      </c>
      <c r="AX163" s="616">
        <f t="shared" si="149"/>
        <v>0</v>
      </c>
      <c r="AY163" s="616"/>
      <c r="AZ163" s="615">
        <f t="shared" si="150"/>
        <v>0</v>
      </c>
      <c r="BA163" s="616">
        <f t="shared" si="151"/>
        <v>0</v>
      </c>
      <c r="BB163" s="616">
        <f t="shared" si="152"/>
        <v>0</v>
      </c>
      <c r="BC163" s="616">
        <f t="shared" si="153"/>
        <v>0</v>
      </c>
      <c r="BD163" s="616">
        <f t="shared" si="154"/>
        <v>0</v>
      </c>
      <c r="BE163" s="616">
        <f t="shared" si="155"/>
        <v>0</v>
      </c>
      <c r="BF163" s="616">
        <f t="shared" si="156"/>
        <v>0</v>
      </c>
      <c r="BG163" s="616"/>
      <c r="BH163" s="615">
        <f t="shared" si="157"/>
        <v>0</v>
      </c>
      <c r="BI163" s="616">
        <f t="shared" si="158"/>
        <v>0</v>
      </c>
      <c r="BJ163" s="616">
        <f t="shared" si="159"/>
        <v>0</v>
      </c>
      <c r="BK163" s="616">
        <f t="shared" si="160"/>
        <v>0</v>
      </c>
      <c r="BL163" s="616">
        <f t="shared" si="161"/>
        <v>0</v>
      </c>
      <c r="BM163" s="616">
        <f t="shared" si="162"/>
        <v>0</v>
      </c>
      <c r="BN163" s="616">
        <f t="shared" si="163"/>
        <v>0</v>
      </c>
      <c r="BO163" s="616"/>
      <c r="BP163" s="304"/>
    </row>
    <row r="164" s="130" customFormat="1" ht="24" spans="1:68">
      <c r="A164" s="497" t="s">
        <v>202</v>
      </c>
      <c r="B164" s="497" t="s">
        <v>404</v>
      </c>
      <c r="C164" s="497" t="s">
        <v>426</v>
      </c>
      <c r="D164" s="497" t="s">
        <v>406</v>
      </c>
      <c r="E164" s="615">
        <f t="shared" si="182"/>
        <v>0</v>
      </c>
      <c r="F164" s="615">
        <f t="shared" si="183"/>
        <v>0</v>
      </c>
      <c r="G164" s="616"/>
      <c r="H164" s="616"/>
      <c r="I164" s="616"/>
      <c r="J164" s="616"/>
      <c r="K164" s="616"/>
      <c r="L164" s="616"/>
      <c r="M164" s="615">
        <f t="shared" si="184"/>
        <v>0</v>
      </c>
      <c r="N164" s="616"/>
      <c r="O164" s="616"/>
      <c r="P164" s="616"/>
      <c r="Q164" s="616"/>
      <c r="R164" s="615">
        <f t="shared" si="185"/>
        <v>0</v>
      </c>
      <c r="S164" s="615">
        <f t="shared" si="186"/>
        <v>0</v>
      </c>
      <c r="T164" s="616"/>
      <c r="U164" s="616"/>
      <c r="V164" s="616"/>
      <c r="W164" s="616"/>
      <c r="X164" s="616"/>
      <c r="Y164" s="616"/>
      <c r="Z164" s="615">
        <f t="shared" si="187"/>
        <v>0</v>
      </c>
      <c r="AA164" s="616"/>
      <c r="AB164" s="616"/>
      <c r="AC164" s="616"/>
      <c r="AD164" s="616"/>
      <c r="AE164" s="615">
        <f t="shared" si="189"/>
        <v>0</v>
      </c>
      <c r="AF164" s="615">
        <f t="shared" si="190"/>
        <v>0</v>
      </c>
      <c r="AG164" s="616">
        <f t="shared" si="191"/>
        <v>0</v>
      </c>
      <c r="AH164" s="616">
        <f t="shared" si="192"/>
        <v>0</v>
      </c>
      <c r="AI164" s="616">
        <f t="shared" si="193"/>
        <v>0</v>
      </c>
      <c r="AJ164" s="616">
        <f t="shared" si="194"/>
        <v>0</v>
      </c>
      <c r="AK164" s="616">
        <f t="shared" si="195"/>
        <v>0</v>
      </c>
      <c r="AL164" s="616">
        <f t="shared" si="196"/>
        <v>0</v>
      </c>
      <c r="AM164" s="615">
        <f t="shared" si="197"/>
        <v>0</v>
      </c>
      <c r="AN164" s="616">
        <f t="shared" si="198"/>
        <v>0</v>
      </c>
      <c r="AO164" s="616">
        <f t="shared" si="199"/>
        <v>0</v>
      </c>
      <c r="AP164" s="616">
        <f t="shared" si="200"/>
        <v>0</v>
      </c>
      <c r="AQ164" s="637">
        <f t="shared" si="201"/>
        <v>0</v>
      </c>
      <c r="AR164" s="638">
        <f t="shared" si="188"/>
        <v>0</v>
      </c>
      <c r="AS164" s="616">
        <f t="shared" si="144"/>
        <v>0</v>
      </c>
      <c r="AT164" s="616">
        <f t="shared" si="145"/>
        <v>0</v>
      </c>
      <c r="AU164" s="616">
        <f t="shared" si="146"/>
        <v>0</v>
      </c>
      <c r="AV164" s="616">
        <f t="shared" si="147"/>
        <v>0</v>
      </c>
      <c r="AW164" s="616">
        <f t="shared" si="148"/>
        <v>0</v>
      </c>
      <c r="AX164" s="616">
        <f t="shared" si="149"/>
        <v>0</v>
      </c>
      <c r="AY164" s="616"/>
      <c r="AZ164" s="615">
        <f t="shared" si="150"/>
        <v>0</v>
      </c>
      <c r="BA164" s="616">
        <f t="shared" si="151"/>
        <v>0</v>
      </c>
      <c r="BB164" s="616">
        <f t="shared" si="152"/>
        <v>0</v>
      </c>
      <c r="BC164" s="616">
        <f t="shared" si="153"/>
        <v>0</v>
      </c>
      <c r="BD164" s="616">
        <f t="shared" si="154"/>
        <v>0</v>
      </c>
      <c r="BE164" s="616">
        <f t="shared" si="155"/>
        <v>0</v>
      </c>
      <c r="BF164" s="616">
        <f t="shared" si="156"/>
        <v>0</v>
      </c>
      <c r="BG164" s="616"/>
      <c r="BH164" s="615">
        <f t="shared" si="157"/>
        <v>0</v>
      </c>
      <c r="BI164" s="616">
        <f t="shared" si="158"/>
        <v>0</v>
      </c>
      <c r="BJ164" s="616">
        <f t="shared" si="159"/>
        <v>0</v>
      </c>
      <c r="BK164" s="616">
        <f t="shared" si="160"/>
        <v>0</v>
      </c>
      <c r="BL164" s="616">
        <f t="shared" si="161"/>
        <v>0</v>
      </c>
      <c r="BM164" s="616">
        <f t="shared" si="162"/>
        <v>0</v>
      </c>
      <c r="BN164" s="616">
        <f t="shared" si="163"/>
        <v>0</v>
      </c>
      <c r="BO164" s="616"/>
      <c r="BP164" s="304"/>
    </row>
    <row r="165" s="130" customFormat="1" ht="24" spans="1:68">
      <c r="A165" s="497" t="s">
        <v>202</v>
      </c>
      <c r="B165" s="497" t="s">
        <v>404</v>
      </c>
      <c r="C165" s="497" t="s">
        <v>427</v>
      </c>
      <c r="D165" s="497" t="s">
        <v>416</v>
      </c>
      <c r="E165" s="615">
        <f t="shared" si="182"/>
        <v>0</v>
      </c>
      <c r="F165" s="615">
        <f t="shared" si="183"/>
        <v>0</v>
      </c>
      <c r="G165" s="616"/>
      <c r="H165" s="616"/>
      <c r="I165" s="616"/>
      <c r="J165" s="616"/>
      <c r="K165" s="616"/>
      <c r="L165" s="616"/>
      <c r="M165" s="615">
        <f t="shared" si="184"/>
        <v>0</v>
      </c>
      <c r="N165" s="616"/>
      <c r="O165" s="616"/>
      <c r="P165" s="616"/>
      <c r="Q165" s="616"/>
      <c r="R165" s="615">
        <f t="shared" si="185"/>
        <v>0</v>
      </c>
      <c r="S165" s="615">
        <f t="shared" si="186"/>
        <v>0</v>
      </c>
      <c r="T165" s="616"/>
      <c r="U165" s="616"/>
      <c r="V165" s="616"/>
      <c r="W165" s="616"/>
      <c r="X165" s="616"/>
      <c r="Y165" s="616"/>
      <c r="Z165" s="615">
        <f t="shared" si="187"/>
        <v>0</v>
      </c>
      <c r="AA165" s="616"/>
      <c r="AB165" s="616"/>
      <c r="AC165" s="650"/>
      <c r="AD165" s="616"/>
      <c r="AE165" s="615">
        <f t="shared" si="189"/>
        <v>0</v>
      </c>
      <c r="AF165" s="615">
        <f t="shared" si="190"/>
        <v>0</v>
      </c>
      <c r="AG165" s="616">
        <f t="shared" si="191"/>
        <v>0</v>
      </c>
      <c r="AH165" s="616">
        <f t="shared" si="192"/>
        <v>0</v>
      </c>
      <c r="AI165" s="616">
        <f t="shared" si="193"/>
        <v>0</v>
      </c>
      <c r="AJ165" s="616">
        <f t="shared" si="194"/>
        <v>0</v>
      </c>
      <c r="AK165" s="616">
        <f t="shared" si="195"/>
        <v>0</v>
      </c>
      <c r="AL165" s="616">
        <f t="shared" si="196"/>
        <v>0</v>
      </c>
      <c r="AM165" s="615">
        <f t="shared" si="197"/>
        <v>0</v>
      </c>
      <c r="AN165" s="616">
        <f t="shared" si="198"/>
        <v>0</v>
      </c>
      <c r="AO165" s="616">
        <f t="shared" si="199"/>
        <v>0</v>
      </c>
      <c r="AP165" s="616">
        <f t="shared" si="200"/>
        <v>0</v>
      </c>
      <c r="AQ165" s="637">
        <f t="shared" si="201"/>
        <v>0</v>
      </c>
      <c r="AR165" s="638">
        <f t="shared" si="188"/>
        <v>0</v>
      </c>
      <c r="AS165" s="616">
        <f t="shared" si="144"/>
        <v>0</v>
      </c>
      <c r="AT165" s="616">
        <f t="shared" si="145"/>
        <v>0</v>
      </c>
      <c r="AU165" s="616">
        <f t="shared" si="146"/>
        <v>0</v>
      </c>
      <c r="AV165" s="616">
        <f t="shared" si="147"/>
        <v>0</v>
      </c>
      <c r="AW165" s="616">
        <f t="shared" si="148"/>
        <v>0</v>
      </c>
      <c r="AX165" s="616">
        <f t="shared" si="149"/>
        <v>0</v>
      </c>
      <c r="AY165" s="616"/>
      <c r="AZ165" s="615">
        <f t="shared" si="150"/>
        <v>0</v>
      </c>
      <c r="BA165" s="616">
        <f t="shared" si="151"/>
        <v>0</v>
      </c>
      <c r="BB165" s="616">
        <f t="shared" si="152"/>
        <v>0</v>
      </c>
      <c r="BC165" s="616">
        <f t="shared" si="153"/>
        <v>0</v>
      </c>
      <c r="BD165" s="616">
        <f t="shared" si="154"/>
        <v>0</v>
      </c>
      <c r="BE165" s="616">
        <f t="shared" si="155"/>
        <v>0</v>
      </c>
      <c r="BF165" s="616">
        <f t="shared" si="156"/>
        <v>0</v>
      </c>
      <c r="BG165" s="616"/>
      <c r="BH165" s="615">
        <f t="shared" si="157"/>
        <v>0</v>
      </c>
      <c r="BI165" s="616">
        <f t="shared" si="158"/>
        <v>0</v>
      </c>
      <c r="BJ165" s="616">
        <f t="shared" si="159"/>
        <v>0</v>
      </c>
      <c r="BK165" s="616">
        <f t="shared" si="160"/>
        <v>0</v>
      </c>
      <c r="BL165" s="616">
        <f t="shared" si="161"/>
        <v>0</v>
      </c>
      <c r="BM165" s="616">
        <f t="shared" si="162"/>
        <v>0</v>
      </c>
      <c r="BN165" s="616">
        <f t="shared" si="163"/>
        <v>0</v>
      </c>
      <c r="BO165" s="616"/>
      <c r="BP165" s="304"/>
    </row>
    <row r="166" s="130" customFormat="1" ht="24" spans="1:68">
      <c r="A166" s="497" t="s">
        <v>202</v>
      </c>
      <c r="B166" s="497" t="s">
        <v>404</v>
      </c>
      <c r="C166" s="497" t="s">
        <v>428</v>
      </c>
      <c r="D166" s="497" t="s">
        <v>416</v>
      </c>
      <c r="E166" s="615">
        <f t="shared" si="182"/>
        <v>0</v>
      </c>
      <c r="F166" s="615">
        <f t="shared" si="183"/>
        <v>0</v>
      </c>
      <c r="G166" s="616"/>
      <c r="H166" s="616"/>
      <c r="I166" s="616"/>
      <c r="J166" s="616"/>
      <c r="K166" s="616"/>
      <c r="L166" s="616"/>
      <c r="M166" s="615">
        <f t="shared" si="184"/>
        <v>0</v>
      </c>
      <c r="N166" s="616"/>
      <c r="O166" s="616"/>
      <c r="P166" s="616"/>
      <c r="Q166" s="616"/>
      <c r="R166" s="615">
        <f t="shared" si="185"/>
        <v>0</v>
      </c>
      <c r="S166" s="615">
        <f t="shared" si="186"/>
        <v>0</v>
      </c>
      <c r="T166" s="616"/>
      <c r="U166" s="616"/>
      <c r="V166" s="616"/>
      <c r="W166" s="616"/>
      <c r="X166" s="616"/>
      <c r="Y166" s="616"/>
      <c r="Z166" s="615">
        <f t="shared" si="187"/>
        <v>0</v>
      </c>
      <c r="AA166" s="616"/>
      <c r="AB166" s="616"/>
      <c r="AC166" s="616"/>
      <c r="AD166" s="616"/>
      <c r="AE166" s="615">
        <f t="shared" si="189"/>
        <v>0</v>
      </c>
      <c r="AF166" s="615">
        <f t="shared" si="190"/>
        <v>0</v>
      </c>
      <c r="AG166" s="616">
        <f t="shared" si="191"/>
        <v>0</v>
      </c>
      <c r="AH166" s="616">
        <f t="shared" si="192"/>
        <v>0</v>
      </c>
      <c r="AI166" s="616">
        <f t="shared" si="193"/>
        <v>0</v>
      </c>
      <c r="AJ166" s="616">
        <f t="shared" si="194"/>
        <v>0</v>
      </c>
      <c r="AK166" s="616">
        <f t="shared" si="195"/>
        <v>0</v>
      </c>
      <c r="AL166" s="616">
        <f t="shared" si="196"/>
        <v>0</v>
      </c>
      <c r="AM166" s="615">
        <f t="shared" si="197"/>
        <v>0</v>
      </c>
      <c r="AN166" s="616">
        <f t="shared" si="198"/>
        <v>0</v>
      </c>
      <c r="AO166" s="616">
        <f t="shared" si="199"/>
        <v>0</v>
      </c>
      <c r="AP166" s="616">
        <f t="shared" si="200"/>
        <v>0</v>
      </c>
      <c r="AQ166" s="637">
        <f t="shared" si="201"/>
        <v>0</v>
      </c>
      <c r="AR166" s="638">
        <f t="shared" si="188"/>
        <v>0</v>
      </c>
      <c r="AS166" s="616">
        <f t="shared" si="144"/>
        <v>0</v>
      </c>
      <c r="AT166" s="616">
        <f t="shared" si="145"/>
        <v>0</v>
      </c>
      <c r="AU166" s="616">
        <f t="shared" si="146"/>
        <v>0</v>
      </c>
      <c r="AV166" s="616">
        <f t="shared" si="147"/>
        <v>0</v>
      </c>
      <c r="AW166" s="616">
        <f t="shared" si="148"/>
        <v>0</v>
      </c>
      <c r="AX166" s="616">
        <f t="shared" si="149"/>
        <v>0</v>
      </c>
      <c r="AY166" s="616"/>
      <c r="AZ166" s="615">
        <f t="shared" si="150"/>
        <v>0</v>
      </c>
      <c r="BA166" s="616">
        <f t="shared" si="151"/>
        <v>0</v>
      </c>
      <c r="BB166" s="616">
        <f t="shared" si="152"/>
        <v>0</v>
      </c>
      <c r="BC166" s="616">
        <f t="shared" si="153"/>
        <v>0</v>
      </c>
      <c r="BD166" s="616">
        <f t="shared" si="154"/>
        <v>0</v>
      </c>
      <c r="BE166" s="616">
        <f t="shared" si="155"/>
        <v>0</v>
      </c>
      <c r="BF166" s="616">
        <f t="shared" si="156"/>
        <v>0</v>
      </c>
      <c r="BG166" s="616"/>
      <c r="BH166" s="615">
        <f t="shared" si="157"/>
        <v>0</v>
      </c>
      <c r="BI166" s="616">
        <f t="shared" si="158"/>
        <v>0</v>
      </c>
      <c r="BJ166" s="616">
        <f t="shared" si="159"/>
        <v>0</v>
      </c>
      <c r="BK166" s="616">
        <f t="shared" si="160"/>
        <v>0</v>
      </c>
      <c r="BL166" s="616">
        <f t="shared" si="161"/>
        <v>0</v>
      </c>
      <c r="BM166" s="616">
        <f t="shared" si="162"/>
        <v>0</v>
      </c>
      <c r="BN166" s="616">
        <f t="shared" si="163"/>
        <v>0</v>
      </c>
      <c r="BO166" s="616"/>
      <c r="BP166" s="304"/>
    </row>
    <row r="167" s="130" customFormat="1" ht="24" spans="1:68">
      <c r="A167" s="497" t="s">
        <v>202</v>
      </c>
      <c r="B167" s="497" t="s">
        <v>404</v>
      </c>
      <c r="C167" s="497" t="s">
        <v>429</v>
      </c>
      <c r="D167" s="497" t="s">
        <v>416</v>
      </c>
      <c r="E167" s="615">
        <f t="shared" si="182"/>
        <v>0</v>
      </c>
      <c r="F167" s="615">
        <f t="shared" si="183"/>
        <v>0</v>
      </c>
      <c r="G167" s="616"/>
      <c r="H167" s="616"/>
      <c r="I167" s="616"/>
      <c r="J167" s="616"/>
      <c r="K167" s="616"/>
      <c r="L167" s="616"/>
      <c r="M167" s="615">
        <f t="shared" si="184"/>
        <v>0</v>
      </c>
      <c r="N167" s="616"/>
      <c r="O167" s="616"/>
      <c r="P167" s="616"/>
      <c r="Q167" s="616"/>
      <c r="R167" s="615">
        <f t="shared" si="185"/>
        <v>0</v>
      </c>
      <c r="S167" s="615">
        <f t="shared" si="186"/>
        <v>0</v>
      </c>
      <c r="T167" s="616"/>
      <c r="U167" s="616"/>
      <c r="V167" s="616"/>
      <c r="W167" s="616"/>
      <c r="X167" s="616"/>
      <c r="Y167" s="616"/>
      <c r="Z167" s="615">
        <f t="shared" si="187"/>
        <v>0</v>
      </c>
      <c r="AA167" s="616"/>
      <c r="AB167" s="616"/>
      <c r="AC167" s="616"/>
      <c r="AD167" s="616"/>
      <c r="AE167" s="615">
        <f t="shared" si="189"/>
        <v>0</v>
      </c>
      <c r="AF167" s="615">
        <f t="shared" si="190"/>
        <v>0</v>
      </c>
      <c r="AG167" s="616">
        <f t="shared" si="191"/>
        <v>0</v>
      </c>
      <c r="AH167" s="616">
        <f t="shared" si="192"/>
        <v>0</v>
      </c>
      <c r="AI167" s="616">
        <f t="shared" si="193"/>
        <v>0</v>
      </c>
      <c r="AJ167" s="616">
        <f t="shared" si="194"/>
        <v>0</v>
      </c>
      <c r="AK167" s="616">
        <f t="shared" si="195"/>
        <v>0</v>
      </c>
      <c r="AL167" s="616">
        <f t="shared" si="196"/>
        <v>0</v>
      </c>
      <c r="AM167" s="615">
        <f t="shared" si="197"/>
        <v>0</v>
      </c>
      <c r="AN167" s="616">
        <f t="shared" si="198"/>
        <v>0</v>
      </c>
      <c r="AO167" s="616">
        <f t="shared" si="199"/>
        <v>0</v>
      </c>
      <c r="AP167" s="616">
        <f t="shared" si="200"/>
        <v>0</v>
      </c>
      <c r="AQ167" s="637">
        <f t="shared" si="201"/>
        <v>0</v>
      </c>
      <c r="AR167" s="638">
        <f t="shared" si="188"/>
        <v>0</v>
      </c>
      <c r="AS167" s="616">
        <f t="shared" si="144"/>
        <v>0</v>
      </c>
      <c r="AT167" s="616">
        <f t="shared" si="145"/>
        <v>0</v>
      </c>
      <c r="AU167" s="616">
        <f t="shared" si="146"/>
        <v>0</v>
      </c>
      <c r="AV167" s="616">
        <f t="shared" si="147"/>
        <v>0</v>
      </c>
      <c r="AW167" s="616">
        <f t="shared" si="148"/>
        <v>0</v>
      </c>
      <c r="AX167" s="616">
        <f t="shared" si="149"/>
        <v>0</v>
      </c>
      <c r="AY167" s="616"/>
      <c r="AZ167" s="615">
        <f t="shared" si="150"/>
        <v>0</v>
      </c>
      <c r="BA167" s="616">
        <f t="shared" si="151"/>
        <v>0</v>
      </c>
      <c r="BB167" s="616">
        <f t="shared" si="152"/>
        <v>0</v>
      </c>
      <c r="BC167" s="616">
        <f t="shared" si="153"/>
        <v>0</v>
      </c>
      <c r="BD167" s="616">
        <f t="shared" si="154"/>
        <v>0</v>
      </c>
      <c r="BE167" s="616">
        <f t="shared" si="155"/>
        <v>0</v>
      </c>
      <c r="BF167" s="616">
        <f t="shared" si="156"/>
        <v>0</v>
      </c>
      <c r="BG167" s="616"/>
      <c r="BH167" s="615">
        <f t="shared" si="157"/>
        <v>0</v>
      </c>
      <c r="BI167" s="616">
        <f t="shared" si="158"/>
        <v>0</v>
      </c>
      <c r="BJ167" s="616">
        <f t="shared" si="159"/>
        <v>0</v>
      </c>
      <c r="BK167" s="616">
        <f t="shared" si="160"/>
        <v>0</v>
      </c>
      <c r="BL167" s="616">
        <f t="shared" si="161"/>
        <v>0</v>
      </c>
      <c r="BM167" s="616">
        <f t="shared" si="162"/>
        <v>0</v>
      </c>
      <c r="BN167" s="616">
        <f t="shared" si="163"/>
        <v>0</v>
      </c>
      <c r="BO167" s="616"/>
      <c r="BP167" s="304"/>
    </row>
    <row r="168" s="130" customFormat="1" ht="24" spans="1:68">
      <c r="A168" s="497" t="s">
        <v>202</v>
      </c>
      <c r="B168" s="497" t="s">
        <v>404</v>
      </c>
      <c r="C168" s="497" t="s">
        <v>430</v>
      </c>
      <c r="D168" s="497" t="s">
        <v>406</v>
      </c>
      <c r="E168" s="615">
        <f t="shared" si="182"/>
        <v>0</v>
      </c>
      <c r="F168" s="615">
        <f t="shared" si="183"/>
        <v>0</v>
      </c>
      <c r="G168" s="616"/>
      <c r="H168" s="616"/>
      <c r="I168" s="616"/>
      <c r="J168" s="616"/>
      <c r="K168" s="616"/>
      <c r="L168" s="616"/>
      <c r="M168" s="615">
        <f t="shared" si="184"/>
        <v>0</v>
      </c>
      <c r="N168" s="616"/>
      <c r="O168" s="616"/>
      <c r="P168" s="616"/>
      <c r="Q168" s="616"/>
      <c r="R168" s="615">
        <f t="shared" si="185"/>
        <v>0</v>
      </c>
      <c r="S168" s="615">
        <f t="shared" si="186"/>
        <v>0</v>
      </c>
      <c r="T168" s="616"/>
      <c r="U168" s="616"/>
      <c r="V168" s="616"/>
      <c r="W168" s="616"/>
      <c r="X168" s="616"/>
      <c r="Y168" s="616"/>
      <c r="Z168" s="615">
        <f t="shared" si="187"/>
        <v>0</v>
      </c>
      <c r="AA168" s="616"/>
      <c r="AB168" s="616"/>
      <c r="AC168" s="616"/>
      <c r="AD168" s="616"/>
      <c r="AE168" s="615">
        <f t="shared" si="189"/>
        <v>0</v>
      </c>
      <c r="AF168" s="615">
        <f t="shared" si="190"/>
        <v>0</v>
      </c>
      <c r="AG168" s="616">
        <f t="shared" si="191"/>
        <v>0</v>
      </c>
      <c r="AH168" s="616">
        <f t="shared" si="192"/>
        <v>0</v>
      </c>
      <c r="AI168" s="616">
        <f t="shared" si="193"/>
        <v>0</v>
      </c>
      <c r="AJ168" s="616">
        <f t="shared" si="194"/>
        <v>0</v>
      </c>
      <c r="AK168" s="616">
        <f t="shared" si="195"/>
        <v>0</v>
      </c>
      <c r="AL168" s="616">
        <f t="shared" si="196"/>
        <v>0</v>
      </c>
      <c r="AM168" s="615">
        <f t="shared" si="197"/>
        <v>0</v>
      </c>
      <c r="AN168" s="616">
        <f t="shared" si="198"/>
        <v>0</v>
      </c>
      <c r="AO168" s="616">
        <f t="shared" si="199"/>
        <v>0</v>
      </c>
      <c r="AP168" s="616">
        <f t="shared" si="200"/>
        <v>0</v>
      </c>
      <c r="AQ168" s="637">
        <f t="shared" si="201"/>
        <v>0</v>
      </c>
      <c r="AR168" s="638">
        <f t="shared" si="188"/>
        <v>0</v>
      </c>
      <c r="AS168" s="616">
        <f t="shared" si="144"/>
        <v>0</v>
      </c>
      <c r="AT168" s="616">
        <f t="shared" si="145"/>
        <v>0</v>
      </c>
      <c r="AU168" s="616">
        <f t="shared" si="146"/>
        <v>0</v>
      </c>
      <c r="AV168" s="616">
        <f t="shared" si="147"/>
        <v>0</v>
      </c>
      <c r="AW168" s="616">
        <f t="shared" si="148"/>
        <v>0</v>
      </c>
      <c r="AX168" s="616">
        <f t="shared" si="149"/>
        <v>0</v>
      </c>
      <c r="AY168" s="616"/>
      <c r="AZ168" s="615">
        <f t="shared" si="150"/>
        <v>0</v>
      </c>
      <c r="BA168" s="616">
        <f t="shared" si="151"/>
        <v>0</v>
      </c>
      <c r="BB168" s="616">
        <f t="shared" si="152"/>
        <v>0</v>
      </c>
      <c r="BC168" s="616">
        <f t="shared" si="153"/>
        <v>0</v>
      </c>
      <c r="BD168" s="616">
        <f t="shared" si="154"/>
        <v>0</v>
      </c>
      <c r="BE168" s="616">
        <f t="shared" si="155"/>
        <v>0</v>
      </c>
      <c r="BF168" s="616">
        <f t="shared" si="156"/>
        <v>0</v>
      </c>
      <c r="BG168" s="616"/>
      <c r="BH168" s="615">
        <f t="shared" si="157"/>
        <v>0</v>
      </c>
      <c r="BI168" s="616">
        <f t="shared" si="158"/>
        <v>0</v>
      </c>
      <c r="BJ168" s="616">
        <f t="shared" si="159"/>
        <v>0</v>
      </c>
      <c r="BK168" s="616">
        <f t="shared" si="160"/>
        <v>0</v>
      </c>
      <c r="BL168" s="616">
        <f t="shared" si="161"/>
        <v>0</v>
      </c>
      <c r="BM168" s="616">
        <f t="shared" si="162"/>
        <v>0</v>
      </c>
      <c r="BN168" s="616">
        <f t="shared" si="163"/>
        <v>0</v>
      </c>
      <c r="BO168" s="616"/>
      <c r="BP168" s="304"/>
    </row>
    <row r="169" s="130" customFormat="1" ht="24" spans="1:68">
      <c r="A169" s="497" t="s">
        <v>202</v>
      </c>
      <c r="B169" s="497" t="s">
        <v>404</v>
      </c>
      <c r="C169" s="497" t="s">
        <v>431</v>
      </c>
      <c r="D169" s="497" t="s">
        <v>416</v>
      </c>
      <c r="E169" s="615">
        <f t="shared" si="182"/>
        <v>0</v>
      </c>
      <c r="F169" s="615">
        <f t="shared" si="183"/>
        <v>0</v>
      </c>
      <c r="G169" s="616"/>
      <c r="H169" s="616"/>
      <c r="I169" s="616"/>
      <c r="J169" s="616"/>
      <c r="K169" s="616"/>
      <c r="L169" s="616"/>
      <c r="M169" s="615">
        <f t="shared" si="184"/>
        <v>0</v>
      </c>
      <c r="N169" s="616"/>
      <c r="O169" s="616"/>
      <c r="P169" s="616"/>
      <c r="Q169" s="616"/>
      <c r="R169" s="615">
        <f t="shared" si="185"/>
        <v>0</v>
      </c>
      <c r="S169" s="615">
        <f t="shared" si="186"/>
        <v>0</v>
      </c>
      <c r="T169" s="616"/>
      <c r="U169" s="616"/>
      <c r="V169" s="616"/>
      <c r="W169" s="616"/>
      <c r="X169" s="616"/>
      <c r="Y169" s="616"/>
      <c r="Z169" s="615">
        <f t="shared" si="187"/>
        <v>0</v>
      </c>
      <c r="AA169" s="616"/>
      <c r="AB169" s="616"/>
      <c r="AC169" s="616"/>
      <c r="AD169" s="616"/>
      <c r="AE169" s="615">
        <f t="shared" si="189"/>
        <v>0</v>
      </c>
      <c r="AF169" s="615">
        <f t="shared" si="190"/>
        <v>0</v>
      </c>
      <c r="AG169" s="616">
        <f t="shared" si="191"/>
        <v>0</v>
      </c>
      <c r="AH169" s="616">
        <f t="shared" si="192"/>
        <v>0</v>
      </c>
      <c r="AI169" s="616">
        <f t="shared" si="193"/>
        <v>0</v>
      </c>
      <c r="AJ169" s="616">
        <f t="shared" si="194"/>
        <v>0</v>
      </c>
      <c r="AK169" s="616">
        <f t="shared" si="195"/>
        <v>0</v>
      </c>
      <c r="AL169" s="616">
        <f t="shared" si="196"/>
        <v>0</v>
      </c>
      <c r="AM169" s="615">
        <f t="shared" si="197"/>
        <v>0</v>
      </c>
      <c r="AN169" s="616">
        <f t="shared" si="198"/>
        <v>0</v>
      </c>
      <c r="AO169" s="616">
        <f t="shared" si="199"/>
        <v>0</v>
      </c>
      <c r="AP169" s="616">
        <f t="shared" si="200"/>
        <v>0</v>
      </c>
      <c r="AQ169" s="637">
        <f t="shared" si="201"/>
        <v>0</v>
      </c>
      <c r="AR169" s="638">
        <f t="shared" si="188"/>
        <v>0</v>
      </c>
      <c r="AS169" s="616">
        <f t="shared" si="144"/>
        <v>0</v>
      </c>
      <c r="AT169" s="616">
        <f t="shared" si="145"/>
        <v>0</v>
      </c>
      <c r="AU169" s="616">
        <f t="shared" si="146"/>
        <v>0</v>
      </c>
      <c r="AV169" s="616">
        <f t="shared" si="147"/>
        <v>0</v>
      </c>
      <c r="AW169" s="616">
        <f t="shared" si="148"/>
        <v>0</v>
      </c>
      <c r="AX169" s="616">
        <f t="shared" si="149"/>
        <v>0</v>
      </c>
      <c r="AY169" s="616"/>
      <c r="AZ169" s="615">
        <f t="shared" si="150"/>
        <v>0</v>
      </c>
      <c r="BA169" s="616">
        <f t="shared" si="151"/>
        <v>0</v>
      </c>
      <c r="BB169" s="616">
        <f t="shared" si="152"/>
        <v>0</v>
      </c>
      <c r="BC169" s="616">
        <f t="shared" si="153"/>
        <v>0</v>
      </c>
      <c r="BD169" s="616">
        <f t="shared" si="154"/>
        <v>0</v>
      </c>
      <c r="BE169" s="616">
        <f t="shared" si="155"/>
        <v>0</v>
      </c>
      <c r="BF169" s="616">
        <f t="shared" si="156"/>
        <v>0</v>
      </c>
      <c r="BG169" s="616"/>
      <c r="BH169" s="615">
        <f t="shared" si="157"/>
        <v>0</v>
      </c>
      <c r="BI169" s="616">
        <f t="shared" si="158"/>
        <v>0</v>
      </c>
      <c r="BJ169" s="616">
        <f t="shared" si="159"/>
        <v>0</v>
      </c>
      <c r="BK169" s="616">
        <f t="shared" si="160"/>
        <v>0</v>
      </c>
      <c r="BL169" s="616">
        <f t="shared" si="161"/>
        <v>0</v>
      </c>
      <c r="BM169" s="616">
        <f t="shared" si="162"/>
        <v>0</v>
      </c>
      <c r="BN169" s="616">
        <f t="shared" si="163"/>
        <v>0</v>
      </c>
      <c r="BO169" s="616"/>
      <c r="BP169" s="304"/>
    </row>
    <row r="170" s="130" customFormat="1" ht="24" spans="1:68">
      <c r="A170" s="497" t="s">
        <v>202</v>
      </c>
      <c r="B170" s="497" t="s">
        <v>404</v>
      </c>
      <c r="C170" s="497" t="s">
        <v>432</v>
      </c>
      <c r="D170" s="497" t="s">
        <v>416</v>
      </c>
      <c r="E170" s="615">
        <f t="shared" si="182"/>
        <v>0</v>
      </c>
      <c r="F170" s="615">
        <f t="shared" si="183"/>
        <v>0</v>
      </c>
      <c r="G170" s="616"/>
      <c r="H170" s="616"/>
      <c r="I170" s="616"/>
      <c r="J170" s="616"/>
      <c r="K170" s="616"/>
      <c r="L170" s="616"/>
      <c r="M170" s="615">
        <f t="shared" si="184"/>
        <v>0</v>
      </c>
      <c r="N170" s="616"/>
      <c r="O170" s="616"/>
      <c r="P170" s="616"/>
      <c r="Q170" s="616"/>
      <c r="R170" s="615">
        <f t="shared" si="185"/>
        <v>0</v>
      </c>
      <c r="S170" s="615">
        <f t="shared" si="186"/>
        <v>0</v>
      </c>
      <c r="T170" s="616"/>
      <c r="U170" s="616"/>
      <c r="V170" s="616"/>
      <c r="W170" s="616"/>
      <c r="X170" s="616"/>
      <c r="Y170" s="616"/>
      <c r="Z170" s="615">
        <f t="shared" si="187"/>
        <v>0</v>
      </c>
      <c r="AA170" s="616"/>
      <c r="AB170" s="616"/>
      <c r="AC170" s="616"/>
      <c r="AD170" s="616"/>
      <c r="AE170" s="615">
        <f t="shared" si="189"/>
        <v>0</v>
      </c>
      <c r="AF170" s="615">
        <f t="shared" si="190"/>
        <v>0</v>
      </c>
      <c r="AG170" s="616">
        <f t="shared" si="191"/>
        <v>0</v>
      </c>
      <c r="AH170" s="616">
        <f t="shared" si="192"/>
        <v>0</v>
      </c>
      <c r="AI170" s="616">
        <f t="shared" si="193"/>
        <v>0</v>
      </c>
      <c r="AJ170" s="616">
        <f t="shared" si="194"/>
        <v>0</v>
      </c>
      <c r="AK170" s="616">
        <f t="shared" si="195"/>
        <v>0</v>
      </c>
      <c r="AL170" s="616">
        <f t="shared" si="196"/>
        <v>0</v>
      </c>
      <c r="AM170" s="615">
        <f t="shared" si="197"/>
        <v>0</v>
      </c>
      <c r="AN170" s="616">
        <f t="shared" si="198"/>
        <v>0</v>
      </c>
      <c r="AO170" s="616">
        <f t="shared" si="199"/>
        <v>0</v>
      </c>
      <c r="AP170" s="616">
        <f t="shared" si="200"/>
        <v>0</v>
      </c>
      <c r="AQ170" s="637">
        <f t="shared" si="201"/>
        <v>0</v>
      </c>
      <c r="AR170" s="638">
        <f t="shared" si="188"/>
        <v>0</v>
      </c>
      <c r="AS170" s="616">
        <f t="shared" si="144"/>
        <v>0</v>
      </c>
      <c r="AT170" s="616">
        <f t="shared" si="145"/>
        <v>0</v>
      </c>
      <c r="AU170" s="616">
        <f t="shared" si="146"/>
        <v>0</v>
      </c>
      <c r="AV170" s="616">
        <f t="shared" si="147"/>
        <v>0</v>
      </c>
      <c r="AW170" s="616">
        <f t="shared" si="148"/>
        <v>0</v>
      </c>
      <c r="AX170" s="616">
        <f t="shared" si="149"/>
        <v>0</v>
      </c>
      <c r="AY170" s="616"/>
      <c r="AZ170" s="615">
        <f t="shared" si="150"/>
        <v>0</v>
      </c>
      <c r="BA170" s="616">
        <f t="shared" si="151"/>
        <v>0</v>
      </c>
      <c r="BB170" s="616">
        <f t="shared" si="152"/>
        <v>0</v>
      </c>
      <c r="BC170" s="616">
        <f t="shared" si="153"/>
        <v>0</v>
      </c>
      <c r="BD170" s="616">
        <f t="shared" si="154"/>
        <v>0</v>
      </c>
      <c r="BE170" s="616">
        <f t="shared" si="155"/>
        <v>0</v>
      </c>
      <c r="BF170" s="616">
        <f t="shared" si="156"/>
        <v>0</v>
      </c>
      <c r="BG170" s="616"/>
      <c r="BH170" s="615">
        <f t="shared" si="157"/>
        <v>0</v>
      </c>
      <c r="BI170" s="616">
        <f t="shared" si="158"/>
        <v>0</v>
      </c>
      <c r="BJ170" s="616">
        <f t="shared" si="159"/>
        <v>0</v>
      </c>
      <c r="BK170" s="616">
        <f t="shared" si="160"/>
        <v>0</v>
      </c>
      <c r="BL170" s="616">
        <f t="shared" si="161"/>
        <v>0</v>
      </c>
      <c r="BM170" s="616">
        <f t="shared" si="162"/>
        <v>0</v>
      </c>
      <c r="BN170" s="616">
        <f t="shared" si="163"/>
        <v>0</v>
      </c>
      <c r="BO170" s="616"/>
      <c r="BP170" s="304"/>
    </row>
    <row r="171" s="130" customFormat="1" ht="24" spans="1:68">
      <c r="A171" s="497" t="s">
        <v>202</v>
      </c>
      <c r="B171" s="497" t="s">
        <v>404</v>
      </c>
      <c r="C171" s="497" t="s">
        <v>433</v>
      </c>
      <c r="D171" s="497" t="s">
        <v>406</v>
      </c>
      <c r="E171" s="615">
        <f t="shared" si="182"/>
        <v>0</v>
      </c>
      <c r="F171" s="615">
        <f t="shared" si="183"/>
        <v>0</v>
      </c>
      <c r="G171" s="616"/>
      <c r="H171" s="616"/>
      <c r="I171" s="616"/>
      <c r="J171" s="616"/>
      <c r="K171" s="616"/>
      <c r="L171" s="616"/>
      <c r="M171" s="615">
        <f t="shared" si="184"/>
        <v>0</v>
      </c>
      <c r="N171" s="616"/>
      <c r="O171" s="616"/>
      <c r="P171" s="616"/>
      <c r="Q171" s="616"/>
      <c r="R171" s="615">
        <f t="shared" si="185"/>
        <v>0</v>
      </c>
      <c r="S171" s="615">
        <f t="shared" si="186"/>
        <v>0</v>
      </c>
      <c r="T171" s="616"/>
      <c r="U171" s="616"/>
      <c r="V171" s="616"/>
      <c r="W171" s="616"/>
      <c r="X171" s="616"/>
      <c r="Y171" s="616"/>
      <c r="Z171" s="615">
        <f t="shared" si="187"/>
        <v>0</v>
      </c>
      <c r="AA171" s="616"/>
      <c r="AB171" s="616"/>
      <c r="AC171" s="616"/>
      <c r="AD171" s="616"/>
      <c r="AE171" s="615">
        <f t="shared" si="189"/>
        <v>0</v>
      </c>
      <c r="AF171" s="615">
        <f t="shared" si="190"/>
        <v>0</v>
      </c>
      <c r="AG171" s="616">
        <f t="shared" si="191"/>
        <v>0</v>
      </c>
      <c r="AH171" s="616">
        <f t="shared" si="192"/>
        <v>0</v>
      </c>
      <c r="AI171" s="616">
        <f t="shared" si="193"/>
        <v>0</v>
      </c>
      <c r="AJ171" s="616">
        <f t="shared" si="194"/>
        <v>0</v>
      </c>
      <c r="AK171" s="616">
        <f t="shared" si="195"/>
        <v>0</v>
      </c>
      <c r="AL171" s="616">
        <f t="shared" si="196"/>
        <v>0</v>
      </c>
      <c r="AM171" s="615">
        <f t="shared" si="197"/>
        <v>0</v>
      </c>
      <c r="AN171" s="616">
        <f t="shared" si="198"/>
        <v>0</v>
      </c>
      <c r="AO171" s="616">
        <f t="shared" si="199"/>
        <v>0</v>
      </c>
      <c r="AP171" s="616">
        <f t="shared" si="200"/>
        <v>0</v>
      </c>
      <c r="AQ171" s="637">
        <f t="shared" si="201"/>
        <v>0</v>
      </c>
      <c r="AR171" s="638">
        <f t="shared" si="188"/>
        <v>0</v>
      </c>
      <c r="AS171" s="616">
        <f t="shared" si="144"/>
        <v>0</v>
      </c>
      <c r="AT171" s="616">
        <f t="shared" si="145"/>
        <v>0</v>
      </c>
      <c r="AU171" s="616">
        <f t="shared" si="146"/>
        <v>0</v>
      </c>
      <c r="AV171" s="616">
        <f t="shared" si="147"/>
        <v>0</v>
      </c>
      <c r="AW171" s="616">
        <f t="shared" si="148"/>
        <v>0</v>
      </c>
      <c r="AX171" s="616">
        <f t="shared" si="149"/>
        <v>0</v>
      </c>
      <c r="AY171" s="616"/>
      <c r="AZ171" s="615">
        <f t="shared" si="150"/>
        <v>0</v>
      </c>
      <c r="BA171" s="616">
        <f t="shared" si="151"/>
        <v>0</v>
      </c>
      <c r="BB171" s="616">
        <f t="shared" si="152"/>
        <v>0</v>
      </c>
      <c r="BC171" s="616">
        <f t="shared" si="153"/>
        <v>0</v>
      </c>
      <c r="BD171" s="616">
        <f t="shared" si="154"/>
        <v>0</v>
      </c>
      <c r="BE171" s="616">
        <f t="shared" si="155"/>
        <v>0</v>
      </c>
      <c r="BF171" s="616">
        <f t="shared" si="156"/>
        <v>0</v>
      </c>
      <c r="BG171" s="616"/>
      <c r="BH171" s="615">
        <f t="shared" si="157"/>
        <v>0</v>
      </c>
      <c r="BI171" s="616">
        <f t="shared" si="158"/>
        <v>0</v>
      </c>
      <c r="BJ171" s="616">
        <f t="shared" si="159"/>
        <v>0</v>
      </c>
      <c r="BK171" s="616">
        <f t="shared" si="160"/>
        <v>0</v>
      </c>
      <c r="BL171" s="616">
        <f t="shared" si="161"/>
        <v>0</v>
      </c>
      <c r="BM171" s="616">
        <f t="shared" si="162"/>
        <v>0</v>
      </c>
      <c r="BN171" s="616">
        <f t="shared" si="163"/>
        <v>0</v>
      </c>
      <c r="BO171" s="616"/>
      <c r="BP171" s="304"/>
    </row>
    <row r="172" s="130" customFormat="1" ht="24" spans="1:68">
      <c r="A172" s="497" t="s">
        <v>202</v>
      </c>
      <c r="B172" s="497" t="s">
        <v>404</v>
      </c>
      <c r="C172" s="497" t="s">
        <v>434</v>
      </c>
      <c r="D172" s="497" t="s">
        <v>406</v>
      </c>
      <c r="E172" s="615">
        <f t="shared" si="182"/>
        <v>0</v>
      </c>
      <c r="F172" s="615">
        <f t="shared" si="183"/>
        <v>0</v>
      </c>
      <c r="G172" s="616"/>
      <c r="H172" s="616"/>
      <c r="I172" s="616"/>
      <c r="J172" s="616"/>
      <c r="K172" s="616"/>
      <c r="L172" s="616"/>
      <c r="M172" s="615">
        <f t="shared" si="184"/>
        <v>0</v>
      </c>
      <c r="N172" s="616"/>
      <c r="O172" s="616"/>
      <c r="P172" s="616"/>
      <c r="Q172" s="616"/>
      <c r="R172" s="615">
        <f t="shared" si="185"/>
        <v>0</v>
      </c>
      <c r="S172" s="615">
        <f t="shared" si="186"/>
        <v>0</v>
      </c>
      <c r="T172" s="616"/>
      <c r="U172" s="616"/>
      <c r="V172" s="616"/>
      <c r="W172" s="616"/>
      <c r="X172" s="616"/>
      <c r="Y172" s="616"/>
      <c r="Z172" s="615">
        <f t="shared" si="187"/>
        <v>0</v>
      </c>
      <c r="AA172" s="616"/>
      <c r="AB172" s="616"/>
      <c r="AC172" s="616"/>
      <c r="AD172" s="616"/>
      <c r="AE172" s="615">
        <f t="shared" si="189"/>
        <v>0</v>
      </c>
      <c r="AF172" s="615">
        <f t="shared" si="190"/>
        <v>0</v>
      </c>
      <c r="AG172" s="616">
        <f t="shared" si="191"/>
        <v>0</v>
      </c>
      <c r="AH172" s="616">
        <f t="shared" si="192"/>
        <v>0</v>
      </c>
      <c r="AI172" s="616">
        <f t="shared" si="193"/>
        <v>0</v>
      </c>
      <c r="AJ172" s="616">
        <f t="shared" si="194"/>
        <v>0</v>
      </c>
      <c r="AK172" s="616">
        <f t="shared" si="195"/>
        <v>0</v>
      </c>
      <c r="AL172" s="616">
        <f t="shared" si="196"/>
        <v>0</v>
      </c>
      <c r="AM172" s="615">
        <f t="shared" si="197"/>
        <v>0</v>
      </c>
      <c r="AN172" s="616">
        <f t="shared" si="198"/>
        <v>0</v>
      </c>
      <c r="AO172" s="616">
        <f t="shared" si="199"/>
        <v>0</v>
      </c>
      <c r="AP172" s="616">
        <f t="shared" si="200"/>
        <v>0</v>
      </c>
      <c r="AQ172" s="637">
        <f t="shared" si="201"/>
        <v>0</v>
      </c>
      <c r="AR172" s="638">
        <f t="shared" si="188"/>
        <v>0</v>
      </c>
      <c r="AS172" s="616">
        <f t="shared" si="144"/>
        <v>0</v>
      </c>
      <c r="AT172" s="616">
        <f t="shared" si="145"/>
        <v>0</v>
      </c>
      <c r="AU172" s="616">
        <f t="shared" si="146"/>
        <v>0</v>
      </c>
      <c r="AV172" s="616">
        <f t="shared" si="147"/>
        <v>0</v>
      </c>
      <c r="AW172" s="616">
        <f t="shared" si="148"/>
        <v>0</v>
      </c>
      <c r="AX172" s="616">
        <f t="shared" si="149"/>
        <v>0</v>
      </c>
      <c r="AY172" s="616"/>
      <c r="AZ172" s="615">
        <f t="shared" si="150"/>
        <v>0</v>
      </c>
      <c r="BA172" s="616">
        <f t="shared" si="151"/>
        <v>0</v>
      </c>
      <c r="BB172" s="616">
        <f t="shared" si="152"/>
        <v>0</v>
      </c>
      <c r="BC172" s="616">
        <f t="shared" si="153"/>
        <v>0</v>
      </c>
      <c r="BD172" s="616">
        <f t="shared" si="154"/>
        <v>0</v>
      </c>
      <c r="BE172" s="616">
        <f t="shared" si="155"/>
        <v>0</v>
      </c>
      <c r="BF172" s="616">
        <f t="shared" si="156"/>
        <v>0</v>
      </c>
      <c r="BG172" s="616"/>
      <c r="BH172" s="615">
        <f t="shared" si="157"/>
        <v>0</v>
      </c>
      <c r="BI172" s="616">
        <f t="shared" si="158"/>
        <v>0</v>
      </c>
      <c r="BJ172" s="616">
        <f t="shared" si="159"/>
        <v>0</v>
      </c>
      <c r="BK172" s="616">
        <f t="shared" si="160"/>
        <v>0</v>
      </c>
      <c r="BL172" s="616">
        <f t="shared" si="161"/>
        <v>0</v>
      </c>
      <c r="BM172" s="616">
        <f t="shared" si="162"/>
        <v>0</v>
      </c>
      <c r="BN172" s="616">
        <f t="shared" si="163"/>
        <v>0</v>
      </c>
      <c r="BO172" s="616"/>
      <c r="BP172" s="304"/>
    </row>
    <row r="173" s="130" customFormat="1" ht="24" spans="1:68">
      <c r="A173" s="497" t="s">
        <v>202</v>
      </c>
      <c r="B173" s="497" t="s">
        <v>404</v>
      </c>
      <c r="C173" s="497" t="s">
        <v>435</v>
      </c>
      <c r="D173" s="497" t="s">
        <v>406</v>
      </c>
      <c r="E173" s="615">
        <f t="shared" si="182"/>
        <v>0</v>
      </c>
      <c r="F173" s="615">
        <f t="shared" si="183"/>
        <v>0</v>
      </c>
      <c r="G173" s="616"/>
      <c r="H173" s="616"/>
      <c r="I173" s="616"/>
      <c r="J173" s="616"/>
      <c r="K173" s="616"/>
      <c r="L173" s="616"/>
      <c r="M173" s="615">
        <f t="shared" si="184"/>
        <v>0</v>
      </c>
      <c r="N173" s="616"/>
      <c r="O173" s="616"/>
      <c r="P173" s="616"/>
      <c r="Q173" s="616"/>
      <c r="R173" s="615">
        <f t="shared" si="185"/>
        <v>0</v>
      </c>
      <c r="S173" s="615">
        <f t="shared" si="186"/>
        <v>0</v>
      </c>
      <c r="T173" s="616"/>
      <c r="U173" s="616"/>
      <c r="V173" s="616"/>
      <c r="W173" s="616"/>
      <c r="X173" s="616"/>
      <c r="Y173" s="616"/>
      <c r="Z173" s="615">
        <f t="shared" si="187"/>
        <v>0</v>
      </c>
      <c r="AA173" s="616"/>
      <c r="AB173" s="616"/>
      <c r="AC173" s="650"/>
      <c r="AD173" s="616"/>
      <c r="AE173" s="615">
        <f t="shared" si="189"/>
        <v>0</v>
      </c>
      <c r="AF173" s="615">
        <f t="shared" si="190"/>
        <v>0</v>
      </c>
      <c r="AG173" s="616">
        <f t="shared" si="191"/>
        <v>0</v>
      </c>
      <c r="AH173" s="616">
        <f t="shared" si="192"/>
        <v>0</v>
      </c>
      <c r="AI173" s="616">
        <f t="shared" si="193"/>
        <v>0</v>
      </c>
      <c r="AJ173" s="616">
        <f t="shared" si="194"/>
        <v>0</v>
      </c>
      <c r="AK173" s="616">
        <f t="shared" si="195"/>
        <v>0</v>
      </c>
      <c r="AL173" s="616">
        <f t="shared" si="196"/>
        <v>0</v>
      </c>
      <c r="AM173" s="615">
        <f t="shared" si="197"/>
        <v>0</v>
      </c>
      <c r="AN173" s="616">
        <f t="shared" si="198"/>
        <v>0</v>
      </c>
      <c r="AO173" s="616">
        <f t="shared" si="199"/>
        <v>0</v>
      </c>
      <c r="AP173" s="616">
        <f t="shared" si="200"/>
        <v>0</v>
      </c>
      <c r="AQ173" s="637">
        <f t="shared" si="201"/>
        <v>0</v>
      </c>
      <c r="AR173" s="638">
        <f t="shared" si="188"/>
        <v>0</v>
      </c>
      <c r="AS173" s="616">
        <f t="shared" si="144"/>
        <v>0</v>
      </c>
      <c r="AT173" s="616">
        <f t="shared" si="145"/>
        <v>0</v>
      </c>
      <c r="AU173" s="616">
        <f t="shared" si="146"/>
        <v>0</v>
      </c>
      <c r="AV173" s="616">
        <f t="shared" si="147"/>
        <v>0</v>
      </c>
      <c r="AW173" s="616">
        <f t="shared" si="148"/>
        <v>0</v>
      </c>
      <c r="AX173" s="616">
        <f t="shared" si="149"/>
        <v>0</v>
      </c>
      <c r="AY173" s="616"/>
      <c r="AZ173" s="615">
        <f t="shared" si="150"/>
        <v>0</v>
      </c>
      <c r="BA173" s="616">
        <f t="shared" si="151"/>
        <v>0</v>
      </c>
      <c r="BB173" s="616">
        <f t="shared" si="152"/>
        <v>0</v>
      </c>
      <c r="BC173" s="616">
        <f t="shared" si="153"/>
        <v>0</v>
      </c>
      <c r="BD173" s="616">
        <f t="shared" si="154"/>
        <v>0</v>
      </c>
      <c r="BE173" s="616">
        <f t="shared" si="155"/>
        <v>0</v>
      </c>
      <c r="BF173" s="616">
        <f t="shared" si="156"/>
        <v>0</v>
      </c>
      <c r="BG173" s="616"/>
      <c r="BH173" s="615">
        <f t="shared" si="157"/>
        <v>0</v>
      </c>
      <c r="BI173" s="616">
        <f t="shared" si="158"/>
        <v>0</v>
      </c>
      <c r="BJ173" s="616">
        <f t="shared" si="159"/>
        <v>0</v>
      </c>
      <c r="BK173" s="616">
        <f t="shared" si="160"/>
        <v>0</v>
      </c>
      <c r="BL173" s="616">
        <f t="shared" si="161"/>
        <v>0</v>
      </c>
      <c r="BM173" s="616">
        <f t="shared" si="162"/>
        <v>0</v>
      </c>
      <c r="BN173" s="616">
        <f t="shared" si="163"/>
        <v>0</v>
      </c>
      <c r="BO173" s="616"/>
      <c r="BP173" s="304"/>
    </row>
    <row r="174" s="130" customFormat="1" ht="24" spans="1:68">
      <c r="A174" s="497" t="s">
        <v>202</v>
      </c>
      <c r="B174" s="497" t="s">
        <v>404</v>
      </c>
      <c r="C174" s="497" t="s">
        <v>436</v>
      </c>
      <c r="D174" s="497" t="s">
        <v>416</v>
      </c>
      <c r="E174" s="615">
        <f t="shared" si="182"/>
        <v>0</v>
      </c>
      <c r="F174" s="615">
        <f t="shared" si="183"/>
        <v>0</v>
      </c>
      <c r="G174" s="616"/>
      <c r="H174" s="616"/>
      <c r="I174" s="616"/>
      <c r="J174" s="616"/>
      <c r="K174" s="616"/>
      <c r="L174" s="616"/>
      <c r="M174" s="615">
        <f t="shared" si="184"/>
        <v>0</v>
      </c>
      <c r="N174" s="616"/>
      <c r="O174" s="616"/>
      <c r="P174" s="616"/>
      <c r="Q174" s="616"/>
      <c r="R174" s="615">
        <f t="shared" si="185"/>
        <v>0</v>
      </c>
      <c r="S174" s="615">
        <f t="shared" si="186"/>
        <v>0</v>
      </c>
      <c r="T174" s="616"/>
      <c r="U174" s="616"/>
      <c r="V174" s="616"/>
      <c r="W174" s="616"/>
      <c r="X174" s="616"/>
      <c r="Y174" s="616"/>
      <c r="Z174" s="615">
        <f t="shared" si="187"/>
        <v>0</v>
      </c>
      <c r="AA174" s="616"/>
      <c r="AB174" s="616"/>
      <c r="AC174" s="616"/>
      <c r="AD174" s="616"/>
      <c r="AE174" s="615">
        <f t="shared" si="189"/>
        <v>0</v>
      </c>
      <c r="AF174" s="615">
        <f t="shared" si="190"/>
        <v>0</v>
      </c>
      <c r="AG174" s="616">
        <f t="shared" si="191"/>
        <v>0</v>
      </c>
      <c r="AH174" s="616">
        <f t="shared" si="192"/>
        <v>0</v>
      </c>
      <c r="AI174" s="616">
        <f t="shared" si="193"/>
        <v>0</v>
      </c>
      <c r="AJ174" s="616">
        <f t="shared" si="194"/>
        <v>0</v>
      </c>
      <c r="AK174" s="616">
        <f t="shared" si="195"/>
        <v>0</v>
      </c>
      <c r="AL174" s="616">
        <f t="shared" si="196"/>
        <v>0</v>
      </c>
      <c r="AM174" s="615">
        <f t="shared" si="197"/>
        <v>0</v>
      </c>
      <c r="AN174" s="616">
        <f t="shared" si="198"/>
        <v>0</v>
      </c>
      <c r="AO174" s="616">
        <f t="shared" si="199"/>
        <v>0</v>
      </c>
      <c r="AP174" s="616">
        <f t="shared" si="200"/>
        <v>0</v>
      </c>
      <c r="AQ174" s="637">
        <f t="shared" si="201"/>
        <v>0</v>
      </c>
      <c r="AR174" s="638">
        <f t="shared" si="188"/>
        <v>0</v>
      </c>
      <c r="AS174" s="616">
        <f t="shared" si="144"/>
        <v>0</v>
      </c>
      <c r="AT174" s="616">
        <f t="shared" si="145"/>
        <v>0</v>
      </c>
      <c r="AU174" s="616">
        <f t="shared" si="146"/>
        <v>0</v>
      </c>
      <c r="AV174" s="616">
        <f t="shared" si="147"/>
        <v>0</v>
      </c>
      <c r="AW174" s="616">
        <f t="shared" si="148"/>
        <v>0</v>
      </c>
      <c r="AX174" s="616">
        <f t="shared" si="149"/>
        <v>0</v>
      </c>
      <c r="AY174" s="616"/>
      <c r="AZ174" s="615">
        <f t="shared" si="150"/>
        <v>0</v>
      </c>
      <c r="BA174" s="616">
        <f t="shared" si="151"/>
        <v>0</v>
      </c>
      <c r="BB174" s="616">
        <f t="shared" si="152"/>
        <v>0</v>
      </c>
      <c r="BC174" s="616">
        <f t="shared" si="153"/>
        <v>0</v>
      </c>
      <c r="BD174" s="616">
        <f t="shared" si="154"/>
        <v>0</v>
      </c>
      <c r="BE174" s="616">
        <f t="shared" si="155"/>
        <v>0</v>
      </c>
      <c r="BF174" s="616">
        <f t="shared" si="156"/>
        <v>0</v>
      </c>
      <c r="BG174" s="616"/>
      <c r="BH174" s="615">
        <f t="shared" si="157"/>
        <v>0</v>
      </c>
      <c r="BI174" s="616">
        <f t="shared" si="158"/>
        <v>0</v>
      </c>
      <c r="BJ174" s="616">
        <f t="shared" si="159"/>
        <v>0</v>
      </c>
      <c r="BK174" s="616">
        <f t="shared" si="160"/>
        <v>0</v>
      </c>
      <c r="BL174" s="616">
        <f t="shared" si="161"/>
        <v>0</v>
      </c>
      <c r="BM174" s="616">
        <f t="shared" si="162"/>
        <v>0</v>
      </c>
      <c r="BN174" s="616">
        <f t="shared" si="163"/>
        <v>0</v>
      </c>
      <c r="BO174" s="616"/>
      <c r="BP174" s="304"/>
    </row>
    <row r="175" s="130" customFormat="1" ht="24" spans="1:68">
      <c r="A175" s="497" t="s">
        <v>202</v>
      </c>
      <c r="B175" s="497" t="s">
        <v>404</v>
      </c>
      <c r="C175" s="497" t="s">
        <v>437</v>
      </c>
      <c r="D175" s="497" t="s">
        <v>406</v>
      </c>
      <c r="E175" s="615">
        <f t="shared" si="182"/>
        <v>0</v>
      </c>
      <c r="F175" s="615">
        <f t="shared" si="183"/>
        <v>0</v>
      </c>
      <c r="G175" s="616"/>
      <c r="H175" s="616"/>
      <c r="I175" s="616"/>
      <c r="J175" s="616"/>
      <c r="K175" s="616"/>
      <c r="L175" s="616"/>
      <c r="M175" s="615">
        <f t="shared" si="184"/>
        <v>0</v>
      </c>
      <c r="N175" s="616"/>
      <c r="O175" s="616"/>
      <c r="P175" s="616"/>
      <c r="Q175" s="616"/>
      <c r="R175" s="615">
        <f t="shared" si="185"/>
        <v>0</v>
      </c>
      <c r="S175" s="615">
        <f t="shared" si="186"/>
        <v>0</v>
      </c>
      <c r="T175" s="616"/>
      <c r="U175" s="616"/>
      <c r="V175" s="616"/>
      <c r="W175" s="616"/>
      <c r="X175" s="616"/>
      <c r="Y175" s="616"/>
      <c r="Z175" s="615">
        <f t="shared" si="187"/>
        <v>0</v>
      </c>
      <c r="AA175" s="616"/>
      <c r="AB175" s="616"/>
      <c r="AC175" s="616"/>
      <c r="AD175" s="616"/>
      <c r="AE175" s="615">
        <f t="shared" si="189"/>
        <v>0</v>
      </c>
      <c r="AF175" s="615">
        <f t="shared" si="190"/>
        <v>0</v>
      </c>
      <c r="AG175" s="616">
        <f t="shared" si="191"/>
        <v>0</v>
      </c>
      <c r="AH175" s="616">
        <f t="shared" si="192"/>
        <v>0</v>
      </c>
      <c r="AI175" s="616">
        <f t="shared" si="193"/>
        <v>0</v>
      </c>
      <c r="AJ175" s="616">
        <f t="shared" si="194"/>
        <v>0</v>
      </c>
      <c r="AK175" s="616">
        <f t="shared" si="195"/>
        <v>0</v>
      </c>
      <c r="AL175" s="616">
        <f t="shared" si="196"/>
        <v>0</v>
      </c>
      <c r="AM175" s="615">
        <f t="shared" si="197"/>
        <v>0</v>
      </c>
      <c r="AN175" s="616">
        <f t="shared" si="198"/>
        <v>0</v>
      </c>
      <c r="AO175" s="616">
        <f t="shared" si="199"/>
        <v>0</v>
      </c>
      <c r="AP175" s="616">
        <f t="shared" si="200"/>
        <v>0</v>
      </c>
      <c r="AQ175" s="637">
        <f t="shared" si="201"/>
        <v>0</v>
      </c>
      <c r="AR175" s="638">
        <f t="shared" si="188"/>
        <v>0</v>
      </c>
      <c r="AS175" s="616">
        <f t="shared" si="144"/>
        <v>0</v>
      </c>
      <c r="AT175" s="616">
        <f t="shared" si="145"/>
        <v>0</v>
      </c>
      <c r="AU175" s="616">
        <f t="shared" si="146"/>
        <v>0</v>
      </c>
      <c r="AV175" s="616">
        <f t="shared" si="147"/>
        <v>0</v>
      </c>
      <c r="AW175" s="616">
        <f t="shared" si="148"/>
        <v>0</v>
      </c>
      <c r="AX175" s="616">
        <f t="shared" si="149"/>
        <v>0</v>
      </c>
      <c r="AY175" s="616"/>
      <c r="AZ175" s="615">
        <f t="shared" si="150"/>
        <v>0</v>
      </c>
      <c r="BA175" s="616">
        <f t="shared" si="151"/>
        <v>0</v>
      </c>
      <c r="BB175" s="616">
        <f t="shared" si="152"/>
        <v>0</v>
      </c>
      <c r="BC175" s="616">
        <f t="shared" si="153"/>
        <v>0</v>
      </c>
      <c r="BD175" s="616">
        <f t="shared" si="154"/>
        <v>0</v>
      </c>
      <c r="BE175" s="616">
        <f t="shared" si="155"/>
        <v>0</v>
      </c>
      <c r="BF175" s="616">
        <f t="shared" si="156"/>
        <v>0</v>
      </c>
      <c r="BG175" s="616"/>
      <c r="BH175" s="615">
        <f t="shared" si="157"/>
        <v>0</v>
      </c>
      <c r="BI175" s="616">
        <f t="shared" si="158"/>
        <v>0</v>
      </c>
      <c r="BJ175" s="616">
        <f t="shared" si="159"/>
        <v>0</v>
      </c>
      <c r="BK175" s="616">
        <f t="shared" si="160"/>
        <v>0</v>
      </c>
      <c r="BL175" s="616">
        <f t="shared" si="161"/>
        <v>0</v>
      </c>
      <c r="BM175" s="616">
        <f t="shared" si="162"/>
        <v>0</v>
      </c>
      <c r="BN175" s="616">
        <f t="shared" si="163"/>
        <v>0</v>
      </c>
      <c r="BO175" s="616"/>
      <c r="BP175" s="304"/>
    </row>
    <row r="176" s="130" customFormat="1" ht="24" spans="1:68">
      <c r="A176" s="497" t="s">
        <v>202</v>
      </c>
      <c r="B176" s="497" t="s">
        <v>404</v>
      </c>
      <c r="C176" s="497" t="s">
        <v>438</v>
      </c>
      <c r="D176" s="497" t="s">
        <v>416</v>
      </c>
      <c r="E176" s="615">
        <f t="shared" si="182"/>
        <v>0</v>
      </c>
      <c r="F176" s="615">
        <f t="shared" si="183"/>
        <v>0</v>
      </c>
      <c r="G176" s="616"/>
      <c r="H176" s="616"/>
      <c r="I176" s="616"/>
      <c r="J176" s="616"/>
      <c r="K176" s="616"/>
      <c r="L176" s="616"/>
      <c r="M176" s="615">
        <f t="shared" si="184"/>
        <v>0</v>
      </c>
      <c r="N176" s="616"/>
      <c r="O176" s="616"/>
      <c r="P176" s="616"/>
      <c r="Q176" s="616"/>
      <c r="R176" s="615">
        <f t="shared" si="185"/>
        <v>0</v>
      </c>
      <c r="S176" s="615">
        <f t="shared" si="186"/>
        <v>0</v>
      </c>
      <c r="T176" s="616"/>
      <c r="U176" s="616"/>
      <c r="V176" s="616"/>
      <c r="W176" s="616"/>
      <c r="X176" s="616"/>
      <c r="Y176" s="616"/>
      <c r="Z176" s="615">
        <f t="shared" si="187"/>
        <v>0</v>
      </c>
      <c r="AA176" s="616"/>
      <c r="AB176" s="616"/>
      <c r="AC176" s="616"/>
      <c r="AD176" s="616"/>
      <c r="AE176" s="615">
        <f t="shared" si="189"/>
        <v>0</v>
      </c>
      <c r="AF176" s="615">
        <f t="shared" si="190"/>
        <v>0</v>
      </c>
      <c r="AG176" s="616">
        <f t="shared" si="191"/>
        <v>0</v>
      </c>
      <c r="AH176" s="616">
        <f t="shared" si="192"/>
        <v>0</v>
      </c>
      <c r="AI176" s="616">
        <f t="shared" si="193"/>
        <v>0</v>
      </c>
      <c r="AJ176" s="616">
        <f t="shared" si="194"/>
        <v>0</v>
      </c>
      <c r="AK176" s="616">
        <f t="shared" si="195"/>
        <v>0</v>
      </c>
      <c r="AL176" s="616">
        <f t="shared" si="196"/>
        <v>0</v>
      </c>
      <c r="AM176" s="615">
        <f t="shared" si="197"/>
        <v>0</v>
      </c>
      <c r="AN176" s="616">
        <f t="shared" si="198"/>
        <v>0</v>
      </c>
      <c r="AO176" s="616">
        <f t="shared" si="199"/>
        <v>0</v>
      </c>
      <c r="AP176" s="616">
        <f t="shared" si="200"/>
        <v>0</v>
      </c>
      <c r="AQ176" s="637">
        <f t="shared" si="201"/>
        <v>0</v>
      </c>
      <c r="AR176" s="638">
        <f t="shared" si="188"/>
        <v>0</v>
      </c>
      <c r="AS176" s="616">
        <f t="shared" si="144"/>
        <v>0</v>
      </c>
      <c r="AT176" s="616">
        <f t="shared" si="145"/>
        <v>0</v>
      </c>
      <c r="AU176" s="616">
        <f t="shared" si="146"/>
        <v>0</v>
      </c>
      <c r="AV176" s="616">
        <f t="shared" si="147"/>
        <v>0</v>
      </c>
      <c r="AW176" s="616">
        <f t="shared" si="148"/>
        <v>0</v>
      </c>
      <c r="AX176" s="616">
        <f t="shared" si="149"/>
        <v>0</v>
      </c>
      <c r="AY176" s="616"/>
      <c r="AZ176" s="615">
        <f t="shared" si="150"/>
        <v>0</v>
      </c>
      <c r="BA176" s="616">
        <f t="shared" si="151"/>
        <v>0</v>
      </c>
      <c r="BB176" s="616">
        <f t="shared" si="152"/>
        <v>0</v>
      </c>
      <c r="BC176" s="616">
        <f t="shared" si="153"/>
        <v>0</v>
      </c>
      <c r="BD176" s="616">
        <f t="shared" si="154"/>
        <v>0</v>
      </c>
      <c r="BE176" s="616">
        <f t="shared" si="155"/>
        <v>0</v>
      </c>
      <c r="BF176" s="616">
        <f t="shared" si="156"/>
        <v>0</v>
      </c>
      <c r="BG176" s="616"/>
      <c r="BH176" s="615">
        <f t="shared" si="157"/>
        <v>0</v>
      </c>
      <c r="BI176" s="616">
        <f t="shared" si="158"/>
        <v>0</v>
      </c>
      <c r="BJ176" s="616">
        <f t="shared" si="159"/>
        <v>0</v>
      </c>
      <c r="BK176" s="616">
        <f t="shared" si="160"/>
        <v>0</v>
      </c>
      <c r="BL176" s="616">
        <f t="shared" si="161"/>
        <v>0</v>
      </c>
      <c r="BM176" s="616">
        <f t="shared" si="162"/>
        <v>0</v>
      </c>
      <c r="BN176" s="616">
        <f t="shared" si="163"/>
        <v>0</v>
      </c>
      <c r="BO176" s="616"/>
      <c r="BP176" s="304"/>
    </row>
    <row r="177" s="130" customFormat="1" ht="24" spans="1:68">
      <c r="A177" s="497" t="s">
        <v>202</v>
      </c>
      <c r="B177" s="497" t="s">
        <v>404</v>
      </c>
      <c r="C177" s="497" t="s">
        <v>439</v>
      </c>
      <c r="D177" s="497" t="s">
        <v>406</v>
      </c>
      <c r="E177" s="615">
        <f t="shared" si="182"/>
        <v>0</v>
      </c>
      <c r="F177" s="615">
        <f t="shared" si="183"/>
        <v>0</v>
      </c>
      <c r="G177" s="616"/>
      <c r="H177" s="616"/>
      <c r="I177" s="616"/>
      <c r="J177" s="616"/>
      <c r="K177" s="616"/>
      <c r="L177" s="616"/>
      <c r="M177" s="615">
        <f t="shared" si="184"/>
        <v>0</v>
      </c>
      <c r="N177" s="616"/>
      <c r="O177" s="616"/>
      <c r="P177" s="616"/>
      <c r="Q177" s="616"/>
      <c r="R177" s="615">
        <f t="shared" si="185"/>
        <v>0</v>
      </c>
      <c r="S177" s="615">
        <f t="shared" si="186"/>
        <v>0</v>
      </c>
      <c r="T177" s="616"/>
      <c r="U177" s="616"/>
      <c r="V177" s="616"/>
      <c r="W177" s="616"/>
      <c r="X177" s="616"/>
      <c r="Y177" s="616"/>
      <c r="Z177" s="615">
        <f t="shared" si="187"/>
        <v>0</v>
      </c>
      <c r="AA177" s="616"/>
      <c r="AB177" s="616"/>
      <c r="AC177" s="616"/>
      <c r="AD177" s="616"/>
      <c r="AE177" s="615">
        <f t="shared" si="189"/>
        <v>0</v>
      </c>
      <c r="AF177" s="615">
        <f t="shared" si="190"/>
        <v>0</v>
      </c>
      <c r="AG177" s="616">
        <f t="shared" si="191"/>
        <v>0</v>
      </c>
      <c r="AH177" s="616">
        <f t="shared" si="192"/>
        <v>0</v>
      </c>
      <c r="AI177" s="616">
        <f t="shared" si="193"/>
        <v>0</v>
      </c>
      <c r="AJ177" s="616">
        <f t="shared" si="194"/>
        <v>0</v>
      </c>
      <c r="AK177" s="616">
        <f t="shared" si="195"/>
        <v>0</v>
      </c>
      <c r="AL177" s="616">
        <f t="shared" si="196"/>
        <v>0</v>
      </c>
      <c r="AM177" s="615">
        <f t="shared" si="197"/>
        <v>0</v>
      </c>
      <c r="AN177" s="616">
        <f t="shared" si="198"/>
        <v>0</v>
      </c>
      <c r="AO177" s="616">
        <f t="shared" si="199"/>
        <v>0</v>
      </c>
      <c r="AP177" s="616">
        <f t="shared" si="200"/>
        <v>0</v>
      </c>
      <c r="AQ177" s="637">
        <f t="shared" si="201"/>
        <v>0</v>
      </c>
      <c r="AR177" s="638">
        <f t="shared" si="188"/>
        <v>0</v>
      </c>
      <c r="AS177" s="616">
        <f t="shared" si="144"/>
        <v>0</v>
      </c>
      <c r="AT177" s="616">
        <f t="shared" si="145"/>
        <v>0</v>
      </c>
      <c r="AU177" s="616">
        <f t="shared" si="146"/>
        <v>0</v>
      </c>
      <c r="AV177" s="616">
        <f t="shared" si="147"/>
        <v>0</v>
      </c>
      <c r="AW177" s="616">
        <f t="shared" si="148"/>
        <v>0</v>
      </c>
      <c r="AX177" s="616">
        <f t="shared" si="149"/>
        <v>0</v>
      </c>
      <c r="AY177" s="616"/>
      <c r="AZ177" s="615">
        <f t="shared" si="150"/>
        <v>0</v>
      </c>
      <c r="BA177" s="616">
        <f t="shared" si="151"/>
        <v>0</v>
      </c>
      <c r="BB177" s="616">
        <f t="shared" si="152"/>
        <v>0</v>
      </c>
      <c r="BC177" s="616">
        <f t="shared" si="153"/>
        <v>0</v>
      </c>
      <c r="BD177" s="616">
        <f t="shared" si="154"/>
        <v>0</v>
      </c>
      <c r="BE177" s="616">
        <f t="shared" si="155"/>
        <v>0</v>
      </c>
      <c r="BF177" s="616">
        <f t="shared" si="156"/>
        <v>0</v>
      </c>
      <c r="BG177" s="616"/>
      <c r="BH177" s="615">
        <f t="shared" si="157"/>
        <v>0</v>
      </c>
      <c r="BI177" s="616">
        <f t="shared" si="158"/>
        <v>0</v>
      </c>
      <c r="BJ177" s="616">
        <f t="shared" si="159"/>
        <v>0</v>
      </c>
      <c r="BK177" s="616">
        <f t="shared" si="160"/>
        <v>0</v>
      </c>
      <c r="BL177" s="616">
        <f t="shared" si="161"/>
        <v>0</v>
      </c>
      <c r="BM177" s="616">
        <f t="shared" si="162"/>
        <v>0</v>
      </c>
      <c r="BN177" s="616">
        <f t="shared" si="163"/>
        <v>0</v>
      </c>
      <c r="BO177" s="616"/>
      <c r="BP177" s="304"/>
    </row>
    <row r="178" s="130" customFormat="1" ht="24" spans="1:68">
      <c r="A178" s="497" t="s">
        <v>202</v>
      </c>
      <c r="B178" s="497" t="s">
        <v>400</v>
      </c>
      <c r="C178" s="497" t="s">
        <v>440</v>
      </c>
      <c r="D178" s="497" t="s">
        <v>441</v>
      </c>
      <c r="E178" s="615">
        <f t="shared" si="182"/>
        <v>0</v>
      </c>
      <c r="F178" s="615">
        <f t="shared" ref="F178:F206" si="202">SUM(G178:L178)</f>
        <v>0</v>
      </c>
      <c r="G178" s="616"/>
      <c r="H178" s="616"/>
      <c r="I178" s="616"/>
      <c r="J178" s="616"/>
      <c r="K178" s="616"/>
      <c r="L178" s="616"/>
      <c r="M178" s="615">
        <f t="shared" si="184"/>
        <v>0</v>
      </c>
      <c r="N178" s="616"/>
      <c r="O178" s="616"/>
      <c r="P178" s="616"/>
      <c r="Q178" s="616"/>
      <c r="R178" s="615">
        <f t="shared" si="185"/>
        <v>0</v>
      </c>
      <c r="S178" s="615">
        <f t="shared" si="186"/>
        <v>0</v>
      </c>
      <c r="T178" s="616"/>
      <c r="U178" s="616"/>
      <c r="V178" s="616"/>
      <c r="W178" s="616"/>
      <c r="X178" s="616"/>
      <c r="Y178" s="616"/>
      <c r="Z178" s="615">
        <f t="shared" si="187"/>
        <v>0</v>
      </c>
      <c r="AA178" s="616"/>
      <c r="AB178" s="616"/>
      <c r="AC178" s="616"/>
      <c r="AD178" s="616"/>
      <c r="AE178" s="615">
        <f t="shared" si="189"/>
        <v>0</v>
      </c>
      <c r="AF178" s="615">
        <f t="shared" si="190"/>
        <v>0</v>
      </c>
      <c r="AG178" s="616">
        <f t="shared" si="191"/>
        <v>0</v>
      </c>
      <c r="AH178" s="616">
        <f t="shared" si="192"/>
        <v>0</v>
      </c>
      <c r="AI178" s="616">
        <f t="shared" si="193"/>
        <v>0</v>
      </c>
      <c r="AJ178" s="616">
        <f t="shared" si="194"/>
        <v>0</v>
      </c>
      <c r="AK178" s="616">
        <f t="shared" si="195"/>
        <v>0</v>
      </c>
      <c r="AL178" s="616">
        <f t="shared" si="196"/>
        <v>0</v>
      </c>
      <c r="AM178" s="615">
        <f t="shared" si="197"/>
        <v>0</v>
      </c>
      <c r="AN178" s="616">
        <f t="shared" si="198"/>
        <v>0</v>
      </c>
      <c r="AO178" s="616">
        <f t="shared" si="199"/>
        <v>0</v>
      </c>
      <c r="AP178" s="616">
        <f t="shared" si="200"/>
        <v>0</v>
      </c>
      <c r="AQ178" s="637">
        <f t="shared" si="201"/>
        <v>0</v>
      </c>
      <c r="AR178" s="638">
        <f t="shared" si="188"/>
        <v>0</v>
      </c>
      <c r="AS178" s="616">
        <f t="shared" si="144"/>
        <v>0</v>
      </c>
      <c r="AT178" s="616">
        <f t="shared" si="145"/>
        <v>0</v>
      </c>
      <c r="AU178" s="616">
        <f t="shared" si="146"/>
        <v>0</v>
      </c>
      <c r="AV178" s="616">
        <f t="shared" si="147"/>
        <v>0</v>
      </c>
      <c r="AW178" s="616">
        <f t="shared" si="148"/>
        <v>0</v>
      </c>
      <c r="AX178" s="616">
        <f t="shared" si="149"/>
        <v>0</v>
      </c>
      <c r="AY178" s="616"/>
      <c r="AZ178" s="615">
        <f t="shared" si="150"/>
        <v>0</v>
      </c>
      <c r="BA178" s="616">
        <f t="shared" si="151"/>
        <v>0</v>
      </c>
      <c r="BB178" s="616">
        <f t="shared" si="152"/>
        <v>0</v>
      </c>
      <c r="BC178" s="616">
        <f t="shared" si="153"/>
        <v>0</v>
      </c>
      <c r="BD178" s="616">
        <f t="shared" si="154"/>
        <v>0</v>
      </c>
      <c r="BE178" s="616">
        <f t="shared" si="155"/>
        <v>0</v>
      </c>
      <c r="BF178" s="616">
        <f t="shared" si="156"/>
        <v>0</v>
      </c>
      <c r="BG178" s="616"/>
      <c r="BH178" s="615">
        <f t="shared" si="157"/>
        <v>0</v>
      </c>
      <c r="BI178" s="616">
        <f t="shared" si="158"/>
        <v>0</v>
      </c>
      <c r="BJ178" s="616">
        <f t="shared" si="159"/>
        <v>0</v>
      </c>
      <c r="BK178" s="616">
        <f t="shared" si="160"/>
        <v>0</v>
      </c>
      <c r="BL178" s="616">
        <f t="shared" si="161"/>
        <v>0</v>
      </c>
      <c r="BM178" s="616">
        <f t="shared" si="162"/>
        <v>0</v>
      </c>
      <c r="BN178" s="616">
        <f t="shared" si="163"/>
        <v>0</v>
      </c>
      <c r="BO178" s="616"/>
      <c r="BP178" s="304"/>
    </row>
    <row r="179" s="130" customFormat="1" ht="24" spans="1:68">
      <c r="A179" s="497" t="s">
        <v>202</v>
      </c>
      <c r="B179" s="497" t="s">
        <v>404</v>
      </c>
      <c r="C179" s="497" t="s">
        <v>442</v>
      </c>
      <c r="D179" s="497" t="s">
        <v>416</v>
      </c>
      <c r="E179" s="615">
        <f t="shared" si="182"/>
        <v>0</v>
      </c>
      <c r="F179" s="615">
        <f t="shared" si="202"/>
        <v>0</v>
      </c>
      <c r="G179" s="616"/>
      <c r="H179" s="616"/>
      <c r="I179" s="616"/>
      <c r="J179" s="616"/>
      <c r="K179" s="616"/>
      <c r="L179" s="616"/>
      <c r="M179" s="615">
        <f t="shared" si="184"/>
        <v>0</v>
      </c>
      <c r="N179" s="616"/>
      <c r="O179" s="616"/>
      <c r="P179" s="616"/>
      <c r="Q179" s="616"/>
      <c r="R179" s="615">
        <f t="shared" si="185"/>
        <v>0</v>
      </c>
      <c r="S179" s="615">
        <f t="shared" si="186"/>
        <v>0</v>
      </c>
      <c r="T179" s="616"/>
      <c r="U179" s="616"/>
      <c r="V179" s="616"/>
      <c r="W179" s="616"/>
      <c r="X179" s="616"/>
      <c r="Y179" s="616"/>
      <c r="Z179" s="615">
        <f t="shared" si="187"/>
        <v>0</v>
      </c>
      <c r="AA179" s="616"/>
      <c r="AB179" s="616"/>
      <c r="AC179" s="616"/>
      <c r="AD179" s="616"/>
      <c r="AE179" s="615">
        <f t="shared" ref="AE179:AE206" si="203">AF179+AM179</f>
        <v>0</v>
      </c>
      <c r="AF179" s="615">
        <f t="shared" ref="AF179:AF206" si="204">SUM(AG179:AL179)</f>
        <v>0</v>
      </c>
      <c r="AG179" s="616">
        <f t="shared" ref="AG179:AG206" si="205">G179+T179</f>
        <v>0</v>
      </c>
      <c r="AH179" s="616">
        <f t="shared" ref="AH179:AH206" si="206">H179+U179</f>
        <v>0</v>
      </c>
      <c r="AI179" s="616">
        <f t="shared" ref="AI179:AI206" si="207">I179+V179</f>
        <v>0</v>
      </c>
      <c r="AJ179" s="616">
        <f t="shared" ref="AJ179:AJ206" si="208">J179+W179</f>
        <v>0</v>
      </c>
      <c r="AK179" s="616">
        <f t="shared" ref="AK179:AK206" si="209">K179+X179</f>
        <v>0</v>
      </c>
      <c r="AL179" s="616">
        <f t="shared" ref="AL179:AL206" si="210">L179+Y179</f>
        <v>0</v>
      </c>
      <c r="AM179" s="615">
        <f t="shared" ref="AM179:AM206" si="211">SUM(AN179:AQ179)</f>
        <v>0</v>
      </c>
      <c r="AN179" s="616">
        <f t="shared" ref="AN179:AN206" si="212">N179+AA179</f>
        <v>0</v>
      </c>
      <c r="AO179" s="616">
        <f t="shared" ref="AO179:AO206" si="213">O179+AB179</f>
        <v>0</v>
      </c>
      <c r="AP179" s="616">
        <f t="shared" ref="AP179:AP206" si="214">P179+AC179</f>
        <v>0</v>
      </c>
      <c r="AQ179" s="637">
        <f t="shared" ref="AQ179:AQ206" si="215">Q179+AD179</f>
        <v>0</v>
      </c>
      <c r="AR179" s="638">
        <f t="shared" si="188"/>
        <v>0</v>
      </c>
      <c r="AS179" s="616">
        <f t="shared" si="144"/>
        <v>0</v>
      </c>
      <c r="AT179" s="616">
        <f t="shared" si="145"/>
        <v>0</v>
      </c>
      <c r="AU179" s="616">
        <f t="shared" si="146"/>
        <v>0</v>
      </c>
      <c r="AV179" s="616">
        <f t="shared" si="147"/>
        <v>0</v>
      </c>
      <c r="AW179" s="616">
        <f t="shared" si="148"/>
        <v>0</v>
      </c>
      <c r="AX179" s="616">
        <f t="shared" si="149"/>
        <v>0</v>
      </c>
      <c r="AY179" s="616"/>
      <c r="AZ179" s="615">
        <f t="shared" si="150"/>
        <v>0</v>
      </c>
      <c r="BA179" s="616">
        <f t="shared" si="151"/>
        <v>0</v>
      </c>
      <c r="BB179" s="616">
        <f t="shared" si="152"/>
        <v>0</v>
      </c>
      <c r="BC179" s="616">
        <f t="shared" si="153"/>
        <v>0</v>
      </c>
      <c r="BD179" s="616">
        <f t="shared" si="154"/>
        <v>0</v>
      </c>
      <c r="BE179" s="616">
        <f t="shared" si="155"/>
        <v>0</v>
      </c>
      <c r="BF179" s="616">
        <f t="shared" si="156"/>
        <v>0</v>
      </c>
      <c r="BG179" s="616"/>
      <c r="BH179" s="615">
        <f t="shared" si="157"/>
        <v>0</v>
      </c>
      <c r="BI179" s="616">
        <f t="shared" si="158"/>
        <v>0</v>
      </c>
      <c r="BJ179" s="616">
        <f t="shared" si="159"/>
        <v>0</v>
      </c>
      <c r="BK179" s="616">
        <f t="shared" si="160"/>
        <v>0</v>
      </c>
      <c r="BL179" s="616">
        <f t="shared" si="161"/>
        <v>0</v>
      </c>
      <c r="BM179" s="616">
        <f t="shared" si="162"/>
        <v>0</v>
      </c>
      <c r="BN179" s="616">
        <f t="shared" si="163"/>
        <v>0</v>
      </c>
      <c r="BO179" s="616"/>
      <c r="BP179" s="304"/>
    </row>
    <row r="180" s="130" customFormat="1" ht="24" spans="1:68">
      <c r="A180" s="497" t="s">
        <v>202</v>
      </c>
      <c r="B180" s="497" t="s">
        <v>404</v>
      </c>
      <c r="C180" s="497" t="s">
        <v>443</v>
      </c>
      <c r="D180" s="497" t="s">
        <v>406</v>
      </c>
      <c r="E180" s="615">
        <f t="shared" si="182"/>
        <v>0</v>
      </c>
      <c r="F180" s="615">
        <f t="shared" si="202"/>
        <v>0</v>
      </c>
      <c r="G180" s="616"/>
      <c r="H180" s="616"/>
      <c r="I180" s="616"/>
      <c r="J180" s="616"/>
      <c r="K180" s="616"/>
      <c r="L180" s="616"/>
      <c r="M180" s="615">
        <f t="shared" si="184"/>
        <v>0</v>
      </c>
      <c r="N180" s="616"/>
      <c r="O180" s="616"/>
      <c r="P180" s="616"/>
      <c r="Q180" s="616"/>
      <c r="R180" s="615">
        <f t="shared" si="185"/>
        <v>0</v>
      </c>
      <c r="S180" s="615">
        <f t="shared" si="186"/>
        <v>0</v>
      </c>
      <c r="T180" s="616"/>
      <c r="U180" s="616"/>
      <c r="V180" s="616"/>
      <c r="W180" s="616"/>
      <c r="X180" s="616"/>
      <c r="Y180" s="616"/>
      <c r="Z180" s="615">
        <f t="shared" si="187"/>
        <v>0</v>
      </c>
      <c r="AA180" s="616"/>
      <c r="AB180" s="616"/>
      <c r="AC180" s="650"/>
      <c r="AD180" s="616"/>
      <c r="AE180" s="615">
        <f t="shared" si="203"/>
        <v>0</v>
      </c>
      <c r="AF180" s="615">
        <f t="shared" si="204"/>
        <v>0</v>
      </c>
      <c r="AG180" s="616">
        <f t="shared" si="205"/>
        <v>0</v>
      </c>
      <c r="AH180" s="616">
        <f t="shared" si="206"/>
        <v>0</v>
      </c>
      <c r="AI180" s="616">
        <f t="shared" si="207"/>
        <v>0</v>
      </c>
      <c r="AJ180" s="616">
        <f t="shared" si="208"/>
        <v>0</v>
      </c>
      <c r="AK180" s="616">
        <f t="shared" si="209"/>
        <v>0</v>
      </c>
      <c r="AL180" s="616">
        <f t="shared" si="210"/>
        <v>0</v>
      </c>
      <c r="AM180" s="615">
        <f t="shared" si="211"/>
        <v>0</v>
      </c>
      <c r="AN180" s="616">
        <f t="shared" si="212"/>
        <v>0</v>
      </c>
      <c r="AO180" s="616">
        <f t="shared" si="213"/>
        <v>0</v>
      </c>
      <c r="AP180" s="616">
        <f t="shared" si="214"/>
        <v>0</v>
      </c>
      <c r="AQ180" s="637">
        <f t="shared" si="215"/>
        <v>0</v>
      </c>
      <c r="AR180" s="638">
        <f t="shared" si="188"/>
        <v>0</v>
      </c>
      <c r="AS180" s="616">
        <f t="shared" si="144"/>
        <v>0</v>
      </c>
      <c r="AT180" s="616">
        <f t="shared" si="145"/>
        <v>0</v>
      </c>
      <c r="AU180" s="616">
        <f t="shared" si="146"/>
        <v>0</v>
      </c>
      <c r="AV180" s="616">
        <f t="shared" si="147"/>
        <v>0</v>
      </c>
      <c r="AW180" s="616">
        <f t="shared" si="148"/>
        <v>0</v>
      </c>
      <c r="AX180" s="616">
        <f t="shared" si="149"/>
        <v>0</v>
      </c>
      <c r="AY180" s="616"/>
      <c r="AZ180" s="615">
        <f t="shared" si="150"/>
        <v>0</v>
      </c>
      <c r="BA180" s="616">
        <f t="shared" si="151"/>
        <v>0</v>
      </c>
      <c r="BB180" s="616">
        <f t="shared" si="152"/>
        <v>0</v>
      </c>
      <c r="BC180" s="616">
        <f t="shared" si="153"/>
        <v>0</v>
      </c>
      <c r="BD180" s="616">
        <f t="shared" si="154"/>
        <v>0</v>
      </c>
      <c r="BE180" s="616">
        <f t="shared" si="155"/>
        <v>0</v>
      </c>
      <c r="BF180" s="616">
        <f t="shared" si="156"/>
        <v>0</v>
      </c>
      <c r="BG180" s="616"/>
      <c r="BH180" s="615">
        <f t="shared" si="157"/>
        <v>0</v>
      </c>
      <c r="BI180" s="616">
        <f t="shared" si="158"/>
        <v>0</v>
      </c>
      <c r="BJ180" s="616">
        <f t="shared" si="159"/>
        <v>0</v>
      </c>
      <c r="BK180" s="616">
        <f t="shared" si="160"/>
        <v>0</v>
      </c>
      <c r="BL180" s="616">
        <f t="shared" si="161"/>
        <v>0</v>
      </c>
      <c r="BM180" s="616">
        <f t="shared" si="162"/>
        <v>0</v>
      </c>
      <c r="BN180" s="616">
        <f t="shared" si="163"/>
        <v>0</v>
      </c>
      <c r="BO180" s="616"/>
      <c r="BP180" s="304"/>
    </row>
    <row r="181" s="130" customFormat="1" ht="24" spans="1:68">
      <c r="A181" s="497" t="s">
        <v>202</v>
      </c>
      <c r="B181" s="497" t="s">
        <v>404</v>
      </c>
      <c r="C181" s="497" t="s">
        <v>444</v>
      </c>
      <c r="D181" s="497" t="s">
        <v>406</v>
      </c>
      <c r="E181" s="615">
        <f t="shared" si="182"/>
        <v>0</v>
      </c>
      <c r="F181" s="615">
        <f t="shared" si="202"/>
        <v>0</v>
      </c>
      <c r="G181" s="616"/>
      <c r="H181" s="616"/>
      <c r="I181" s="616"/>
      <c r="J181" s="616"/>
      <c r="K181" s="616"/>
      <c r="L181" s="616"/>
      <c r="M181" s="615">
        <f t="shared" si="184"/>
        <v>0</v>
      </c>
      <c r="N181" s="616"/>
      <c r="O181" s="616"/>
      <c r="P181" s="616"/>
      <c r="Q181" s="616"/>
      <c r="R181" s="615">
        <f t="shared" si="185"/>
        <v>0</v>
      </c>
      <c r="S181" s="615">
        <f t="shared" si="186"/>
        <v>0</v>
      </c>
      <c r="T181" s="616"/>
      <c r="U181" s="616"/>
      <c r="V181" s="616"/>
      <c r="W181" s="616"/>
      <c r="X181" s="616"/>
      <c r="Y181" s="616"/>
      <c r="Z181" s="615">
        <f t="shared" si="187"/>
        <v>0</v>
      </c>
      <c r="AA181" s="616"/>
      <c r="AB181" s="616"/>
      <c r="AC181" s="616"/>
      <c r="AD181" s="616"/>
      <c r="AE181" s="615">
        <f t="shared" si="203"/>
        <v>0</v>
      </c>
      <c r="AF181" s="615">
        <f t="shared" si="204"/>
        <v>0</v>
      </c>
      <c r="AG181" s="616">
        <f t="shared" si="205"/>
        <v>0</v>
      </c>
      <c r="AH181" s="616">
        <f t="shared" si="206"/>
        <v>0</v>
      </c>
      <c r="AI181" s="616">
        <f t="shared" si="207"/>
        <v>0</v>
      </c>
      <c r="AJ181" s="616">
        <f t="shared" si="208"/>
        <v>0</v>
      </c>
      <c r="AK181" s="616">
        <f t="shared" si="209"/>
        <v>0</v>
      </c>
      <c r="AL181" s="616">
        <f t="shared" si="210"/>
        <v>0</v>
      </c>
      <c r="AM181" s="615">
        <f t="shared" si="211"/>
        <v>0</v>
      </c>
      <c r="AN181" s="616">
        <f t="shared" si="212"/>
        <v>0</v>
      </c>
      <c r="AO181" s="616">
        <f t="shared" si="213"/>
        <v>0</v>
      </c>
      <c r="AP181" s="616">
        <f t="shared" si="214"/>
        <v>0</v>
      </c>
      <c r="AQ181" s="637">
        <f t="shared" si="215"/>
        <v>0</v>
      </c>
      <c r="AR181" s="638">
        <f t="shared" si="188"/>
        <v>0</v>
      </c>
      <c r="AS181" s="616">
        <f t="shared" si="144"/>
        <v>0</v>
      </c>
      <c r="AT181" s="616">
        <f t="shared" si="145"/>
        <v>0</v>
      </c>
      <c r="AU181" s="616">
        <f t="shared" si="146"/>
        <v>0</v>
      </c>
      <c r="AV181" s="616">
        <f t="shared" si="147"/>
        <v>0</v>
      </c>
      <c r="AW181" s="616">
        <f t="shared" si="148"/>
        <v>0</v>
      </c>
      <c r="AX181" s="616">
        <f t="shared" si="149"/>
        <v>0</v>
      </c>
      <c r="AY181" s="616"/>
      <c r="AZ181" s="615">
        <f t="shared" si="150"/>
        <v>0</v>
      </c>
      <c r="BA181" s="616">
        <f t="shared" si="151"/>
        <v>0</v>
      </c>
      <c r="BB181" s="616">
        <f t="shared" si="152"/>
        <v>0</v>
      </c>
      <c r="BC181" s="616">
        <f t="shared" si="153"/>
        <v>0</v>
      </c>
      <c r="BD181" s="616">
        <f t="shared" si="154"/>
        <v>0</v>
      </c>
      <c r="BE181" s="616">
        <f t="shared" si="155"/>
        <v>0</v>
      </c>
      <c r="BF181" s="616">
        <f t="shared" si="156"/>
        <v>0</v>
      </c>
      <c r="BG181" s="616"/>
      <c r="BH181" s="615">
        <f t="shared" si="157"/>
        <v>0</v>
      </c>
      <c r="BI181" s="616">
        <f t="shared" si="158"/>
        <v>0</v>
      </c>
      <c r="BJ181" s="616">
        <f t="shared" si="159"/>
        <v>0</v>
      </c>
      <c r="BK181" s="616">
        <f t="shared" si="160"/>
        <v>0</v>
      </c>
      <c r="BL181" s="616">
        <f t="shared" si="161"/>
        <v>0</v>
      </c>
      <c r="BM181" s="616">
        <f t="shared" si="162"/>
        <v>0</v>
      </c>
      <c r="BN181" s="616">
        <f t="shared" si="163"/>
        <v>0</v>
      </c>
      <c r="BO181" s="616"/>
      <c r="BP181" s="304"/>
    </row>
    <row r="182" s="130" customFormat="1" ht="24" spans="1:68">
      <c r="A182" s="497" t="s">
        <v>202</v>
      </c>
      <c r="B182" s="497" t="s">
        <v>404</v>
      </c>
      <c r="C182" s="497" t="s">
        <v>445</v>
      </c>
      <c r="D182" s="497" t="s">
        <v>416</v>
      </c>
      <c r="E182" s="615">
        <f t="shared" si="182"/>
        <v>0</v>
      </c>
      <c r="F182" s="615">
        <f t="shared" si="202"/>
        <v>0</v>
      </c>
      <c r="G182" s="616"/>
      <c r="H182" s="616"/>
      <c r="I182" s="616"/>
      <c r="J182" s="616"/>
      <c r="K182" s="616"/>
      <c r="L182" s="616"/>
      <c r="M182" s="615">
        <f t="shared" si="184"/>
        <v>0</v>
      </c>
      <c r="N182" s="616"/>
      <c r="O182" s="616"/>
      <c r="P182" s="616"/>
      <c r="Q182" s="616"/>
      <c r="R182" s="615">
        <f t="shared" si="185"/>
        <v>0</v>
      </c>
      <c r="S182" s="615">
        <f t="shared" si="186"/>
        <v>0</v>
      </c>
      <c r="T182" s="616"/>
      <c r="U182" s="616"/>
      <c r="V182" s="616"/>
      <c r="W182" s="616"/>
      <c r="X182" s="616"/>
      <c r="Y182" s="616"/>
      <c r="Z182" s="615">
        <f t="shared" si="187"/>
        <v>0</v>
      </c>
      <c r="AA182" s="616"/>
      <c r="AB182" s="616"/>
      <c r="AC182" s="616"/>
      <c r="AD182" s="616"/>
      <c r="AE182" s="615">
        <f t="shared" si="203"/>
        <v>0</v>
      </c>
      <c r="AF182" s="615">
        <f t="shared" si="204"/>
        <v>0</v>
      </c>
      <c r="AG182" s="616">
        <f t="shared" si="205"/>
        <v>0</v>
      </c>
      <c r="AH182" s="616">
        <f t="shared" si="206"/>
        <v>0</v>
      </c>
      <c r="AI182" s="616">
        <f t="shared" si="207"/>
        <v>0</v>
      </c>
      <c r="AJ182" s="616">
        <f t="shared" si="208"/>
        <v>0</v>
      </c>
      <c r="AK182" s="616">
        <f t="shared" si="209"/>
        <v>0</v>
      </c>
      <c r="AL182" s="616">
        <f t="shared" si="210"/>
        <v>0</v>
      </c>
      <c r="AM182" s="615">
        <f t="shared" si="211"/>
        <v>0</v>
      </c>
      <c r="AN182" s="616">
        <f t="shared" si="212"/>
        <v>0</v>
      </c>
      <c r="AO182" s="616">
        <f t="shared" si="213"/>
        <v>0</v>
      </c>
      <c r="AP182" s="616">
        <f t="shared" si="214"/>
        <v>0</v>
      </c>
      <c r="AQ182" s="637">
        <f t="shared" si="215"/>
        <v>0</v>
      </c>
      <c r="AR182" s="638">
        <f t="shared" si="188"/>
        <v>0</v>
      </c>
      <c r="AS182" s="616">
        <f t="shared" si="144"/>
        <v>0</v>
      </c>
      <c r="AT182" s="616">
        <f t="shared" si="145"/>
        <v>0</v>
      </c>
      <c r="AU182" s="616">
        <f t="shared" si="146"/>
        <v>0</v>
      </c>
      <c r="AV182" s="616">
        <f t="shared" si="147"/>
        <v>0</v>
      </c>
      <c r="AW182" s="616">
        <f t="shared" si="148"/>
        <v>0</v>
      </c>
      <c r="AX182" s="616">
        <f t="shared" si="149"/>
        <v>0</v>
      </c>
      <c r="AY182" s="616"/>
      <c r="AZ182" s="615">
        <f t="shared" si="150"/>
        <v>0</v>
      </c>
      <c r="BA182" s="616">
        <f t="shared" si="151"/>
        <v>0</v>
      </c>
      <c r="BB182" s="616">
        <f t="shared" si="152"/>
        <v>0</v>
      </c>
      <c r="BC182" s="616">
        <f t="shared" si="153"/>
        <v>0</v>
      </c>
      <c r="BD182" s="616">
        <f t="shared" si="154"/>
        <v>0</v>
      </c>
      <c r="BE182" s="616">
        <f t="shared" si="155"/>
        <v>0</v>
      </c>
      <c r="BF182" s="616">
        <f t="shared" si="156"/>
        <v>0</v>
      </c>
      <c r="BG182" s="616"/>
      <c r="BH182" s="615">
        <f t="shared" si="157"/>
        <v>0</v>
      </c>
      <c r="BI182" s="616">
        <f t="shared" si="158"/>
        <v>0</v>
      </c>
      <c r="BJ182" s="616">
        <f t="shared" si="159"/>
        <v>0</v>
      </c>
      <c r="BK182" s="616">
        <f t="shared" si="160"/>
        <v>0</v>
      </c>
      <c r="BL182" s="616">
        <f t="shared" si="161"/>
        <v>0</v>
      </c>
      <c r="BM182" s="616">
        <f t="shared" si="162"/>
        <v>0</v>
      </c>
      <c r="BN182" s="616">
        <f t="shared" si="163"/>
        <v>0</v>
      </c>
      <c r="BO182" s="616"/>
      <c r="BP182" s="304"/>
    </row>
    <row r="183" s="130" customFormat="1" ht="24" spans="1:68">
      <c r="A183" s="497" t="s">
        <v>202</v>
      </c>
      <c r="B183" s="497" t="s">
        <v>404</v>
      </c>
      <c r="C183" s="497" t="s">
        <v>446</v>
      </c>
      <c r="D183" s="497" t="s">
        <v>416</v>
      </c>
      <c r="E183" s="615">
        <f t="shared" si="182"/>
        <v>0</v>
      </c>
      <c r="F183" s="615">
        <f t="shared" si="202"/>
        <v>0</v>
      </c>
      <c r="G183" s="616"/>
      <c r="H183" s="616"/>
      <c r="I183" s="616"/>
      <c r="J183" s="616"/>
      <c r="K183" s="616"/>
      <c r="L183" s="616"/>
      <c r="M183" s="615">
        <f t="shared" si="184"/>
        <v>0</v>
      </c>
      <c r="N183" s="616"/>
      <c r="O183" s="616"/>
      <c r="P183" s="616"/>
      <c r="Q183" s="616"/>
      <c r="R183" s="615">
        <f t="shared" si="185"/>
        <v>0</v>
      </c>
      <c r="S183" s="615">
        <f t="shared" si="186"/>
        <v>0</v>
      </c>
      <c r="T183" s="616"/>
      <c r="U183" s="616"/>
      <c r="V183" s="616"/>
      <c r="W183" s="616"/>
      <c r="X183" s="616"/>
      <c r="Y183" s="616"/>
      <c r="Z183" s="615">
        <f t="shared" si="187"/>
        <v>0</v>
      </c>
      <c r="AA183" s="616"/>
      <c r="AB183" s="616"/>
      <c r="AC183" s="616"/>
      <c r="AD183" s="616"/>
      <c r="AE183" s="615">
        <f t="shared" si="203"/>
        <v>0</v>
      </c>
      <c r="AF183" s="615">
        <f t="shared" si="204"/>
        <v>0</v>
      </c>
      <c r="AG183" s="616">
        <f t="shared" si="205"/>
        <v>0</v>
      </c>
      <c r="AH183" s="616">
        <f t="shared" si="206"/>
        <v>0</v>
      </c>
      <c r="AI183" s="616">
        <f t="shared" si="207"/>
        <v>0</v>
      </c>
      <c r="AJ183" s="616">
        <f t="shared" si="208"/>
        <v>0</v>
      </c>
      <c r="AK183" s="616">
        <f t="shared" si="209"/>
        <v>0</v>
      </c>
      <c r="AL183" s="616">
        <f t="shared" si="210"/>
        <v>0</v>
      </c>
      <c r="AM183" s="615">
        <f t="shared" si="211"/>
        <v>0</v>
      </c>
      <c r="AN183" s="616">
        <f t="shared" si="212"/>
        <v>0</v>
      </c>
      <c r="AO183" s="616">
        <f t="shared" si="213"/>
        <v>0</v>
      </c>
      <c r="AP183" s="616">
        <f t="shared" si="214"/>
        <v>0</v>
      </c>
      <c r="AQ183" s="637">
        <f t="shared" si="215"/>
        <v>0</v>
      </c>
      <c r="AR183" s="638">
        <f t="shared" si="188"/>
        <v>0</v>
      </c>
      <c r="AS183" s="616">
        <f t="shared" si="144"/>
        <v>0</v>
      </c>
      <c r="AT183" s="616">
        <f t="shared" si="145"/>
        <v>0</v>
      </c>
      <c r="AU183" s="616">
        <f t="shared" si="146"/>
        <v>0</v>
      </c>
      <c r="AV183" s="616">
        <f t="shared" si="147"/>
        <v>0</v>
      </c>
      <c r="AW183" s="616">
        <f t="shared" si="148"/>
        <v>0</v>
      </c>
      <c r="AX183" s="616">
        <f t="shared" si="149"/>
        <v>0</v>
      </c>
      <c r="AY183" s="616"/>
      <c r="AZ183" s="615">
        <f t="shared" si="150"/>
        <v>0</v>
      </c>
      <c r="BA183" s="616">
        <f t="shared" si="151"/>
        <v>0</v>
      </c>
      <c r="BB183" s="616">
        <f t="shared" si="152"/>
        <v>0</v>
      </c>
      <c r="BC183" s="616">
        <f t="shared" si="153"/>
        <v>0</v>
      </c>
      <c r="BD183" s="616">
        <f t="shared" si="154"/>
        <v>0</v>
      </c>
      <c r="BE183" s="616">
        <f t="shared" si="155"/>
        <v>0</v>
      </c>
      <c r="BF183" s="616">
        <f t="shared" si="156"/>
        <v>0</v>
      </c>
      <c r="BG183" s="616"/>
      <c r="BH183" s="615">
        <f t="shared" si="157"/>
        <v>0</v>
      </c>
      <c r="BI183" s="616">
        <f t="shared" si="158"/>
        <v>0</v>
      </c>
      <c r="BJ183" s="616">
        <f t="shared" si="159"/>
        <v>0</v>
      </c>
      <c r="BK183" s="616">
        <f t="shared" si="160"/>
        <v>0</v>
      </c>
      <c r="BL183" s="616">
        <f t="shared" si="161"/>
        <v>0</v>
      </c>
      <c r="BM183" s="616">
        <f t="shared" si="162"/>
        <v>0</v>
      </c>
      <c r="BN183" s="616">
        <f t="shared" si="163"/>
        <v>0</v>
      </c>
      <c r="BO183" s="616"/>
      <c r="BP183" s="304"/>
    </row>
    <row r="184" s="130" customFormat="1" ht="24" spans="1:68">
      <c r="A184" s="497" t="s">
        <v>202</v>
      </c>
      <c r="B184" s="497" t="s">
        <v>404</v>
      </c>
      <c r="C184" s="497" t="s">
        <v>447</v>
      </c>
      <c r="D184" s="497" t="s">
        <v>406</v>
      </c>
      <c r="E184" s="615">
        <f t="shared" si="182"/>
        <v>0</v>
      </c>
      <c r="F184" s="615">
        <f t="shared" si="202"/>
        <v>0</v>
      </c>
      <c r="G184" s="616"/>
      <c r="H184" s="616"/>
      <c r="I184" s="616"/>
      <c r="J184" s="616"/>
      <c r="K184" s="616"/>
      <c r="L184" s="616"/>
      <c r="M184" s="615">
        <f t="shared" si="184"/>
        <v>0</v>
      </c>
      <c r="N184" s="616"/>
      <c r="O184" s="616"/>
      <c r="P184" s="616"/>
      <c r="Q184" s="616"/>
      <c r="R184" s="615">
        <f t="shared" si="185"/>
        <v>0</v>
      </c>
      <c r="S184" s="615">
        <f t="shared" si="186"/>
        <v>0</v>
      </c>
      <c r="T184" s="616"/>
      <c r="U184" s="616"/>
      <c r="V184" s="616"/>
      <c r="W184" s="616"/>
      <c r="X184" s="616"/>
      <c r="Y184" s="616"/>
      <c r="Z184" s="615">
        <f t="shared" si="187"/>
        <v>0</v>
      </c>
      <c r="AA184" s="616"/>
      <c r="AB184" s="616"/>
      <c r="AC184" s="616"/>
      <c r="AD184" s="616"/>
      <c r="AE184" s="615">
        <f t="shared" si="203"/>
        <v>0</v>
      </c>
      <c r="AF184" s="615">
        <f t="shared" si="204"/>
        <v>0</v>
      </c>
      <c r="AG184" s="616">
        <f t="shared" si="205"/>
        <v>0</v>
      </c>
      <c r="AH184" s="616">
        <f t="shared" si="206"/>
        <v>0</v>
      </c>
      <c r="AI184" s="616">
        <f t="shared" si="207"/>
        <v>0</v>
      </c>
      <c r="AJ184" s="616">
        <f t="shared" si="208"/>
        <v>0</v>
      </c>
      <c r="AK184" s="616">
        <f t="shared" si="209"/>
        <v>0</v>
      </c>
      <c r="AL184" s="616">
        <f t="shared" si="210"/>
        <v>0</v>
      </c>
      <c r="AM184" s="615">
        <f t="shared" si="211"/>
        <v>0</v>
      </c>
      <c r="AN184" s="616">
        <f t="shared" si="212"/>
        <v>0</v>
      </c>
      <c r="AO184" s="616">
        <f t="shared" si="213"/>
        <v>0</v>
      </c>
      <c r="AP184" s="616">
        <f t="shared" si="214"/>
        <v>0</v>
      </c>
      <c r="AQ184" s="637">
        <f t="shared" si="215"/>
        <v>0</v>
      </c>
      <c r="AR184" s="638">
        <f t="shared" si="188"/>
        <v>0</v>
      </c>
      <c r="AS184" s="616">
        <f t="shared" si="144"/>
        <v>0</v>
      </c>
      <c r="AT184" s="616">
        <f t="shared" si="145"/>
        <v>0</v>
      </c>
      <c r="AU184" s="616">
        <f t="shared" si="146"/>
        <v>0</v>
      </c>
      <c r="AV184" s="616">
        <f t="shared" si="147"/>
        <v>0</v>
      </c>
      <c r="AW184" s="616">
        <f t="shared" si="148"/>
        <v>0</v>
      </c>
      <c r="AX184" s="616">
        <f t="shared" si="149"/>
        <v>0</v>
      </c>
      <c r="AY184" s="616"/>
      <c r="AZ184" s="615">
        <f t="shared" si="150"/>
        <v>0</v>
      </c>
      <c r="BA184" s="616">
        <f t="shared" si="151"/>
        <v>0</v>
      </c>
      <c r="BB184" s="616">
        <f t="shared" si="152"/>
        <v>0</v>
      </c>
      <c r="BC184" s="616">
        <f t="shared" si="153"/>
        <v>0</v>
      </c>
      <c r="BD184" s="616">
        <f t="shared" si="154"/>
        <v>0</v>
      </c>
      <c r="BE184" s="616">
        <f t="shared" si="155"/>
        <v>0</v>
      </c>
      <c r="BF184" s="616">
        <f t="shared" si="156"/>
        <v>0</v>
      </c>
      <c r="BG184" s="616"/>
      <c r="BH184" s="615">
        <f t="shared" si="157"/>
        <v>0</v>
      </c>
      <c r="BI184" s="616">
        <f t="shared" si="158"/>
        <v>0</v>
      </c>
      <c r="BJ184" s="616">
        <f t="shared" si="159"/>
        <v>0</v>
      </c>
      <c r="BK184" s="616">
        <f t="shared" si="160"/>
        <v>0</v>
      </c>
      <c r="BL184" s="616">
        <f t="shared" si="161"/>
        <v>0</v>
      </c>
      <c r="BM184" s="616">
        <f t="shared" si="162"/>
        <v>0</v>
      </c>
      <c r="BN184" s="616">
        <f t="shared" si="163"/>
        <v>0</v>
      </c>
      <c r="BO184" s="616"/>
      <c r="BP184" s="304"/>
    </row>
    <row r="185" s="130" customFormat="1" ht="24" spans="1:68">
      <c r="A185" s="497" t="s">
        <v>202</v>
      </c>
      <c r="B185" s="497" t="s">
        <v>404</v>
      </c>
      <c r="C185" s="497" t="s">
        <v>448</v>
      </c>
      <c r="D185" s="497" t="s">
        <v>416</v>
      </c>
      <c r="E185" s="615">
        <f t="shared" si="182"/>
        <v>0</v>
      </c>
      <c r="F185" s="615">
        <f t="shared" si="202"/>
        <v>0</v>
      </c>
      <c r="G185" s="616"/>
      <c r="H185" s="616"/>
      <c r="I185" s="616"/>
      <c r="J185" s="616"/>
      <c r="K185" s="616"/>
      <c r="L185" s="616"/>
      <c r="M185" s="615">
        <f t="shared" si="184"/>
        <v>0</v>
      </c>
      <c r="N185" s="616"/>
      <c r="O185" s="616"/>
      <c r="P185" s="616"/>
      <c r="Q185" s="616"/>
      <c r="R185" s="615">
        <f t="shared" si="185"/>
        <v>0</v>
      </c>
      <c r="S185" s="615">
        <f t="shared" si="186"/>
        <v>0</v>
      </c>
      <c r="T185" s="616"/>
      <c r="U185" s="616"/>
      <c r="V185" s="616"/>
      <c r="W185" s="616"/>
      <c r="X185" s="616"/>
      <c r="Y185" s="616"/>
      <c r="Z185" s="615">
        <f t="shared" si="187"/>
        <v>0</v>
      </c>
      <c r="AA185" s="616"/>
      <c r="AB185" s="616"/>
      <c r="AC185" s="616"/>
      <c r="AD185" s="616"/>
      <c r="AE185" s="615">
        <f t="shared" si="203"/>
        <v>0</v>
      </c>
      <c r="AF185" s="615">
        <f t="shared" si="204"/>
        <v>0</v>
      </c>
      <c r="AG185" s="616">
        <f t="shared" si="205"/>
        <v>0</v>
      </c>
      <c r="AH185" s="616">
        <f t="shared" si="206"/>
        <v>0</v>
      </c>
      <c r="AI185" s="616">
        <f t="shared" si="207"/>
        <v>0</v>
      </c>
      <c r="AJ185" s="616">
        <f t="shared" si="208"/>
        <v>0</v>
      </c>
      <c r="AK185" s="616">
        <f t="shared" si="209"/>
        <v>0</v>
      </c>
      <c r="AL185" s="616">
        <f t="shared" si="210"/>
        <v>0</v>
      </c>
      <c r="AM185" s="615">
        <f t="shared" si="211"/>
        <v>0</v>
      </c>
      <c r="AN185" s="616">
        <f t="shared" si="212"/>
        <v>0</v>
      </c>
      <c r="AO185" s="616">
        <f t="shared" si="213"/>
        <v>0</v>
      </c>
      <c r="AP185" s="616">
        <f t="shared" si="214"/>
        <v>0</v>
      </c>
      <c r="AQ185" s="637">
        <f t="shared" si="215"/>
        <v>0</v>
      </c>
      <c r="AR185" s="638">
        <f t="shared" si="188"/>
        <v>0</v>
      </c>
      <c r="AS185" s="616">
        <f t="shared" si="144"/>
        <v>0</v>
      </c>
      <c r="AT185" s="616">
        <f t="shared" si="145"/>
        <v>0</v>
      </c>
      <c r="AU185" s="616">
        <f t="shared" si="146"/>
        <v>0</v>
      </c>
      <c r="AV185" s="616">
        <f t="shared" si="147"/>
        <v>0</v>
      </c>
      <c r="AW185" s="616">
        <f t="shared" si="148"/>
        <v>0</v>
      </c>
      <c r="AX185" s="616">
        <f t="shared" si="149"/>
        <v>0</v>
      </c>
      <c r="AY185" s="616"/>
      <c r="AZ185" s="615">
        <f t="shared" si="150"/>
        <v>0</v>
      </c>
      <c r="BA185" s="616">
        <f t="shared" si="151"/>
        <v>0</v>
      </c>
      <c r="BB185" s="616">
        <f t="shared" si="152"/>
        <v>0</v>
      </c>
      <c r="BC185" s="616">
        <f t="shared" si="153"/>
        <v>0</v>
      </c>
      <c r="BD185" s="616">
        <f t="shared" si="154"/>
        <v>0</v>
      </c>
      <c r="BE185" s="616">
        <f t="shared" si="155"/>
        <v>0</v>
      </c>
      <c r="BF185" s="616">
        <f t="shared" si="156"/>
        <v>0</v>
      </c>
      <c r="BG185" s="616"/>
      <c r="BH185" s="615">
        <f t="shared" si="157"/>
        <v>0</v>
      </c>
      <c r="BI185" s="616">
        <f t="shared" si="158"/>
        <v>0</v>
      </c>
      <c r="BJ185" s="616">
        <f t="shared" si="159"/>
        <v>0</v>
      </c>
      <c r="BK185" s="616">
        <f t="shared" si="160"/>
        <v>0</v>
      </c>
      <c r="BL185" s="616">
        <f t="shared" si="161"/>
        <v>0</v>
      </c>
      <c r="BM185" s="616">
        <f t="shared" si="162"/>
        <v>0</v>
      </c>
      <c r="BN185" s="616">
        <f t="shared" si="163"/>
        <v>0</v>
      </c>
      <c r="BO185" s="616"/>
      <c r="BP185" s="304"/>
    </row>
    <row r="186" s="130" customFormat="1" ht="24" spans="1:68">
      <c r="A186" s="497" t="s">
        <v>202</v>
      </c>
      <c r="B186" s="497" t="s">
        <v>404</v>
      </c>
      <c r="C186" s="497" t="s">
        <v>449</v>
      </c>
      <c r="D186" s="497" t="s">
        <v>406</v>
      </c>
      <c r="E186" s="615">
        <f t="shared" si="182"/>
        <v>0</v>
      </c>
      <c r="F186" s="615">
        <f t="shared" si="202"/>
        <v>0</v>
      </c>
      <c r="G186" s="616"/>
      <c r="H186" s="616"/>
      <c r="I186" s="616"/>
      <c r="J186" s="616"/>
      <c r="K186" s="616"/>
      <c r="L186" s="616"/>
      <c r="M186" s="615">
        <f t="shared" si="184"/>
        <v>0</v>
      </c>
      <c r="N186" s="616"/>
      <c r="O186" s="616"/>
      <c r="P186" s="616"/>
      <c r="Q186" s="616"/>
      <c r="R186" s="615">
        <f t="shared" si="185"/>
        <v>0</v>
      </c>
      <c r="S186" s="615">
        <f t="shared" si="186"/>
        <v>0</v>
      </c>
      <c r="T186" s="616"/>
      <c r="U186" s="616"/>
      <c r="V186" s="616"/>
      <c r="W186" s="616"/>
      <c r="X186" s="616"/>
      <c r="Y186" s="616"/>
      <c r="Z186" s="615">
        <f t="shared" si="187"/>
        <v>0</v>
      </c>
      <c r="AA186" s="616"/>
      <c r="AB186" s="616"/>
      <c r="AC186" s="616"/>
      <c r="AD186" s="616"/>
      <c r="AE186" s="615">
        <f t="shared" si="203"/>
        <v>0</v>
      </c>
      <c r="AF186" s="615">
        <f t="shared" si="204"/>
        <v>0</v>
      </c>
      <c r="AG186" s="616">
        <f t="shared" si="205"/>
        <v>0</v>
      </c>
      <c r="AH186" s="616">
        <f t="shared" si="206"/>
        <v>0</v>
      </c>
      <c r="AI186" s="616">
        <f t="shared" si="207"/>
        <v>0</v>
      </c>
      <c r="AJ186" s="616">
        <f t="shared" si="208"/>
        <v>0</v>
      </c>
      <c r="AK186" s="616">
        <f t="shared" si="209"/>
        <v>0</v>
      </c>
      <c r="AL186" s="616">
        <f t="shared" si="210"/>
        <v>0</v>
      </c>
      <c r="AM186" s="615">
        <f t="shared" si="211"/>
        <v>0</v>
      </c>
      <c r="AN186" s="616">
        <f t="shared" si="212"/>
        <v>0</v>
      </c>
      <c r="AO186" s="616">
        <f t="shared" si="213"/>
        <v>0</v>
      </c>
      <c r="AP186" s="616">
        <f t="shared" si="214"/>
        <v>0</v>
      </c>
      <c r="AQ186" s="637">
        <f t="shared" si="215"/>
        <v>0</v>
      </c>
      <c r="AR186" s="638">
        <f t="shared" si="188"/>
        <v>0</v>
      </c>
      <c r="AS186" s="616">
        <f t="shared" si="144"/>
        <v>0</v>
      </c>
      <c r="AT186" s="616">
        <f t="shared" si="145"/>
        <v>0</v>
      </c>
      <c r="AU186" s="616">
        <f t="shared" si="146"/>
        <v>0</v>
      </c>
      <c r="AV186" s="616">
        <f t="shared" si="147"/>
        <v>0</v>
      </c>
      <c r="AW186" s="616">
        <f t="shared" si="148"/>
        <v>0</v>
      </c>
      <c r="AX186" s="616">
        <f t="shared" si="149"/>
        <v>0</v>
      </c>
      <c r="AY186" s="616"/>
      <c r="AZ186" s="615">
        <f t="shared" si="150"/>
        <v>0</v>
      </c>
      <c r="BA186" s="616">
        <f t="shared" si="151"/>
        <v>0</v>
      </c>
      <c r="BB186" s="616">
        <f t="shared" si="152"/>
        <v>0</v>
      </c>
      <c r="BC186" s="616">
        <f t="shared" si="153"/>
        <v>0</v>
      </c>
      <c r="BD186" s="616">
        <f t="shared" si="154"/>
        <v>0</v>
      </c>
      <c r="BE186" s="616">
        <f t="shared" si="155"/>
        <v>0</v>
      </c>
      <c r="BF186" s="616">
        <f t="shared" si="156"/>
        <v>0</v>
      </c>
      <c r="BG186" s="616"/>
      <c r="BH186" s="615">
        <f t="shared" si="157"/>
        <v>0</v>
      </c>
      <c r="BI186" s="616">
        <f t="shared" si="158"/>
        <v>0</v>
      </c>
      <c r="BJ186" s="616">
        <f t="shared" si="159"/>
        <v>0</v>
      </c>
      <c r="BK186" s="616">
        <f t="shared" si="160"/>
        <v>0</v>
      </c>
      <c r="BL186" s="616">
        <f t="shared" si="161"/>
        <v>0</v>
      </c>
      <c r="BM186" s="616">
        <f t="shared" si="162"/>
        <v>0</v>
      </c>
      <c r="BN186" s="616">
        <f t="shared" si="163"/>
        <v>0</v>
      </c>
      <c r="BO186" s="616"/>
      <c r="BP186" s="304"/>
    </row>
    <row r="187" s="130" customFormat="1" ht="24" spans="1:68">
      <c r="A187" s="497" t="s">
        <v>202</v>
      </c>
      <c r="B187" s="497" t="s">
        <v>404</v>
      </c>
      <c r="C187" s="497" t="s">
        <v>450</v>
      </c>
      <c r="D187" s="497" t="s">
        <v>416</v>
      </c>
      <c r="E187" s="615">
        <f t="shared" si="182"/>
        <v>0</v>
      </c>
      <c r="F187" s="615">
        <f t="shared" si="202"/>
        <v>0</v>
      </c>
      <c r="G187" s="616"/>
      <c r="H187" s="616"/>
      <c r="I187" s="616"/>
      <c r="J187" s="616"/>
      <c r="K187" s="616"/>
      <c r="L187" s="616"/>
      <c r="M187" s="615">
        <f t="shared" si="184"/>
        <v>0</v>
      </c>
      <c r="N187" s="616"/>
      <c r="O187" s="616"/>
      <c r="P187" s="616"/>
      <c r="Q187" s="616"/>
      <c r="R187" s="615">
        <f t="shared" si="185"/>
        <v>0</v>
      </c>
      <c r="S187" s="615">
        <f t="shared" si="186"/>
        <v>0</v>
      </c>
      <c r="T187" s="616"/>
      <c r="U187" s="616"/>
      <c r="V187" s="616"/>
      <c r="W187" s="616"/>
      <c r="X187" s="616"/>
      <c r="Y187" s="616"/>
      <c r="Z187" s="615">
        <f t="shared" si="187"/>
        <v>0</v>
      </c>
      <c r="AA187" s="616"/>
      <c r="AB187" s="616"/>
      <c r="AC187" s="616"/>
      <c r="AD187" s="616"/>
      <c r="AE187" s="615">
        <f t="shared" si="203"/>
        <v>0</v>
      </c>
      <c r="AF187" s="615">
        <f t="shared" si="204"/>
        <v>0</v>
      </c>
      <c r="AG187" s="616">
        <f t="shared" si="205"/>
        <v>0</v>
      </c>
      <c r="AH187" s="616">
        <f t="shared" si="206"/>
        <v>0</v>
      </c>
      <c r="AI187" s="616">
        <f t="shared" si="207"/>
        <v>0</v>
      </c>
      <c r="AJ187" s="616">
        <f t="shared" si="208"/>
        <v>0</v>
      </c>
      <c r="AK187" s="616">
        <f t="shared" si="209"/>
        <v>0</v>
      </c>
      <c r="AL187" s="616">
        <f t="shared" si="210"/>
        <v>0</v>
      </c>
      <c r="AM187" s="615">
        <f t="shared" si="211"/>
        <v>0</v>
      </c>
      <c r="AN187" s="616">
        <f t="shared" si="212"/>
        <v>0</v>
      </c>
      <c r="AO187" s="616">
        <f t="shared" si="213"/>
        <v>0</v>
      </c>
      <c r="AP187" s="616">
        <f t="shared" si="214"/>
        <v>0</v>
      </c>
      <c r="AQ187" s="637">
        <f t="shared" si="215"/>
        <v>0</v>
      </c>
      <c r="AR187" s="638">
        <f t="shared" si="188"/>
        <v>0</v>
      </c>
      <c r="AS187" s="616">
        <f t="shared" si="144"/>
        <v>0</v>
      </c>
      <c r="AT187" s="616">
        <f t="shared" si="145"/>
        <v>0</v>
      </c>
      <c r="AU187" s="616">
        <f t="shared" si="146"/>
        <v>0</v>
      </c>
      <c r="AV187" s="616">
        <f t="shared" si="147"/>
        <v>0</v>
      </c>
      <c r="AW187" s="616">
        <f t="shared" si="148"/>
        <v>0</v>
      </c>
      <c r="AX187" s="616">
        <f t="shared" si="149"/>
        <v>0</v>
      </c>
      <c r="AY187" s="616"/>
      <c r="AZ187" s="615">
        <f t="shared" si="150"/>
        <v>0</v>
      </c>
      <c r="BA187" s="616">
        <f t="shared" si="151"/>
        <v>0</v>
      </c>
      <c r="BB187" s="616">
        <f t="shared" si="152"/>
        <v>0</v>
      </c>
      <c r="BC187" s="616">
        <f t="shared" si="153"/>
        <v>0</v>
      </c>
      <c r="BD187" s="616">
        <f t="shared" si="154"/>
        <v>0</v>
      </c>
      <c r="BE187" s="616">
        <f t="shared" si="155"/>
        <v>0</v>
      </c>
      <c r="BF187" s="616">
        <f t="shared" si="156"/>
        <v>0</v>
      </c>
      <c r="BG187" s="616"/>
      <c r="BH187" s="615">
        <f t="shared" si="157"/>
        <v>0</v>
      </c>
      <c r="BI187" s="616">
        <f t="shared" si="158"/>
        <v>0</v>
      </c>
      <c r="BJ187" s="616">
        <f t="shared" si="159"/>
        <v>0</v>
      </c>
      <c r="BK187" s="616">
        <f t="shared" si="160"/>
        <v>0</v>
      </c>
      <c r="BL187" s="616">
        <f t="shared" si="161"/>
        <v>0</v>
      </c>
      <c r="BM187" s="616">
        <f t="shared" si="162"/>
        <v>0</v>
      </c>
      <c r="BN187" s="616">
        <f t="shared" si="163"/>
        <v>0</v>
      </c>
      <c r="BO187" s="616"/>
      <c r="BP187" s="304"/>
    </row>
    <row r="188" s="130" customFormat="1" ht="24" spans="1:68">
      <c r="A188" s="497" t="s">
        <v>202</v>
      </c>
      <c r="B188" s="497" t="s">
        <v>404</v>
      </c>
      <c r="C188" s="497" t="s">
        <v>451</v>
      </c>
      <c r="D188" s="497" t="s">
        <v>406</v>
      </c>
      <c r="E188" s="615">
        <f t="shared" si="182"/>
        <v>0</v>
      </c>
      <c r="F188" s="615">
        <f t="shared" si="202"/>
        <v>0</v>
      </c>
      <c r="G188" s="616"/>
      <c r="H188" s="616"/>
      <c r="I188" s="616"/>
      <c r="J188" s="616"/>
      <c r="K188" s="616"/>
      <c r="L188" s="616"/>
      <c r="M188" s="615">
        <f t="shared" si="184"/>
        <v>0</v>
      </c>
      <c r="N188" s="616"/>
      <c r="O188" s="616"/>
      <c r="P188" s="616"/>
      <c r="Q188" s="616"/>
      <c r="R188" s="615">
        <f t="shared" si="185"/>
        <v>0</v>
      </c>
      <c r="S188" s="615">
        <f t="shared" si="186"/>
        <v>0</v>
      </c>
      <c r="T188" s="616"/>
      <c r="U188" s="616"/>
      <c r="V188" s="616"/>
      <c r="W188" s="616"/>
      <c r="X188" s="616"/>
      <c r="Y188" s="616"/>
      <c r="Z188" s="615">
        <f t="shared" si="187"/>
        <v>0</v>
      </c>
      <c r="AA188" s="616"/>
      <c r="AB188" s="616"/>
      <c r="AC188" s="616"/>
      <c r="AD188" s="616"/>
      <c r="AE188" s="615">
        <f t="shared" si="203"/>
        <v>0</v>
      </c>
      <c r="AF188" s="615">
        <f t="shared" si="204"/>
        <v>0</v>
      </c>
      <c r="AG188" s="616">
        <f t="shared" si="205"/>
        <v>0</v>
      </c>
      <c r="AH188" s="616">
        <f t="shared" si="206"/>
        <v>0</v>
      </c>
      <c r="AI188" s="616">
        <f t="shared" si="207"/>
        <v>0</v>
      </c>
      <c r="AJ188" s="616">
        <f t="shared" si="208"/>
        <v>0</v>
      </c>
      <c r="AK188" s="616">
        <f t="shared" si="209"/>
        <v>0</v>
      </c>
      <c r="AL188" s="616">
        <f t="shared" si="210"/>
        <v>0</v>
      </c>
      <c r="AM188" s="615">
        <f t="shared" si="211"/>
        <v>0</v>
      </c>
      <c r="AN188" s="616">
        <f t="shared" si="212"/>
        <v>0</v>
      </c>
      <c r="AO188" s="616">
        <f t="shared" si="213"/>
        <v>0</v>
      </c>
      <c r="AP188" s="616">
        <f t="shared" si="214"/>
        <v>0</v>
      </c>
      <c r="AQ188" s="637">
        <f t="shared" si="215"/>
        <v>0</v>
      </c>
      <c r="AR188" s="638">
        <f t="shared" si="188"/>
        <v>0</v>
      </c>
      <c r="AS188" s="616">
        <f t="shared" si="144"/>
        <v>0</v>
      </c>
      <c r="AT188" s="616">
        <f t="shared" si="145"/>
        <v>0</v>
      </c>
      <c r="AU188" s="616">
        <f t="shared" si="146"/>
        <v>0</v>
      </c>
      <c r="AV188" s="616">
        <f t="shared" si="147"/>
        <v>0</v>
      </c>
      <c r="AW188" s="616">
        <f t="shared" si="148"/>
        <v>0</v>
      </c>
      <c r="AX188" s="616">
        <f t="shared" si="149"/>
        <v>0</v>
      </c>
      <c r="AY188" s="616"/>
      <c r="AZ188" s="615">
        <f t="shared" si="150"/>
        <v>0</v>
      </c>
      <c r="BA188" s="616">
        <f t="shared" si="151"/>
        <v>0</v>
      </c>
      <c r="BB188" s="616">
        <f t="shared" si="152"/>
        <v>0</v>
      </c>
      <c r="BC188" s="616">
        <f t="shared" si="153"/>
        <v>0</v>
      </c>
      <c r="BD188" s="616">
        <f t="shared" si="154"/>
        <v>0</v>
      </c>
      <c r="BE188" s="616">
        <f t="shared" si="155"/>
        <v>0</v>
      </c>
      <c r="BF188" s="616">
        <f t="shared" si="156"/>
        <v>0</v>
      </c>
      <c r="BG188" s="616"/>
      <c r="BH188" s="615">
        <f t="shared" si="157"/>
        <v>0</v>
      </c>
      <c r="BI188" s="616">
        <f t="shared" si="158"/>
        <v>0</v>
      </c>
      <c r="BJ188" s="616">
        <f t="shared" si="159"/>
        <v>0</v>
      </c>
      <c r="BK188" s="616">
        <f t="shared" si="160"/>
        <v>0</v>
      </c>
      <c r="BL188" s="616">
        <f t="shared" si="161"/>
        <v>0</v>
      </c>
      <c r="BM188" s="616">
        <f t="shared" si="162"/>
        <v>0</v>
      </c>
      <c r="BN188" s="616">
        <f t="shared" si="163"/>
        <v>0</v>
      </c>
      <c r="BO188" s="616"/>
      <c r="BP188" s="304"/>
    </row>
    <row r="189" s="130" customFormat="1" ht="36" spans="1:68">
      <c r="A189" s="497" t="s">
        <v>202</v>
      </c>
      <c r="B189" s="497" t="s">
        <v>206</v>
      </c>
      <c r="C189" s="497" t="s">
        <v>452</v>
      </c>
      <c r="D189" s="497" t="s">
        <v>453</v>
      </c>
      <c r="E189" s="615">
        <f t="shared" si="182"/>
        <v>0</v>
      </c>
      <c r="F189" s="615">
        <f t="shared" si="202"/>
        <v>0</v>
      </c>
      <c r="G189" s="616"/>
      <c r="H189" s="616"/>
      <c r="I189" s="616"/>
      <c r="J189" s="616"/>
      <c r="K189" s="616"/>
      <c r="L189" s="616"/>
      <c r="M189" s="615">
        <f t="shared" si="184"/>
        <v>0</v>
      </c>
      <c r="N189" s="616"/>
      <c r="O189" s="616"/>
      <c r="P189" s="616"/>
      <c r="Q189" s="616"/>
      <c r="R189" s="615">
        <f t="shared" si="185"/>
        <v>0</v>
      </c>
      <c r="S189" s="615">
        <f t="shared" si="186"/>
        <v>0</v>
      </c>
      <c r="T189" s="616"/>
      <c r="U189" s="616"/>
      <c r="V189" s="616"/>
      <c r="W189" s="616"/>
      <c r="X189" s="616"/>
      <c r="Y189" s="616"/>
      <c r="Z189" s="615">
        <f t="shared" si="187"/>
        <v>0</v>
      </c>
      <c r="AA189" s="616"/>
      <c r="AB189" s="616"/>
      <c r="AC189" s="616"/>
      <c r="AD189" s="616"/>
      <c r="AE189" s="615">
        <f t="shared" si="203"/>
        <v>0</v>
      </c>
      <c r="AF189" s="615">
        <f t="shared" si="204"/>
        <v>0</v>
      </c>
      <c r="AG189" s="616">
        <f t="shared" si="205"/>
        <v>0</v>
      </c>
      <c r="AH189" s="616">
        <f t="shared" si="206"/>
        <v>0</v>
      </c>
      <c r="AI189" s="616">
        <f t="shared" si="207"/>
        <v>0</v>
      </c>
      <c r="AJ189" s="616">
        <f t="shared" si="208"/>
        <v>0</v>
      </c>
      <c r="AK189" s="616">
        <f t="shared" si="209"/>
        <v>0</v>
      </c>
      <c r="AL189" s="616">
        <f t="shared" si="210"/>
        <v>0</v>
      </c>
      <c r="AM189" s="615">
        <f t="shared" si="211"/>
        <v>0</v>
      </c>
      <c r="AN189" s="616">
        <f t="shared" si="212"/>
        <v>0</v>
      </c>
      <c r="AO189" s="616">
        <f t="shared" si="213"/>
        <v>0</v>
      </c>
      <c r="AP189" s="616">
        <f t="shared" si="214"/>
        <v>0</v>
      </c>
      <c r="AQ189" s="637">
        <f t="shared" si="215"/>
        <v>0</v>
      </c>
      <c r="AR189" s="638">
        <f t="shared" si="188"/>
        <v>0</v>
      </c>
      <c r="AS189" s="616">
        <f t="shared" si="144"/>
        <v>0</v>
      </c>
      <c r="AT189" s="616">
        <f t="shared" si="145"/>
        <v>0</v>
      </c>
      <c r="AU189" s="616">
        <f t="shared" si="146"/>
        <v>0</v>
      </c>
      <c r="AV189" s="616">
        <f t="shared" si="147"/>
        <v>0</v>
      </c>
      <c r="AW189" s="616">
        <f t="shared" si="148"/>
        <v>0</v>
      </c>
      <c r="AX189" s="616">
        <f t="shared" si="149"/>
        <v>0</v>
      </c>
      <c r="AY189" s="616"/>
      <c r="AZ189" s="615">
        <f t="shared" si="150"/>
        <v>0</v>
      </c>
      <c r="BA189" s="616">
        <f t="shared" si="151"/>
        <v>0</v>
      </c>
      <c r="BB189" s="616">
        <f t="shared" si="152"/>
        <v>0</v>
      </c>
      <c r="BC189" s="616">
        <f t="shared" si="153"/>
        <v>0</v>
      </c>
      <c r="BD189" s="616">
        <f t="shared" si="154"/>
        <v>0</v>
      </c>
      <c r="BE189" s="616">
        <f t="shared" si="155"/>
        <v>0</v>
      </c>
      <c r="BF189" s="616">
        <f t="shared" si="156"/>
        <v>0</v>
      </c>
      <c r="BG189" s="616"/>
      <c r="BH189" s="615">
        <f t="shared" si="157"/>
        <v>0</v>
      </c>
      <c r="BI189" s="616">
        <f t="shared" si="158"/>
        <v>0</v>
      </c>
      <c r="BJ189" s="616">
        <f t="shared" si="159"/>
        <v>0</v>
      </c>
      <c r="BK189" s="616">
        <f t="shared" si="160"/>
        <v>0</v>
      </c>
      <c r="BL189" s="616">
        <f t="shared" si="161"/>
        <v>0</v>
      </c>
      <c r="BM189" s="616">
        <f t="shared" si="162"/>
        <v>0</v>
      </c>
      <c r="BN189" s="616">
        <f t="shared" si="163"/>
        <v>0</v>
      </c>
      <c r="BO189" s="616"/>
      <c r="BP189" s="304"/>
    </row>
    <row r="190" s="130" customFormat="1" ht="24" spans="1:68">
      <c r="A190" s="497" t="s">
        <v>202</v>
      </c>
      <c r="B190" s="497" t="s">
        <v>404</v>
      </c>
      <c r="C190" s="497" t="s">
        <v>454</v>
      </c>
      <c r="D190" s="497" t="s">
        <v>416</v>
      </c>
      <c r="E190" s="615">
        <f t="shared" si="182"/>
        <v>0</v>
      </c>
      <c r="F190" s="615">
        <f t="shared" si="202"/>
        <v>0</v>
      </c>
      <c r="G190" s="616"/>
      <c r="H190" s="616"/>
      <c r="I190" s="616"/>
      <c r="J190" s="616"/>
      <c r="K190" s="616"/>
      <c r="L190" s="616"/>
      <c r="M190" s="615">
        <f t="shared" si="184"/>
        <v>0</v>
      </c>
      <c r="N190" s="616"/>
      <c r="O190" s="616"/>
      <c r="P190" s="616"/>
      <c r="Q190" s="616"/>
      <c r="R190" s="615">
        <f t="shared" si="185"/>
        <v>0</v>
      </c>
      <c r="S190" s="615">
        <f t="shared" si="186"/>
        <v>0</v>
      </c>
      <c r="T190" s="616"/>
      <c r="U190" s="616"/>
      <c r="V190" s="616"/>
      <c r="W190" s="616"/>
      <c r="X190" s="616"/>
      <c r="Y190" s="616"/>
      <c r="Z190" s="615">
        <f t="shared" si="187"/>
        <v>0</v>
      </c>
      <c r="AA190" s="616"/>
      <c r="AB190" s="616"/>
      <c r="AC190" s="616"/>
      <c r="AD190" s="616"/>
      <c r="AE190" s="615">
        <f t="shared" si="203"/>
        <v>0</v>
      </c>
      <c r="AF190" s="615">
        <f t="shared" si="204"/>
        <v>0</v>
      </c>
      <c r="AG190" s="616">
        <f t="shared" si="205"/>
        <v>0</v>
      </c>
      <c r="AH190" s="616">
        <f t="shared" si="206"/>
        <v>0</v>
      </c>
      <c r="AI190" s="616">
        <f t="shared" si="207"/>
        <v>0</v>
      </c>
      <c r="AJ190" s="616">
        <f t="shared" si="208"/>
        <v>0</v>
      </c>
      <c r="AK190" s="616">
        <f t="shared" si="209"/>
        <v>0</v>
      </c>
      <c r="AL190" s="616">
        <f t="shared" si="210"/>
        <v>0</v>
      </c>
      <c r="AM190" s="615">
        <f t="shared" si="211"/>
        <v>0</v>
      </c>
      <c r="AN190" s="616">
        <f t="shared" si="212"/>
        <v>0</v>
      </c>
      <c r="AO190" s="616">
        <f t="shared" si="213"/>
        <v>0</v>
      </c>
      <c r="AP190" s="616">
        <f t="shared" si="214"/>
        <v>0</v>
      </c>
      <c r="AQ190" s="637">
        <f t="shared" si="215"/>
        <v>0</v>
      </c>
      <c r="AR190" s="638">
        <f t="shared" si="188"/>
        <v>0</v>
      </c>
      <c r="AS190" s="616">
        <f t="shared" si="144"/>
        <v>0</v>
      </c>
      <c r="AT190" s="616">
        <f t="shared" si="145"/>
        <v>0</v>
      </c>
      <c r="AU190" s="616">
        <f t="shared" si="146"/>
        <v>0</v>
      </c>
      <c r="AV190" s="616">
        <f t="shared" si="147"/>
        <v>0</v>
      </c>
      <c r="AW190" s="616">
        <f t="shared" si="148"/>
        <v>0</v>
      </c>
      <c r="AX190" s="616">
        <f t="shared" si="149"/>
        <v>0</v>
      </c>
      <c r="AY190" s="616"/>
      <c r="AZ190" s="615">
        <f t="shared" si="150"/>
        <v>0</v>
      </c>
      <c r="BA190" s="616">
        <f t="shared" si="151"/>
        <v>0</v>
      </c>
      <c r="BB190" s="616">
        <f t="shared" si="152"/>
        <v>0</v>
      </c>
      <c r="BC190" s="616">
        <f t="shared" si="153"/>
        <v>0</v>
      </c>
      <c r="BD190" s="616">
        <f t="shared" si="154"/>
        <v>0</v>
      </c>
      <c r="BE190" s="616">
        <f t="shared" si="155"/>
        <v>0</v>
      </c>
      <c r="BF190" s="616">
        <f t="shared" si="156"/>
        <v>0</v>
      </c>
      <c r="BG190" s="616"/>
      <c r="BH190" s="615">
        <f t="shared" si="157"/>
        <v>0</v>
      </c>
      <c r="BI190" s="616">
        <f t="shared" si="158"/>
        <v>0</v>
      </c>
      <c r="BJ190" s="616">
        <f t="shared" si="159"/>
        <v>0</v>
      </c>
      <c r="BK190" s="616">
        <f t="shared" si="160"/>
        <v>0</v>
      </c>
      <c r="BL190" s="616">
        <f t="shared" si="161"/>
        <v>0</v>
      </c>
      <c r="BM190" s="616">
        <f t="shared" si="162"/>
        <v>0</v>
      </c>
      <c r="BN190" s="616">
        <f t="shared" si="163"/>
        <v>0</v>
      </c>
      <c r="BO190" s="616"/>
      <c r="BP190" s="304"/>
    </row>
    <row r="191" s="130" customFormat="1" ht="24" spans="1:68">
      <c r="A191" s="497" t="s">
        <v>202</v>
      </c>
      <c r="B191" s="497" t="s">
        <v>400</v>
      </c>
      <c r="C191" s="497" t="s">
        <v>455</v>
      </c>
      <c r="D191" s="497" t="s">
        <v>441</v>
      </c>
      <c r="E191" s="615">
        <f t="shared" si="182"/>
        <v>0</v>
      </c>
      <c r="F191" s="615">
        <f t="shared" si="202"/>
        <v>0</v>
      </c>
      <c r="G191" s="616"/>
      <c r="H191" s="616"/>
      <c r="I191" s="616"/>
      <c r="J191" s="616"/>
      <c r="K191" s="616"/>
      <c r="L191" s="616"/>
      <c r="M191" s="615">
        <f t="shared" si="184"/>
        <v>0</v>
      </c>
      <c r="N191" s="616"/>
      <c r="O191" s="616"/>
      <c r="P191" s="616"/>
      <c r="Q191" s="616"/>
      <c r="R191" s="615">
        <f t="shared" si="185"/>
        <v>0</v>
      </c>
      <c r="S191" s="615">
        <f t="shared" si="186"/>
        <v>0</v>
      </c>
      <c r="T191" s="616"/>
      <c r="U191" s="616"/>
      <c r="V191" s="616"/>
      <c r="W191" s="616"/>
      <c r="X191" s="616"/>
      <c r="Y191" s="616"/>
      <c r="Z191" s="615">
        <f t="shared" si="187"/>
        <v>0</v>
      </c>
      <c r="AA191" s="616"/>
      <c r="AB191" s="616"/>
      <c r="AC191" s="616"/>
      <c r="AD191" s="616"/>
      <c r="AE191" s="615">
        <f t="shared" si="203"/>
        <v>0</v>
      </c>
      <c r="AF191" s="615">
        <f t="shared" si="204"/>
        <v>0</v>
      </c>
      <c r="AG191" s="616">
        <f t="shared" si="205"/>
        <v>0</v>
      </c>
      <c r="AH191" s="616">
        <f t="shared" si="206"/>
        <v>0</v>
      </c>
      <c r="AI191" s="616">
        <f t="shared" si="207"/>
        <v>0</v>
      </c>
      <c r="AJ191" s="616">
        <f t="shared" si="208"/>
        <v>0</v>
      </c>
      <c r="AK191" s="616">
        <f t="shared" si="209"/>
        <v>0</v>
      </c>
      <c r="AL191" s="616">
        <f t="shared" si="210"/>
        <v>0</v>
      </c>
      <c r="AM191" s="615">
        <f t="shared" si="211"/>
        <v>0</v>
      </c>
      <c r="AN191" s="616">
        <f t="shared" si="212"/>
        <v>0</v>
      </c>
      <c r="AO191" s="616">
        <f t="shared" si="213"/>
        <v>0</v>
      </c>
      <c r="AP191" s="616">
        <f t="shared" si="214"/>
        <v>0</v>
      </c>
      <c r="AQ191" s="637">
        <f t="shared" si="215"/>
        <v>0</v>
      </c>
      <c r="AR191" s="638">
        <f t="shared" si="188"/>
        <v>0</v>
      </c>
      <c r="AS191" s="616">
        <f t="shared" si="144"/>
        <v>0</v>
      </c>
      <c r="AT191" s="616">
        <f t="shared" si="145"/>
        <v>0</v>
      </c>
      <c r="AU191" s="616">
        <f t="shared" si="146"/>
        <v>0</v>
      </c>
      <c r="AV191" s="616">
        <f t="shared" si="147"/>
        <v>0</v>
      </c>
      <c r="AW191" s="616">
        <f t="shared" si="148"/>
        <v>0</v>
      </c>
      <c r="AX191" s="616">
        <f t="shared" si="149"/>
        <v>0</v>
      </c>
      <c r="AY191" s="616"/>
      <c r="AZ191" s="615">
        <f t="shared" si="150"/>
        <v>0</v>
      </c>
      <c r="BA191" s="616">
        <f t="shared" si="151"/>
        <v>0</v>
      </c>
      <c r="BB191" s="616">
        <f t="shared" si="152"/>
        <v>0</v>
      </c>
      <c r="BC191" s="616">
        <f t="shared" si="153"/>
        <v>0</v>
      </c>
      <c r="BD191" s="616">
        <f t="shared" si="154"/>
        <v>0</v>
      </c>
      <c r="BE191" s="616">
        <f t="shared" si="155"/>
        <v>0</v>
      </c>
      <c r="BF191" s="616">
        <f t="shared" si="156"/>
        <v>0</v>
      </c>
      <c r="BG191" s="616"/>
      <c r="BH191" s="615">
        <f t="shared" si="157"/>
        <v>0</v>
      </c>
      <c r="BI191" s="616">
        <f t="shared" si="158"/>
        <v>0</v>
      </c>
      <c r="BJ191" s="616">
        <f t="shared" si="159"/>
        <v>0</v>
      </c>
      <c r="BK191" s="616">
        <f t="shared" si="160"/>
        <v>0</v>
      </c>
      <c r="BL191" s="616">
        <f t="shared" si="161"/>
        <v>0</v>
      </c>
      <c r="BM191" s="616">
        <f t="shared" si="162"/>
        <v>0</v>
      </c>
      <c r="BN191" s="616">
        <f t="shared" si="163"/>
        <v>0</v>
      </c>
      <c r="BO191" s="616"/>
      <c r="BP191" s="304"/>
    </row>
    <row r="192" s="130" customFormat="1" ht="24" spans="1:68">
      <c r="A192" s="497" t="s">
        <v>202</v>
      </c>
      <c r="B192" s="497" t="s">
        <v>400</v>
      </c>
      <c r="C192" s="497" t="s">
        <v>456</v>
      </c>
      <c r="D192" s="497" t="s">
        <v>441</v>
      </c>
      <c r="E192" s="615">
        <f t="shared" si="182"/>
        <v>0</v>
      </c>
      <c r="F192" s="615">
        <f t="shared" si="202"/>
        <v>0</v>
      </c>
      <c r="G192" s="616"/>
      <c r="H192" s="616"/>
      <c r="I192" s="616"/>
      <c r="J192" s="616"/>
      <c r="K192" s="616"/>
      <c r="L192" s="616"/>
      <c r="M192" s="615">
        <f t="shared" si="184"/>
        <v>0</v>
      </c>
      <c r="N192" s="616"/>
      <c r="O192" s="616"/>
      <c r="P192" s="616"/>
      <c r="Q192" s="616"/>
      <c r="R192" s="615">
        <f t="shared" si="185"/>
        <v>0</v>
      </c>
      <c r="S192" s="615">
        <f t="shared" si="186"/>
        <v>0</v>
      </c>
      <c r="T192" s="616"/>
      <c r="U192" s="616"/>
      <c r="V192" s="616"/>
      <c r="W192" s="616"/>
      <c r="X192" s="616"/>
      <c r="Y192" s="616"/>
      <c r="Z192" s="615">
        <f t="shared" si="187"/>
        <v>0</v>
      </c>
      <c r="AA192" s="616"/>
      <c r="AB192" s="616"/>
      <c r="AC192" s="616"/>
      <c r="AD192" s="616"/>
      <c r="AE192" s="615">
        <f t="shared" si="203"/>
        <v>0</v>
      </c>
      <c r="AF192" s="615">
        <f t="shared" si="204"/>
        <v>0</v>
      </c>
      <c r="AG192" s="616">
        <f t="shared" si="205"/>
        <v>0</v>
      </c>
      <c r="AH192" s="616">
        <f t="shared" si="206"/>
        <v>0</v>
      </c>
      <c r="AI192" s="616">
        <f t="shared" si="207"/>
        <v>0</v>
      </c>
      <c r="AJ192" s="616">
        <f t="shared" si="208"/>
        <v>0</v>
      </c>
      <c r="AK192" s="616">
        <f t="shared" si="209"/>
        <v>0</v>
      </c>
      <c r="AL192" s="616">
        <f t="shared" si="210"/>
        <v>0</v>
      </c>
      <c r="AM192" s="615">
        <f t="shared" si="211"/>
        <v>0</v>
      </c>
      <c r="AN192" s="616">
        <f t="shared" si="212"/>
        <v>0</v>
      </c>
      <c r="AO192" s="616">
        <f t="shared" si="213"/>
        <v>0</v>
      </c>
      <c r="AP192" s="616">
        <f t="shared" si="214"/>
        <v>0</v>
      </c>
      <c r="AQ192" s="637">
        <f t="shared" si="215"/>
        <v>0</v>
      </c>
      <c r="AR192" s="638">
        <f t="shared" si="188"/>
        <v>0</v>
      </c>
      <c r="AS192" s="616">
        <f t="shared" si="144"/>
        <v>0</v>
      </c>
      <c r="AT192" s="616">
        <f t="shared" si="145"/>
        <v>0</v>
      </c>
      <c r="AU192" s="616">
        <f t="shared" si="146"/>
        <v>0</v>
      </c>
      <c r="AV192" s="616">
        <f t="shared" si="147"/>
        <v>0</v>
      </c>
      <c r="AW192" s="616">
        <f t="shared" si="148"/>
        <v>0</v>
      </c>
      <c r="AX192" s="616">
        <f t="shared" si="149"/>
        <v>0</v>
      </c>
      <c r="AY192" s="616"/>
      <c r="AZ192" s="615">
        <f t="shared" si="150"/>
        <v>0</v>
      </c>
      <c r="BA192" s="616">
        <f t="shared" si="151"/>
        <v>0</v>
      </c>
      <c r="BB192" s="616">
        <f t="shared" si="152"/>
        <v>0</v>
      </c>
      <c r="BC192" s="616">
        <f t="shared" si="153"/>
        <v>0</v>
      </c>
      <c r="BD192" s="616">
        <f t="shared" si="154"/>
        <v>0</v>
      </c>
      <c r="BE192" s="616">
        <f t="shared" si="155"/>
        <v>0</v>
      </c>
      <c r="BF192" s="616">
        <f t="shared" si="156"/>
        <v>0</v>
      </c>
      <c r="BG192" s="616"/>
      <c r="BH192" s="615">
        <f t="shared" si="157"/>
        <v>0</v>
      </c>
      <c r="BI192" s="616">
        <f t="shared" si="158"/>
        <v>0</v>
      </c>
      <c r="BJ192" s="616">
        <f t="shared" si="159"/>
        <v>0</v>
      </c>
      <c r="BK192" s="616">
        <f t="shared" si="160"/>
        <v>0</v>
      </c>
      <c r="BL192" s="616">
        <f t="shared" si="161"/>
        <v>0</v>
      </c>
      <c r="BM192" s="616">
        <f t="shared" si="162"/>
        <v>0</v>
      </c>
      <c r="BN192" s="616">
        <f t="shared" si="163"/>
        <v>0</v>
      </c>
      <c r="BO192" s="616"/>
      <c r="BP192" s="304"/>
    </row>
    <row r="193" s="130" customFormat="1" ht="24" spans="1:68">
      <c r="A193" s="497" t="s">
        <v>202</v>
      </c>
      <c r="B193" s="497" t="s">
        <v>404</v>
      </c>
      <c r="C193" s="497" t="s">
        <v>457</v>
      </c>
      <c r="D193" s="497" t="s">
        <v>406</v>
      </c>
      <c r="E193" s="615">
        <f t="shared" si="182"/>
        <v>0</v>
      </c>
      <c r="F193" s="615">
        <f t="shared" si="202"/>
        <v>0</v>
      </c>
      <c r="G193" s="616"/>
      <c r="H193" s="616"/>
      <c r="I193" s="616"/>
      <c r="J193" s="616"/>
      <c r="K193" s="616"/>
      <c r="L193" s="616"/>
      <c r="M193" s="615">
        <f t="shared" si="184"/>
        <v>0</v>
      </c>
      <c r="N193" s="616"/>
      <c r="O193" s="616"/>
      <c r="P193" s="616"/>
      <c r="Q193" s="616"/>
      <c r="R193" s="615">
        <f t="shared" si="185"/>
        <v>0</v>
      </c>
      <c r="S193" s="615">
        <f t="shared" si="186"/>
        <v>0</v>
      </c>
      <c r="T193" s="616"/>
      <c r="U193" s="616"/>
      <c r="V193" s="616"/>
      <c r="W193" s="616"/>
      <c r="X193" s="616"/>
      <c r="Y193" s="616"/>
      <c r="Z193" s="615">
        <f t="shared" si="187"/>
        <v>0</v>
      </c>
      <c r="AA193" s="616"/>
      <c r="AB193" s="616"/>
      <c r="AC193" s="616"/>
      <c r="AD193" s="616"/>
      <c r="AE193" s="615">
        <f t="shared" si="203"/>
        <v>0</v>
      </c>
      <c r="AF193" s="615">
        <f t="shared" si="204"/>
        <v>0</v>
      </c>
      <c r="AG193" s="616">
        <f t="shared" si="205"/>
        <v>0</v>
      </c>
      <c r="AH193" s="616">
        <f t="shared" si="206"/>
        <v>0</v>
      </c>
      <c r="AI193" s="616">
        <f t="shared" si="207"/>
        <v>0</v>
      </c>
      <c r="AJ193" s="616">
        <f t="shared" si="208"/>
        <v>0</v>
      </c>
      <c r="AK193" s="616">
        <f t="shared" si="209"/>
        <v>0</v>
      </c>
      <c r="AL193" s="616">
        <f t="shared" si="210"/>
        <v>0</v>
      </c>
      <c r="AM193" s="615">
        <f t="shared" si="211"/>
        <v>0</v>
      </c>
      <c r="AN193" s="616">
        <f t="shared" si="212"/>
        <v>0</v>
      </c>
      <c r="AO193" s="616">
        <f t="shared" si="213"/>
        <v>0</v>
      </c>
      <c r="AP193" s="616">
        <f t="shared" si="214"/>
        <v>0</v>
      </c>
      <c r="AQ193" s="637">
        <f t="shared" si="215"/>
        <v>0</v>
      </c>
      <c r="AR193" s="638">
        <f t="shared" si="188"/>
        <v>0</v>
      </c>
      <c r="AS193" s="616">
        <f t="shared" si="144"/>
        <v>0</v>
      </c>
      <c r="AT193" s="616">
        <f t="shared" si="145"/>
        <v>0</v>
      </c>
      <c r="AU193" s="616">
        <f t="shared" si="146"/>
        <v>0</v>
      </c>
      <c r="AV193" s="616">
        <f t="shared" si="147"/>
        <v>0</v>
      </c>
      <c r="AW193" s="616">
        <f t="shared" si="148"/>
        <v>0</v>
      </c>
      <c r="AX193" s="616">
        <f t="shared" si="149"/>
        <v>0</v>
      </c>
      <c r="AY193" s="616"/>
      <c r="AZ193" s="615">
        <f t="shared" si="150"/>
        <v>0</v>
      </c>
      <c r="BA193" s="616">
        <f t="shared" si="151"/>
        <v>0</v>
      </c>
      <c r="BB193" s="616">
        <f t="shared" si="152"/>
        <v>0</v>
      </c>
      <c r="BC193" s="616">
        <f t="shared" si="153"/>
        <v>0</v>
      </c>
      <c r="BD193" s="616">
        <f t="shared" si="154"/>
        <v>0</v>
      </c>
      <c r="BE193" s="616">
        <f t="shared" si="155"/>
        <v>0</v>
      </c>
      <c r="BF193" s="616">
        <f t="shared" si="156"/>
        <v>0</v>
      </c>
      <c r="BG193" s="616"/>
      <c r="BH193" s="615">
        <f t="shared" si="157"/>
        <v>0</v>
      </c>
      <c r="BI193" s="616">
        <f t="shared" si="158"/>
        <v>0</v>
      </c>
      <c r="BJ193" s="616">
        <f t="shared" si="159"/>
        <v>0</v>
      </c>
      <c r="BK193" s="616">
        <f t="shared" si="160"/>
        <v>0</v>
      </c>
      <c r="BL193" s="616">
        <f t="shared" si="161"/>
        <v>0</v>
      </c>
      <c r="BM193" s="616">
        <f t="shared" si="162"/>
        <v>0</v>
      </c>
      <c r="BN193" s="616">
        <f t="shared" si="163"/>
        <v>0</v>
      </c>
      <c r="BO193" s="616"/>
      <c r="BP193" s="304"/>
    </row>
    <row r="194" s="130" customFormat="1" ht="24" spans="1:68">
      <c r="A194" s="497" t="s">
        <v>202</v>
      </c>
      <c r="B194" s="497" t="s">
        <v>400</v>
      </c>
      <c r="C194" s="497" t="s">
        <v>458</v>
      </c>
      <c r="D194" s="497" t="s">
        <v>441</v>
      </c>
      <c r="E194" s="615">
        <f t="shared" si="182"/>
        <v>0</v>
      </c>
      <c r="F194" s="615">
        <f t="shared" si="202"/>
        <v>0</v>
      </c>
      <c r="G194" s="616"/>
      <c r="H194" s="616"/>
      <c r="I194" s="616"/>
      <c r="J194" s="616"/>
      <c r="K194" s="616"/>
      <c r="L194" s="616"/>
      <c r="M194" s="615">
        <f t="shared" si="184"/>
        <v>0</v>
      </c>
      <c r="N194" s="616"/>
      <c r="O194" s="616"/>
      <c r="P194" s="616"/>
      <c r="Q194" s="616"/>
      <c r="R194" s="615">
        <f t="shared" si="185"/>
        <v>0</v>
      </c>
      <c r="S194" s="615">
        <f t="shared" si="186"/>
        <v>0</v>
      </c>
      <c r="T194" s="616"/>
      <c r="U194" s="616"/>
      <c r="V194" s="616"/>
      <c r="W194" s="616"/>
      <c r="X194" s="616"/>
      <c r="Y194" s="616"/>
      <c r="Z194" s="615">
        <f t="shared" si="187"/>
        <v>0</v>
      </c>
      <c r="AA194" s="616"/>
      <c r="AB194" s="616"/>
      <c r="AC194" s="616"/>
      <c r="AD194" s="616"/>
      <c r="AE194" s="615">
        <f t="shared" si="203"/>
        <v>0</v>
      </c>
      <c r="AF194" s="615">
        <f t="shared" si="204"/>
        <v>0</v>
      </c>
      <c r="AG194" s="616">
        <f t="shared" si="205"/>
        <v>0</v>
      </c>
      <c r="AH194" s="616">
        <f t="shared" si="206"/>
        <v>0</v>
      </c>
      <c r="AI194" s="616">
        <f t="shared" si="207"/>
        <v>0</v>
      </c>
      <c r="AJ194" s="616">
        <f t="shared" si="208"/>
        <v>0</v>
      </c>
      <c r="AK194" s="616">
        <f t="shared" si="209"/>
        <v>0</v>
      </c>
      <c r="AL194" s="616">
        <f t="shared" si="210"/>
        <v>0</v>
      </c>
      <c r="AM194" s="615">
        <f t="shared" si="211"/>
        <v>0</v>
      </c>
      <c r="AN194" s="616">
        <f t="shared" si="212"/>
        <v>0</v>
      </c>
      <c r="AO194" s="616">
        <f t="shared" si="213"/>
        <v>0</v>
      </c>
      <c r="AP194" s="616">
        <f t="shared" si="214"/>
        <v>0</v>
      </c>
      <c r="AQ194" s="637">
        <f t="shared" si="215"/>
        <v>0</v>
      </c>
      <c r="AR194" s="638">
        <f t="shared" si="188"/>
        <v>0</v>
      </c>
      <c r="AS194" s="616">
        <f t="shared" si="144"/>
        <v>0</v>
      </c>
      <c r="AT194" s="616">
        <f t="shared" si="145"/>
        <v>0</v>
      </c>
      <c r="AU194" s="616">
        <f t="shared" si="146"/>
        <v>0</v>
      </c>
      <c r="AV194" s="616">
        <f t="shared" si="147"/>
        <v>0</v>
      </c>
      <c r="AW194" s="616">
        <f t="shared" si="148"/>
        <v>0</v>
      </c>
      <c r="AX194" s="616">
        <f t="shared" si="149"/>
        <v>0</v>
      </c>
      <c r="AY194" s="616"/>
      <c r="AZ194" s="615">
        <f t="shared" si="150"/>
        <v>0</v>
      </c>
      <c r="BA194" s="616">
        <f t="shared" si="151"/>
        <v>0</v>
      </c>
      <c r="BB194" s="616">
        <f t="shared" si="152"/>
        <v>0</v>
      </c>
      <c r="BC194" s="616">
        <f t="shared" si="153"/>
        <v>0</v>
      </c>
      <c r="BD194" s="616">
        <f t="shared" si="154"/>
        <v>0</v>
      </c>
      <c r="BE194" s="616">
        <f t="shared" si="155"/>
        <v>0</v>
      </c>
      <c r="BF194" s="616">
        <f t="shared" si="156"/>
        <v>0</v>
      </c>
      <c r="BG194" s="616"/>
      <c r="BH194" s="615">
        <f t="shared" si="157"/>
        <v>0</v>
      </c>
      <c r="BI194" s="616">
        <f t="shared" si="158"/>
        <v>0</v>
      </c>
      <c r="BJ194" s="616">
        <f t="shared" si="159"/>
        <v>0</v>
      </c>
      <c r="BK194" s="616">
        <f t="shared" si="160"/>
        <v>0</v>
      </c>
      <c r="BL194" s="616">
        <f t="shared" si="161"/>
        <v>0</v>
      </c>
      <c r="BM194" s="616">
        <f t="shared" si="162"/>
        <v>0</v>
      </c>
      <c r="BN194" s="616">
        <f t="shared" si="163"/>
        <v>0</v>
      </c>
      <c r="BO194" s="616"/>
      <c r="BP194" s="304"/>
    </row>
    <row r="195" s="130" customFormat="1" ht="24" spans="1:68">
      <c r="A195" s="497" t="s">
        <v>202</v>
      </c>
      <c r="B195" s="497" t="s">
        <v>400</v>
      </c>
      <c r="C195" s="497" t="s">
        <v>459</v>
      </c>
      <c r="D195" s="497" t="s">
        <v>441</v>
      </c>
      <c r="E195" s="615">
        <f t="shared" si="182"/>
        <v>0</v>
      </c>
      <c r="F195" s="615">
        <f t="shared" si="202"/>
        <v>0</v>
      </c>
      <c r="G195" s="616"/>
      <c r="H195" s="616"/>
      <c r="I195" s="616"/>
      <c r="J195" s="616"/>
      <c r="K195" s="616"/>
      <c r="L195" s="616"/>
      <c r="M195" s="615">
        <f t="shared" si="184"/>
        <v>0</v>
      </c>
      <c r="N195" s="616"/>
      <c r="O195" s="616"/>
      <c r="P195" s="616"/>
      <c r="Q195" s="616"/>
      <c r="R195" s="615">
        <f t="shared" si="185"/>
        <v>0</v>
      </c>
      <c r="S195" s="615">
        <f t="shared" si="186"/>
        <v>0</v>
      </c>
      <c r="T195" s="616"/>
      <c r="U195" s="616"/>
      <c r="V195" s="616"/>
      <c r="W195" s="616"/>
      <c r="X195" s="616"/>
      <c r="Y195" s="616"/>
      <c r="Z195" s="615">
        <f t="shared" si="187"/>
        <v>0</v>
      </c>
      <c r="AA195" s="616"/>
      <c r="AB195" s="616"/>
      <c r="AC195" s="616"/>
      <c r="AD195" s="616"/>
      <c r="AE195" s="615">
        <f t="shared" si="203"/>
        <v>0</v>
      </c>
      <c r="AF195" s="615">
        <f t="shared" si="204"/>
        <v>0</v>
      </c>
      <c r="AG195" s="616">
        <f t="shared" si="205"/>
        <v>0</v>
      </c>
      <c r="AH195" s="616">
        <f t="shared" si="206"/>
        <v>0</v>
      </c>
      <c r="AI195" s="616">
        <f t="shared" si="207"/>
        <v>0</v>
      </c>
      <c r="AJ195" s="616">
        <f t="shared" si="208"/>
        <v>0</v>
      </c>
      <c r="AK195" s="616">
        <f t="shared" si="209"/>
        <v>0</v>
      </c>
      <c r="AL195" s="616">
        <f t="shared" si="210"/>
        <v>0</v>
      </c>
      <c r="AM195" s="615">
        <f t="shared" si="211"/>
        <v>0</v>
      </c>
      <c r="AN195" s="616">
        <f t="shared" si="212"/>
        <v>0</v>
      </c>
      <c r="AO195" s="616">
        <f t="shared" si="213"/>
        <v>0</v>
      </c>
      <c r="AP195" s="616">
        <f t="shared" si="214"/>
        <v>0</v>
      </c>
      <c r="AQ195" s="637">
        <f t="shared" si="215"/>
        <v>0</v>
      </c>
      <c r="AR195" s="638">
        <f t="shared" si="188"/>
        <v>0</v>
      </c>
      <c r="AS195" s="616">
        <f t="shared" si="144"/>
        <v>0</v>
      </c>
      <c r="AT195" s="616">
        <f t="shared" si="145"/>
        <v>0</v>
      </c>
      <c r="AU195" s="616">
        <f t="shared" si="146"/>
        <v>0</v>
      </c>
      <c r="AV195" s="616">
        <f t="shared" si="147"/>
        <v>0</v>
      </c>
      <c r="AW195" s="616">
        <f t="shared" si="148"/>
        <v>0</v>
      </c>
      <c r="AX195" s="616">
        <f t="shared" si="149"/>
        <v>0</v>
      </c>
      <c r="AY195" s="616"/>
      <c r="AZ195" s="615">
        <f t="shared" si="150"/>
        <v>0</v>
      </c>
      <c r="BA195" s="616">
        <f t="shared" si="151"/>
        <v>0</v>
      </c>
      <c r="BB195" s="616">
        <f t="shared" si="152"/>
        <v>0</v>
      </c>
      <c r="BC195" s="616">
        <f t="shared" si="153"/>
        <v>0</v>
      </c>
      <c r="BD195" s="616">
        <f t="shared" si="154"/>
        <v>0</v>
      </c>
      <c r="BE195" s="616">
        <f t="shared" si="155"/>
        <v>0</v>
      </c>
      <c r="BF195" s="616">
        <f t="shared" si="156"/>
        <v>0</v>
      </c>
      <c r="BG195" s="616"/>
      <c r="BH195" s="615">
        <f t="shared" si="157"/>
        <v>0</v>
      </c>
      <c r="BI195" s="616">
        <f t="shared" si="158"/>
        <v>0</v>
      </c>
      <c r="BJ195" s="616">
        <f t="shared" si="159"/>
        <v>0</v>
      </c>
      <c r="BK195" s="616">
        <f t="shared" si="160"/>
        <v>0</v>
      </c>
      <c r="BL195" s="616">
        <f t="shared" si="161"/>
        <v>0</v>
      </c>
      <c r="BM195" s="616">
        <f t="shared" si="162"/>
        <v>0</v>
      </c>
      <c r="BN195" s="616">
        <f t="shared" si="163"/>
        <v>0</v>
      </c>
      <c r="BO195" s="616"/>
      <c r="BP195" s="304"/>
    </row>
    <row r="196" s="130" customFormat="1" ht="24" spans="1:68">
      <c r="A196" s="497" t="s">
        <v>202</v>
      </c>
      <c r="B196" s="497" t="s">
        <v>404</v>
      </c>
      <c r="C196" s="497" t="s">
        <v>460</v>
      </c>
      <c r="D196" s="497" t="s">
        <v>406</v>
      </c>
      <c r="E196" s="615">
        <f t="shared" si="182"/>
        <v>0</v>
      </c>
      <c r="F196" s="615">
        <f t="shared" si="202"/>
        <v>0</v>
      </c>
      <c r="G196" s="616"/>
      <c r="H196" s="616"/>
      <c r="I196" s="616"/>
      <c r="J196" s="616"/>
      <c r="K196" s="616"/>
      <c r="L196" s="616"/>
      <c r="M196" s="615">
        <f t="shared" si="184"/>
        <v>0</v>
      </c>
      <c r="N196" s="616"/>
      <c r="O196" s="616"/>
      <c r="P196" s="616"/>
      <c r="Q196" s="616"/>
      <c r="R196" s="615">
        <f t="shared" si="185"/>
        <v>0</v>
      </c>
      <c r="S196" s="615">
        <f t="shared" si="186"/>
        <v>0</v>
      </c>
      <c r="T196" s="616"/>
      <c r="U196" s="616"/>
      <c r="V196" s="616"/>
      <c r="W196" s="616"/>
      <c r="X196" s="616"/>
      <c r="Y196" s="616"/>
      <c r="Z196" s="615">
        <f t="shared" si="187"/>
        <v>0</v>
      </c>
      <c r="AA196" s="616"/>
      <c r="AB196" s="616"/>
      <c r="AC196" s="616"/>
      <c r="AD196" s="616"/>
      <c r="AE196" s="615">
        <f t="shared" si="203"/>
        <v>0</v>
      </c>
      <c r="AF196" s="615">
        <f t="shared" si="204"/>
        <v>0</v>
      </c>
      <c r="AG196" s="616">
        <f t="shared" si="205"/>
        <v>0</v>
      </c>
      <c r="AH196" s="616">
        <f t="shared" si="206"/>
        <v>0</v>
      </c>
      <c r="AI196" s="616">
        <f t="shared" si="207"/>
        <v>0</v>
      </c>
      <c r="AJ196" s="616">
        <f t="shared" si="208"/>
        <v>0</v>
      </c>
      <c r="AK196" s="616">
        <f t="shared" si="209"/>
        <v>0</v>
      </c>
      <c r="AL196" s="616">
        <f t="shared" si="210"/>
        <v>0</v>
      </c>
      <c r="AM196" s="615">
        <f t="shared" si="211"/>
        <v>0</v>
      </c>
      <c r="AN196" s="616">
        <f t="shared" si="212"/>
        <v>0</v>
      </c>
      <c r="AO196" s="616">
        <f t="shared" si="213"/>
        <v>0</v>
      </c>
      <c r="AP196" s="616">
        <f t="shared" si="214"/>
        <v>0</v>
      </c>
      <c r="AQ196" s="637">
        <f t="shared" si="215"/>
        <v>0</v>
      </c>
      <c r="AR196" s="638">
        <f t="shared" si="188"/>
        <v>0</v>
      </c>
      <c r="AS196" s="616">
        <f t="shared" si="144"/>
        <v>0</v>
      </c>
      <c r="AT196" s="616">
        <f t="shared" si="145"/>
        <v>0</v>
      </c>
      <c r="AU196" s="616">
        <f t="shared" si="146"/>
        <v>0</v>
      </c>
      <c r="AV196" s="616">
        <f t="shared" si="147"/>
        <v>0</v>
      </c>
      <c r="AW196" s="616">
        <f t="shared" si="148"/>
        <v>0</v>
      </c>
      <c r="AX196" s="616">
        <f t="shared" si="149"/>
        <v>0</v>
      </c>
      <c r="AY196" s="616"/>
      <c r="AZ196" s="615">
        <f t="shared" si="150"/>
        <v>0</v>
      </c>
      <c r="BA196" s="616">
        <f t="shared" si="151"/>
        <v>0</v>
      </c>
      <c r="BB196" s="616">
        <f t="shared" si="152"/>
        <v>0</v>
      </c>
      <c r="BC196" s="616">
        <f t="shared" si="153"/>
        <v>0</v>
      </c>
      <c r="BD196" s="616">
        <f t="shared" si="154"/>
        <v>0</v>
      </c>
      <c r="BE196" s="616">
        <f t="shared" si="155"/>
        <v>0</v>
      </c>
      <c r="BF196" s="616">
        <f t="shared" si="156"/>
        <v>0</v>
      </c>
      <c r="BG196" s="616"/>
      <c r="BH196" s="615">
        <f t="shared" si="157"/>
        <v>0</v>
      </c>
      <c r="BI196" s="616">
        <f t="shared" si="158"/>
        <v>0</v>
      </c>
      <c r="BJ196" s="616">
        <f t="shared" si="159"/>
        <v>0</v>
      </c>
      <c r="BK196" s="616">
        <f t="shared" si="160"/>
        <v>0</v>
      </c>
      <c r="BL196" s="616">
        <f t="shared" si="161"/>
        <v>0</v>
      </c>
      <c r="BM196" s="616">
        <f t="shared" si="162"/>
        <v>0</v>
      </c>
      <c r="BN196" s="616">
        <f t="shared" si="163"/>
        <v>0</v>
      </c>
      <c r="BO196" s="616"/>
      <c r="BP196" s="304"/>
    </row>
    <row r="197" s="130" customFormat="1" ht="24" spans="1:68">
      <c r="A197" s="497" t="s">
        <v>202</v>
      </c>
      <c r="B197" s="497" t="s">
        <v>400</v>
      </c>
      <c r="C197" s="497" t="s">
        <v>461</v>
      </c>
      <c r="D197" s="497" t="s">
        <v>441</v>
      </c>
      <c r="E197" s="615">
        <f t="shared" si="182"/>
        <v>0</v>
      </c>
      <c r="F197" s="615">
        <f t="shared" si="202"/>
        <v>0</v>
      </c>
      <c r="G197" s="616"/>
      <c r="H197" s="616"/>
      <c r="I197" s="616"/>
      <c r="J197" s="616"/>
      <c r="K197" s="616"/>
      <c r="L197" s="616"/>
      <c r="M197" s="615">
        <f t="shared" si="184"/>
        <v>0</v>
      </c>
      <c r="N197" s="616"/>
      <c r="O197" s="616"/>
      <c r="P197" s="616"/>
      <c r="Q197" s="616"/>
      <c r="R197" s="615">
        <f t="shared" si="185"/>
        <v>0</v>
      </c>
      <c r="S197" s="615">
        <f t="shared" si="186"/>
        <v>0</v>
      </c>
      <c r="T197" s="616"/>
      <c r="U197" s="616"/>
      <c r="V197" s="616"/>
      <c r="W197" s="616"/>
      <c r="X197" s="616"/>
      <c r="Y197" s="616"/>
      <c r="Z197" s="615">
        <f t="shared" si="187"/>
        <v>0</v>
      </c>
      <c r="AA197" s="616"/>
      <c r="AB197" s="616"/>
      <c r="AC197" s="616"/>
      <c r="AD197" s="616"/>
      <c r="AE197" s="615">
        <f t="shared" si="203"/>
        <v>0</v>
      </c>
      <c r="AF197" s="615">
        <f t="shared" si="204"/>
        <v>0</v>
      </c>
      <c r="AG197" s="616">
        <f t="shared" si="205"/>
        <v>0</v>
      </c>
      <c r="AH197" s="616">
        <f t="shared" si="206"/>
        <v>0</v>
      </c>
      <c r="AI197" s="616">
        <f t="shared" si="207"/>
        <v>0</v>
      </c>
      <c r="AJ197" s="616">
        <f t="shared" si="208"/>
        <v>0</v>
      </c>
      <c r="AK197" s="616">
        <f t="shared" si="209"/>
        <v>0</v>
      </c>
      <c r="AL197" s="616">
        <f t="shared" si="210"/>
        <v>0</v>
      </c>
      <c r="AM197" s="615">
        <f t="shared" si="211"/>
        <v>0</v>
      </c>
      <c r="AN197" s="616">
        <f t="shared" si="212"/>
        <v>0</v>
      </c>
      <c r="AO197" s="616">
        <f t="shared" si="213"/>
        <v>0</v>
      </c>
      <c r="AP197" s="616">
        <f t="shared" si="214"/>
        <v>0</v>
      </c>
      <c r="AQ197" s="637">
        <f t="shared" si="215"/>
        <v>0</v>
      </c>
      <c r="AR197" s="638">
        <f t="shared" si="188"/>
        <v>0</v>
      </c>
      <c r="AS197" s="616">
        <f t="shared" si="144"/>
        <v>0</v>
      </c>
      <c r="AT197" s="616">
        <f t="shared" si="145"/>
        <v>0</v>
      </c>
      <c r="AU197" s="616">
        <f t="shared" si="146"/>
        <v>0</v>
      </c>
      <c r="AV197" s="616">
        <f t="shared" si="147"/>
        <v>0</v>
      </c>
      <c r="AW197" s="616">
        <f t="shared" si="148"/>
        <v>0</v>
      </c>
      <c r="AX197" s="616">
        <f t="shared" si="149"/>
        <v>0</v>
      </c>
      <c r="AY197" s="616"/>
      <c r="AZ197" s="615">
        <f t="shared" si="150"/>
        <v>0</v>
      </c>
      <c r="BA197" s="616">
        <f t="shared" si="151"/>
        <v>0</v>
      </c>
      <c r="BB197" s="616">
        <f t="shared" si="152"/>
        <v>0</v>
      </c>
      <c r="BC197" s="616">
        <f t="shared" si="153"/>
        <v>0</v>
      </c>
      <c r="BD197" s="616">
        <f t="shared" si="154"/>
        <v>0</v>
      </c>
      <c r="BE197" s="616">
        <f t="shared" si="155"/>
        <v>0</v>
      </c>
      <c r="BF197" s="616">
        <f t="shared" si="156"/>
        <v>0</v>
      </c>
      <c r="BG197" s="616"/>
      <c r="BH197" s="615">
        <f t="shared" si="157"/>
        <v>0</v>
      </c>
      <c r="BI197" s="616">
        <f t="shared" si="158"/>
        <v>0</v>
      </c>
      <c r="BJ197" s="616">
        <f t="shared" si="159"/>
        <v>0</v>
      </c>
      <c r="BK197" s="616">
        <f t="shared" si="160"/>
        <v>0</v>
      </c>
      <c r="BL197" s="616">
        <f t="shared" si="161"/>
        <v>0</v>
      </c>
      <c r="BM197" s="616">
        <f t="shared" si="162"/>
        <v>0</v>
      </c>
      <c r="BN197" s="616">
        <f t="shared" si="163"/>
        <v>0</v>
      </c>
      <c r="BO197" s="616"/>
      <c r="BP197" s="304"/>
    </row>
    <row r="198" s="130" customFormat="1" ht="24" spans="1:68">
      <c r="A198" s="497" t="s">
        <v>202</v>
      </c>
      <c r="B198" s="497" t="s">
        <v>400</v>
      </c>
      <c r="C198" s="497" t="s">
        <v>462</v>
      </c>
      <c r="D198" s="497" t="s">
        <v>441</v>
      </c>
      <c r="E198" s="615">
        <f t="shared" si="182"/>
        <v>0</v>
      </c>
      <c r="F198" s="615">
        <f t="shared" si="202"/>
        <v>0</v>
      </c>
      <c r="G198" s="616"/>
      <c r="H198" s="616"/>
      <c r="I198" s="616"/>
      <c r="J198" s="616"/>
      <c r="K198" s="616"/>
      <c r="L198" s="616"/>
      <c r="M198" s="615">
        <f t="shared" si="184"/>
        <v>0</v>
      </c>
      <c r="N198" s="616"/>
      <c r="O198" s="616"/>
      <c r="P198" s="616"/>
      <c r="Q198" s="616"/>
      <c r="R198" s="615">
        <f t="shared" si="185"/>
        <v>0</v>
      </c>
      <c r="S198" s="615">
        <f t="shared" si="186"/>
        <v>0</v>
      </c>
      <c r="T198" s="616"/>
      <c r="U198" s="616"/>
      <c r="V198" s="616"/>
      <c r="W198" s="616"/>
      <c r="X198" s="616"/>
      <c r="Y198" s="616"/>
      <c r="Z198" s="615">
        <f t="shared" si="187"/>
        <v>0</v>
      </c>
      <c r="AA198" s="616"/>
      <c r="AB198" s="616"/>
      <c r="AC198" s="616"/>
      <c r="AD198" s="616"/>
      <c r="AE198" s="615">
        <f t="shared" si="203"/>
        <v>0</v>
      </c>
      <c r="AF198" s="615">
        <f t="shared" si="204"/>
        <v>0</v>
      </c>
      <c r="AG198" s="616">
        <f t="shared" si="205"/>
        <v>0</v>
      </c>
      <c r="AH198" s="616">
        <f t="shared" si="206"/>
        <v>0</v>
      </c>
      <c r="AI198" s="616">
        <f t="shared" si="207"/>
        <v>0</v>
      </c>
      <c r="AJ198" s="616">
        <f t="shared" si="208"/>
        <v>0</v>
      </c>
      <c r="AK198" s="616">
        <f t="shared" si="209"/>
        <v>0</v>
      </c>
      <c r="AL198" s="616">
        <f t="shared" si="210"/>
        <v>0</v>
      </c>
      <c r="AM198" s="615">
        <f t="shared" si="211"/>
        <v>0</v>
      </c>
      <c r="AN198" s="616">
        <f t="shared" si="212"/>
        <v>0</v>
      </c>
      <c r="AO198" s="616">
        <f t="shared" si="213"/>
        <v>0</v>
      </c>
      <c r="AP198" s="616">
        <f t="shared" si="214"/>
        <v>0</v>
      </c>
      <c r="AQ198" s="637">
        <f t="shared" si="215"/>
        <v>0</v>
      </c>
      <c r="AR198" s="638">
        <f t="shared" si="188"/>
        <v>0</v>
      </c>
      <c r="AS198" s="616">
        <f t="shared" si="144"/>
        <v>0</v>
      </c>
      <c r="AT198" s="616">
        <f t="shared" si="145"/>
        <v>0</v>
      </c>
      <c r="AU198" s="616">
        <f t="shared" si="146"/>
        <v>0</v>
      </c>
      <c r="AV198" s="616">
        <f t="shared" si="147"/>
        <v>0</v>
      </c>
      <c r="AW198" s="616">
        <f t="shared" si="148"/>
        <v>0</v>
      </c>
      <c r="AX198" s="616">
        <f t="shared" si="149"/>
        <v>0</v>
      </c>
      <c r="AY198" s="616"/>
      <c r="AZ198" s="615">
        <f t="shared" si="150"/>
        <v>0</v>
      </c>
      <c r="BA198" s="616">
        <f t="shared" si="151"/>
        <v>0</v>
      </c>
      <c r="BB198" s="616">
        <f t="shared" si="152"/>
        <v>0</v>
      </c>
      <c r="BC198" s="616">
        <f t="shared" si="153"/>
        <v>0</v>
      </c>
      <c r="BD198" s="616">
        <f t="shared" si="154"/>
        <v>0</v>
      </c>
      <c r="BE198" s="616">
        <f t="shared" si="155"/>
        <v>0</v>
      </c>
      <c r="BF198" s="616">
        <f t="shared" si="156"/>
        <v>0</v>
      </c>
      <c r="BG198" s="616"/>
      <c r="BH198" s="615">
        <f t="shared" si="157"/>
        <v>0</v>
      </c>
      <c r="BI198" s="616">
        <f t="shared" si="158"/>
        <v>0</v>
      </c>
      <c r="BJ198" s="616">
        <f t="shared" si="159"/>
        <v>0</v>
      </c>
      <c r="BK198" s="616">
        <f t="shared" si="160"/>
        <v>0</v>
      </c>
      <c r="BL198" s="616">
        <f t="shared" si="161"/>
        <v>0</v>
      </c>
      <c r="BM198" s="616">
        <f t="shared" si="162"/>
        <v>0</v>
      </c>
      <c r="BN198" s="616">
        <f t="shared" si="163"/>
        <v>0</v>
      </c>
      <c r="BO198" s="616"/>
      <c r="BP198" s="304"/>
    </row>
    <row r="199" s="130" customFormat="1" ht="24" spans="1:68">
      <c r="A199" s="497" t="s">
        <v>202</v>
      </c>
      <c r="B199" s="497" t="s">
        <v>400</v>
      </c>
      <c r="C199" s="497" t="s">
        <v>463</v>
      </c>
      <c r="D199" s="497" t="s">
        <v>441</v>
      </c>
      <c r="E199" s="615">
        <f t="shared" si="182"/>
        <v>0</v>
      </c>
      <c r="F199" s="615">
        <f t="shared" si="202"/>
        <v>0</v>
      </c>
      <c r="G199" s="616"/>
      <c r="H199" s="616"/>
      <c r="I199" s="616"/>
      <c r="J199" s="616"/>
      <c r="K199" s="616"/>
      <c r="L199" s="616"/>
      <c r="M199" s="615">
        <f t="shared" si="184"/>
        <v>0</v>
      </c>
      <c r="N199" s="616"/>
      <c r="O199" s="616"/>
      <c r="P199" s="616"/>
      <c r="Q199" s="616"/>
      <c r="R199" s="615">
        <f t="shared" si="185"/>
        <v>0</v>
      </c>
      <c r="S199" s="615">
        <f t="shared" si="186"/>
        <v>0</v>
      </c>
      <c r="T199" s="616"/>
      <c r="U199" s="616"/>
      <c r="V199" s="616"/>
      <c r="W199" s="616"/>
      <c r="X199" s="616"/>
      <c r="Y199" s="616"/>
      <c r="Z199" s="615">
        <f t="shared" si="187"/>
        <v>0</v>
      </c>
      <c r="AA199" s="616"/>
      <c r="AB199" s="616"/>
      <c r="AC199" s="616"/>
      <c r="AD199" s="616"/>
      <c r="AE199" s="615">
        <f t="shared" si="203"/>
        <v>0</v>
      </c>
      <c r="AF199" s="615">
        <f t="shared" si="204"/>
        <v>0</v>
      </c>
      <c r="AG199" s="616">
        <f t="shared" si="205"/>
        <v>0</v>
      </c>
      <c r="AH199" s="616">
        <f t="shared" si="206"/>
        <v>0</v>
      </c>
      <c r="AI199" s="616">
        <f t="shared" si="207"/>
        <v>0</v>
      </c>
      <c r="AJ199" s="616">
        <f t="shared" si="208"/>
        <v>0</v>
      </c>
      <c r="AK199" s="616">
        <f t="shared" si="209"/>
        <v>0</v>
      </c>
      <c r="AL199" s="616">
        <f t="shared" si="210"/>
        <v>0</v>
      </c>
      <c r="AM199" s="615">
        <f t="shared" si="211"/>
        <v>0</v>
      </c>
      <c r="AN199" s="616">
        <f t="shared" si="212"/>
        <v>0</v>
      </c>
      <c r="AO199" s="616">
        <f t="shared" si="213"/>
        <v>0</v>
      </c>
      <c r="AP199" s="616">
        <f t="shared" si="214"/>
        <v>0</v>
      </c>
      <c r="AQ199" s="637">
        <f t="shared" si="215"/>
        <v>0</v>
      </c>
      <c r="AR199" s="638">
        <f t="shared" si="188"/>
        <v>0</v>
      </c>
      <c r="AS199" s="616">
        <f t="shared" si="144"/>
        <v>0</v>
      </c>
      <c r="AT199" s="616">
        <f t="shared" si="145"/>
        <v>0</v>
      </c>
      <c r="AU199" s="616">
        <f t="shared" si="146"/>
        <v>0</v>
      </c>
      <c r="AV199" s="616">
        <f t="shared" si="147"/>
        <v>0</v>
      </c>
      <c r="AW199" s="616">
        <f t="shared" si="148"/>
        <v>0</v>
      </c>
      <c r="AX199" s="616">
        <f t="shared" si="149"/>
        <v>0</v>
      </c>
      <c r="AY199" s="616"/>
      <c r="AZ199" s="615">
        <f t="shared" si="150"/>
        <v>0</v>
      </c>
      <c r="BA199" s="616">
        <f t="shared" si="151"/>
        <v>0</v>
      </c>
      <c r="BB199" s="616">
        <f t="shared" si="152"/>
        <v>0</v>
      </c>
      <c r="BC199" s="616">
        <f t="shared" si="153"/>
        <v>0</v>
      </c>
      <c r="BD199" s="616">
        <f t="shared" si="154"/>
        <v>0</v>
      </c>
      <c r="BE199" s="616">
        <f t="shared" si="155"/>
        <v>0</v>
      </c>
      <c r="BF199" s="616">
        <f t="shared" si="156"/>
        <v>0</v>
      </c>
      <c r="BG199" s="616"/>
      <c r="BH199" s="615">
        <f t="shared" si="157"/>
        <v>0</v>
      </c>
      <c r="BI199" s="616">
        <f t="shared" si="158"/>
        <v>0</v>
      </c>
      <c r="BJ199" s="616">
        <f t="shared" si="159"/>
        <v>0</v>
      </c>
      <c r="BK199" s="616">
        <f t="shared" si="160"/>
        <v>0</v>
      </c>
      <c r="BL199" s="616">
        <f t="shared" si="161"/>
        <v>0</v>
      </c>
      <c r="BM199" s="616">
        <f t="shared" si="162"/>
        <v>0</v>
      </c>
      <c r="BN199" s="616">
        <f t="shared" si="163"/>
        <v>0</v>
      </c>
      <c r="BO199" s="616"/>
      <c r="BP199" s="304"/>
    </row>
    <row r="200" s="130" customFormat="1" ht="36" spans="1:68">
      <c r="A200" s="497" t="s">
        <v>202</v>
      </c>
      <c r="B200" s="497" t="s">
        <v>404</v>
      </c>
      <c r="C200" s="497" t="s">
        <v>464</v>
      </c>
      <c r="D200" s="497" t="s">
        <v>406</v>
      </c>
      <c r="E200" s="615">
        <f t="shared" si="182"/>
        <v>0</v>
      </c>
      <c r="F200" s="615">
        <f t="shared" si="202"/>
        <v>0</v>
      </c>
      <c r="G200" s="616"/>
      <c r="H200" s="616"/>
      <c r="I200" s="616"/>
      <c r="J200" s="616"/>
      <c r="K200" s="616"/>
      <c r="L200" s="616"/>
      <c r="M200" s="615">
        <f t="shared" si="184"/>
        <v>0</v>
      </c>
      <c r="N200" s="616"/>
      <c r="O200" s="616"/>
      <c r="P200" s="616"/>
      <c r="Q200" s="616"/>
      <c r="R200" s="615">
        <f t="shared" si="185"/>
        <v>0</v>
      </c>
      <c r="S200" s="615">
        <f t="shared" si="186"/>
        <v>0</v>
      </c>
      <c r="T200" s="616"/>
      <c r="U200" s="616"/>
      <c r="V200" s="616"/>
      <c r="W200" s="616"/>
      <c r="X200" s="616"/>
      <c r="Y200" s="616"/>
      <c r="Z200" s="615">
        <f t="shared" si="187"/>
        <v>0</v>
      </c>
      <c r="AA200" s="616"/>
      <c r="AB200" s="616"/>
      <c r="AC200" s="616"/>
      <c r="AD200" s="616"/>
      <c r="AE200" s="615">
        <f t="shared" si="203"/>
        <v>0</v>
      </c>
      <c r="AF200" s="615">
        <f t="shared" si="204"/>
        <v>0</v>
      </c>
      <c r="AG200" s="616">
        <f t="shared" si="205"/>
        <v>0</v>
      </c>
      <c r="AH200" s="616">
        <f t="shared" si="206"/>
        <v>0</v>
      </c>
      <c r="AI200" s="616">
        <f t="shared" si="207"/>
        <v>0</v>
      </c>
      <c r="AJ200" s="616">
        <f t="shared" si="208"/>
        <v>0</v>
      </c>
      <c r="AK200" s="616">
        <f t="shared" si="209"/>
        <v>0</v>
      </c>
      <c r="AL200" s="616">
        <f t="shared" si="210"/>
        <v>0</v>
      </c>
      <c r="AM200" s="615">
        <f t="shared" si="211"/>
        <v>0</v>
      </c>
      <c r="AN200" s="616">
        <f t="shared" si="212"/>
        <v>0</v>
      </c>
      <c r="AO200" s="616">
        <f t="shared" si="213"/>
        <v>0</v>
      </c>
      <c r="AP200" s="616">
        <f t="shared" si="214"/>
        <v>0</v>
      </c>
      <c r="AQ200" s="637">
        <f t="shared" si="215"/>
        <v>0</v>
      </c>
      <c r="AR200" s="638">
        <f t="shared" si="188"/>
        <v>0</v>
      </c>
      <c r="AS200" s="616">
        <f t="shared" si="144"/>
        <v>0</v>
      </c>
      <c r="AT200" s="616">
        <f t="shared" si="145"/>
        <v>0</v>
      </c>
      <c r="AU200" s="616">
        <f t="shared" si="146"/>
        <v>0</v>
      </c>
      <c r="AV200" s="616">
        <f t="shared" si="147"/>
        <v>0</v>
      </c>
      <c r="AW200" s="616">
        <f t="shared" si="148"/>
        <v>0</v>
      </c>
      <c r="AX200" s="616">
        <f t="shared" si="149"/>
        <v>0</v>
      </c>
      <c r="AY200" s="616"/>
      <c r="AZ200" s="615">
        <f t="shared" si="150"/>
        <v>0</v>
      </c>
      <c r="BA200" s="616">
        <f t="shared" si="151"/>
        <v>0</v>
      </c>
      <c r="BB200" s="616">
        <f t="shared" si="152"/>
        <v>0</v>
      </c>
      <c r="BC200" s="616">
        <f t="shared" si="153"/>
        <v>0</v>
      </c>
      <c r="BD200" s="616">
        <f t="shared" si="154"/>
        <v>0</v>
      </c>
      <c r="BE200" s="616">
        <f t="shared" si="155"/>
        <v>0</v>
      </c>
      <c r="BF200" s="616">
        <f t="shared" si="156"/>
        <v>0</v>
      </c>
      <c r="BG200" s="616"/>
      <c r="BH200" s="615">
        <f t="shared" si="157"/>
        <v>0</v>
      </c>
      <c r="BI200" s="616">
        <f t="shared" si="158"/>
        <v>0</v>
      </c>
      <c r="BJ200" s="616">
        <f t="shared" si="159"/>
        <v>0</v>
      </c>
      <c r="BK200" s="616">
        <f t="shared" si="160"/>
        <v>0</v>
      </c>
      <c r="BL200" s="616">
        <f t="shared" si="161"/>
        <v>0</v>
      </c>
      <c r="BM200" s="616">
        <f t="shared" si="162"/>
        <v>0</v>
      </c>
      <c r="BN200" s="616">
        <f t="shared" si="163"/>
        <v>0</v>
      </c>
      <c r="BO200" s="616"/>
      <c r="BP200" s="304"/>
    </row>
    <row r="201" s="130" customFormat="1" ht="24" spans="1:68">
      <c r="A201" s="497" t="s">
        <v>202</v>
      </c>
      <c r="B201" s="497" t="s">
        <v>400</v>
      </c>
      <c r="C201" s="497" t="s">
        <v>465</v>
      </c>
      <c r="D201" s="497" t="s">
        <v>441</v>
      </c>
      <c r="E201" s="615">
        <f t="shared" si="182"/>
        <v>0</v>
      </c>
      <c r="F201" s="615">
        <f t="shared" si="202"/>
        <v>0</v>
      </c>
      <c r="G201" s="616"/>
      <c r="H201" s="616"/>
      <c r="I201" s="616"/>
      <c r="J201" s="616"/>
      <c r="K201" s="616"/>
      <c r="L201" s="616"/>
      <c r="M201" s="615">
        <f t="shared" si="184"/>
        <v>0</v>
      </c>
      <c r="N201" s="616"/>
      <c r="O201" s="616"/>
      <c r="P201" s="616"/>
      <c r="Q201" s="616"/>
      <c r="R201" s="615">
        <f t="shared" si="185"/>
        <v>0</v>
      </c>
      <c r="S201" s="615">
        <f t="shared" si="186"/>
        <v>0</v>
      </c>
      <c r="T201" s="616"/>
      <c r="U201" s="616"/>
      <c r="V201" s="616"/>
      <c r="W201" s="616"/>
      <c r="X201" s="616"/>
      <c r="Y201" s="616"/>
      <c r="Z201" s="615">
        <f t="shared" si="187"/>
        <v>0</v>
      </c>
      <c r="AA201" s="616"/>
      <c r="AB201" s="616"/>
      <c r="AC201" s="616"/>
      <c r="AD201" s="616"/>
      <c r="AE201" s="615">
        <f t="shared" si="203"/>
        <v>0</v>
      </c>
      <c r="AF201" s="615">
        <f t="shared" si="204"/>
        <v>0</v>
      </c>
      <c r="AG201" s="616">
        <f t="shared" si="205"/>
        <v>0</v>
      </c>
      <c r="AH201" s="616">
        <f t="shared" si="206"/>
        <v>0</v>
      </c>
      <c r="AI201" s="616">
        <f t="shared" si="207"/>
        <v>0</v>
      </c>
      <c r="AJ201" s="616">
        <f t="shared" si="208"/>
        <v>0</v>
      </c>
      <c r="AK201" s="616">
        <f t="shared" si="209"/>
        <v>0</v>
      </c>
      <c r="AL201" s="616">
        <f t="shared" si="210"/>
        <v>0</v>
      </c>
      <c r="AM201" s="615">
        <f t="shared" si="211"/>
        <v>0</v>
      </c>
      <c r="AN201" s="616">
        <f t="shared" si="212"/>
        <v>0</v>
      </c>
      <c r="AO201" s="616">
        <f t="shared" si="213"/>
        <v>0</v>
      </c>
      <c r="AP201" s="616">
        <f t="shared" si="214"/>
        <v>0</v>
      </c>
      <c r="AQ201" s="637">
        <f t="shared" si="215"/>
        <v>0</v>
      </c>
      <c r="AR201" s="638">
        <f t="shared" si="188"/>
        <v>0</v>
      </c>
      <c r="AS201" s="616">
        <f t="shared" si="144"/>
        <v>0</v>
      </c>
      <c r="AT201" s="616">
        <f t="shared" si="145"/>
        <v>0</v>
      </c>
      <c r="AU201" s="616">
        <f t="shared" si="146"/>
        <v>0</v>
      </c>
      <c r="AV201" s="616">
        <f t="shared" si="147"/>
        <v>0</v>
      </c>
      <c r="AW201" s="616">
        <f t="shared" si="148"/>
        <v>0</v>
      </c>
      <c r="AX201" s="616">
        <f t="shared" si="149"/>
        <v>0</v>
      </c>
      <c r="AY201" s="616"/>
      <c r="AZ201" s="615">
        <f t="shared" si="150"/>
        <v>0</v>
      </c>
      <c r="BA201" s="616">
        <f t="shared" si="151"/>
        <v>0</v>
      </c>
      <c r="BB201" s="616">
        <f t="shared" si="152"/>
        <v>0</v>
      </c>
      <c r="BC201" s="616">
        <f t="shared" si="153"/>
        <v>0</v>
      </c>
      <c r="BD201" s="616">
        <f t="shared" si="154"/>
        <v>0</v>
      </c>
      <c r="BE201" s="616">
        <f t="shared" si="155"/>
        <v>0</v>
      </c>
      <c r="BF201" s="616">
        <f t="shared" si="156"/>
        <v>0</v>
      </c>
      <c r="BG201" s="616"/>
      <c r="BH201" s="615">
        <f t="shared" si="157"/>
        <v>0</v>
      </c>
      <c r="BI201" s="616">
        <f t="shared" si="158"/>
        <v>0</v>
      </c>
      <c r="BJ201" s="616">
        <f t="shared" si="159"/>
        <v>0</v>
      </c>
      <c r="BK201" s="616">
        <f t="shared" si="160"/>
        <v>0</v>
      </c>
      <c r="BL201" s="616">
        <f t="shared" si="161"/>
        <v>0</v>
      </c>
      <c r="BM201" s="616">
        <f t="shared" si="162"/>
        <v>0</v>
      </c>
      <c r="BN201" s="616">
        <f t="shared" si="163"/>
        <v>0</v>
      </c>
      <c r="BO201" s="616"/>
      <c r="BP201" s="304"/>
    </row>
    <row r="202" s="130" customFormat="1" ht="24" spans="1:68">
      <c r="A202" s="497" t="s">
        <v>202</v>
      </c>
      <c r="B202" s="497" t="s">
        <v>400</v>
      </c>
      <c r="C202" s="497" t="s">
        <v>466</v>
      </c>
      <c r="D202" s="497" t="s">
        <v>441</v>
      </c>
      <c r="E202" s="615">
        <f t="shared" si="182"/>
        <v>0</v>
      </c>
      <c r="F202" s="615">
        <f t="shared" si="202"/>
        <v>0</v>
      </c>
      <c r="G202" s="616"/>
      <c r="H202" s="616"/>
      <c r="I202" s="616"/>
      <c r="J202" s="616"/>
      <c r="K202" s="616"/>
      <c r="L202" s="616"/>
      <c r="M202" s="615">
        <f t="shared" si="184"/>
        <v>0</v>
      </c>
      <c r="N202" s="616"/>
      <c r="O202" s="616"/>
      <c r="P202" s="616"/>
      <c r="Q202" s="616"/>
      <c r="R202" s="615">
        <f t="shared" si="185"/>
        <v>0</v>
      </c>
      <c r="S202" s="615">
        <f t="shared" si="186"/>
        <v>0</v>
      </c>
      <c r="T202" s="616"/>
      <c r="U202" s="616"/>
      <c r="V202" s="616"/>
      <c r="W202" s="616"/>
      <c r="X202" s="616"/>
      <c r="Y202" s="616"/>
      <c r="Z202" s="615">
        <f t="shared" si="187"/>
        <v>0</v>
      </c>
      <c r="AA202" s="616"/>
      <c r="AB202" s="616"/>
      <c r="AC202" s="616"/>
      <c r="AD202" s="616"/>
      <c r="AE202" s="615">
        <f t="shared" si="203"/>
        <v>0</v>
      </c>
      <c r="AF202" s="615">
        <f t="shared" si="204"/>
        <v>0</v>
      </c>
      <c r="AG202" s="616">
        <f t="shared" si="205"/>
        <v>0</v>
      </c>
      <c r="AH202" s="616">
        <f t="shared" si="206"/>
        <v>0</v>
      </c>
      <c r="AI202" s="616">
        <f t="shared" si="207"/>
        <v>0</v>
      </c>
      <c r="AJ202" s="616">
        <f t="shared" si="208"/>
        <v>0</v>
      </c>
      <c r="AK202" s="616">
        <f t="shared" si="209"/>
        <v>0</v>
      </c>
      <c r="AL202" s="616">
        <f t="shared" si="210"/>
        <v>0</v>
      </c>
      <c r="AM202" s="615">
        <f t="shared" si="211"/>
        <v>0</v>
      </c>
      <c r="AN202" s="616">
        <f t="shared" si="212"/>
        <v>0</v>
      </c>
      <c r="AO202" s="616">
        <f t="shared" si="213"/>
        <v>0</v>
      </c>
      <c r="AP202" s="616">
        <f t="shared" si="214"/>
        <v>0</v>
      </c>
      <c r="AQ202" s="637">
        <f t="shared" si="215"/>
        <v>0</v>
      </c>
      <c r="AR202" s="638">
        <f t="shared" si="188"/>
        <v>0</v>
      </c>
      <c r="AS202" s="616">
        <f t="shared" si="144"/>
        <v>0</v>
      </c>
      <c r="AT202" s="616">
        <f t="shared" si="145"/>
        <v>0</v>
      </c>
      <c r="AU202" s="616">
        <f t="shared" si="146"/>
        <v>0</v>
      </c>
      <c r="AV202" s="616">
        <f t="shared" si="147"/>
        <v>0</v>
      </c>
      <c r="AW202" s="616">
        <f t="shared" si="148"/>
        <v>0</v>
      </c>
      <c r="AX202" s="616">
        <f t="shared" si="149"/>
        <v>0</v>
      </c>
      <c r="AY202" s="616"/>
      <c r="AZ202" s="615">
        <f t="shared" si="150"/>
        <v>0</v>
      </c>
      <c r="BA202" s="616">
        <f t="shared" si="151"/>
        <v>0</v>
      </c>
      <c r="BB202" s="616">
        <f t="shared" si="152"/>
        <v>0</v>
      </c>
      <c r="BC202" s="616">
        <f t="shared" si="153"/>
        <v>0</v>
      </c>
      <c r="BD202" s="616">
        <f t="shared" si="154"/>
        <v>0</v>
      </c>
      <c r="BE202" s="616">
        <f t="shared" si="155"/>
        <v>0</v>
      </c>
      <c r="BF202" s="616">
        <f t="shared" si="156"/>
        <v>0</v>
      </c>
      <c r="BG202" s="616"/>
      <c r="BH202" s="615">
        <f t="shared" si="157"/>
        <v>0</v>
      </c>
      <c r="BI202" s="616">
        <f t="shared" si="158"/>
        <v>0</v>
      </c>
      <c r="BJ202" s="616">
        <f t="shared" si="159"/>
        <v>0</v>
      </c>
      <c r="BK202" s="616">
        <f t="shared" si="160"/>
        <v>0</v>
      </c>
      <c r="BL202" s="616">
        <f t="shared" si="161"/>
        <v>0</v>
      </c>
      <c r="BM202" s="616">
        <f t="shared" si="162"/>
        <v>0</v>
      </c>
      <c r="BN202" s="616">
        <f t="shared" si="163"/>
        <v>0</v>
      </c>
      <c r="BO202" s="616"/>
      <c r="BP202" s="304"/>
    </row>
    <row r="203" s="130" customFormat="1" ht="36" spans="1:68">
      <c r="A203" s="497" t="s">
        <v>202</v>
      </c>
      <c r="B203" s="497" t="s">
        <v>206</v>
      </c>
      <c r="C203" s="497" t="s">
        <v>467</v>
      </c>
      <c r="D203" s="497" t="s">
        <v>468</v>
      </c>
      <c r="E203" s="615">
        <f t="shared" si="182"/>
        <v>0</v>
      </c>
      <c r="F203" s="615">
        <f t="shared" si="202"/>
        <v>0</v>
      </c>
      <c r="G203" s="616"/>
      <c r="H203" s="616"/>
      <c r="I203" s="616"/>
      <c r="J203" s="616"/>
      <c r="K203" s="616"/>
      <c r="L203" s="616"/>
      <c r="M203" s="615">
        <f t="shared" si="184"/>
        <v>0</v>
      </c>
      <c r="N203" s="616"/>
      <c r="O203" s="616"/>
      <c r="P203" s="616"/>
      <c r="Q203" s="616"/>
      <c r="R203" s="615">
        <f t="shared" si="185"/>
        <v>0</v>
      </c>
      <c r="S203" s="615">
        <f t="shared" si="186"/>
        <v>0</v>
      </c>
      <c r="T203" s="616"/>
      <c r="U203" s="616"/>
      <c r="V203" s="616"/>
      <c r="W203" s="616"/>
      <c r="X203" s="616"/>
      <c r="Y203" s="616"/>
      <c r="Z203" s="615">
        <f t="shared" si="187"/>
        <v>0</v>
      </c>
      <c r="AA203" s="616"/>
      <c r="AB203" s="616"/>
      <c r="AC203" s="616"/>
      <c r="AD203" s="616"/>
      <c r="AE203" s="615">
        <f t="shared" si="203"/>
        <v>0</v>
      </c>
      <c r="AF203" s="615">
        <f t="shared" si="204"/>
        <v>0</v>
      </c>
      <c r="AG203" s="616">
        <f t="shared" si="205"/>
        <v>0</v>
      </c>
      <c r="AH203" s="616">
        <f t="shared" si="206"/>
        <v>0</v>
      </c>
      <c r="AI203" s="616">
        <f t="shared" si="207"/>
        <v>0</v>
      </c>
      <c r="AJ203" s="616">
        <f t="shared" si="208"/>
        <v>0</v>
      </c>
      <c r="AK203" s="616">
        <f t="shared" si="209"/>
        <v>0</v>
      </c>
      <c r="AL203" s="616">
        <f t="shared" si="210"/>
        <v>0</v>
      </c>
      <c r="AM203" s="615">
        <f t="shared" si="211"/>
        <v>0</v>
      </c>
      <c r="AN203" s="616">
        <f t="shared" si="212"/>
        <v>0</v>
      </c>
      <c r="AO203" s="616">
        <f t="shared" si="213"/>
        <v>0</v>
      </c>
      <c r="AP203" s="616">
        <f t="shared" si="214"/>
        <v>0</v>
      </c>
      <c r="AQ203" s="637">
        <f t="shared" si="215"/>
        <v>0</v>
      </c>
      <c r="AR203" s="638">
        <f t="shared" si="188"/>
        <v>0</v>
      </c>
      <c r="AS203" s="616">
        <f t="shared" ref="AS203:AS209" si="216">(G203+H203+I203+L203)*0.16</f>
        <v>0</v>
      </c>
      <c r="AT203" s="616">
        <f t="shared" ref="AT203:AT209" si="217">(G203+H203)*0.08</f>
        <v>0</v>
      </c>
      <c r="AU203" s="616">
        <f t="shared" ref="AU203:AU209" si="218">(G203+H203)*0.06</f>
        <v>0</v>
      </c>
      <c r="AV203" s="616">
        <f t="shared" ref="AV203:AV209" si="219">(G203+H203)*0.002</f>
        <v>0</v>
      </c>
      <c r="AW203" s="616">
        <f t="shared" ref="AW203:AW209" si="220">(G203+H203)*0.006</f>
        <v>0</v>
      </c>
      <c r="AX203" s="616">
        <f t="shared" ref="AX203:AX209" si="221">(G203+H203)*0.12</f>
        <v>0</v>
      </c>
      <c r="AY203" s="616"/>
      <c r="AZ203" s="615">
        <f t="shared" ref="AZ203:AZ209" si="222">SUM(BA203:BG203)</f>
        <v>0</v>
      </c>
      <c r="BA203" s="616">
        <f t="shared" ref="BA203:BA209" si="223">(T203+U203+V203+Y203)*0.16</f>
        <v>0</v>
      </c>
      <c r="BB203" s="616">
        <f t="shared" ref="BB203:BB209" si="224">(T203+U203)*0.08</f>
        <v>0</v>
      </c>
      <c r="BC203" s="616">
        <f t="shared" ref="BC203:BC209" si="225">(T203+U203)*0.06</f>
        <v>0</v>
      </c>
      <c r="BD203" s="616">
        <f t="shared" ref="BD203:BD209" si="226">(T203+U203)*0.002</f>
        <v>0</v>
      </c>
      <c r="BE203" s="616">
        <f t="shared" ref="BE203:BE209" si="227">(T203+U203)*0.006</f>
        <v>0</v>
      </c>
      <c r="BF203" s="616">
        <f t="shared" ref="BF203:BF209" si="228">(T203+U203)*0.12</f>
        <v>0</v>
      </c>
      <c r="BG203" s="616"/>
      <c r="BH203" s="615">
        <f t="shared" ref="BH203:BH209" si="229">SUM(BI203:BO203)</f>
        <v>0</v>
      </c>
      <c r="BI203" s="616">
        <f t="shared" ref="BI203:BI209" si="230">(AG203+AH203+AI203+AL203)*0.16</f>
        <v>0</v>
      </c>
      <c r="BJ203" s="616">
        <f t="shared" ref="BJ203:BJ209" si="231">(AG203+AH203)*0.08</f>
        <v>0</v>
      </c>
      <c r="BK203" s="616">
        <f t="shared" ref="BK203:BK209" si="232">(AG203+AH203)*0.06</f>
        <v>0</v>
      </c>
      <c r="BL203" s="616">
        <f t="shared" ref="BL203:BL209" si="233">(AG203+AH203)*0.002</f>
        <v>0</v>
      </c>
      <c r="BM203" s="616">
        <f t="shared" ref="BM203:BM209" si="234">(AG203+AH203)*0.006</f>
        <v>0</v>
      </c>
      <c r="BN203" s="616">
        <f t="shared" ref="BN203:BN209" si="235">(AG203+AH203)*0.12</f>
        <v>0</v>
      </c>
      <c r="BO203" s="616"/>
      <c r="BP203" s="304"/>
    </row>
    <row r="204" s="130" customFormat="1" ht="36" spans="1:68">
      <c r="A204" s="497" t="s">
        <v>202</v>
      </c>
      <c r="B204" s="497" t="s">
        <v>206</v>
      </c>
      <c r="C204" s="497" t="s">
        <v>469</v>
      </c>
      <c r="D204" s="497" t="s">
        <v>468</v>
      </c>
      <c r="E204" s="615">
        <f t="shared" si="182"/>
        <v>0</v>
      </c>
      <c r="F204" s="615">
        <f t="shared" si="202"/>
        <v>0</v>
      </c>
      <c r="G204" s="616"/>
      <c r="H204" s="616"/>
      <c r="I204" s="616"/>
      <c r="J204" s="616"/>
      <c r="K204" s="616"/>
      <c r="L204" s="616"/>
      <c r="M204" s="615">
        <f t="shared" si="184"/>
        <v>0</v>
      </c>
      <c r="N204" s="616"/>
      <c r="O204" s="616"/>
      <c r="P204" s="616"/>
      <c r="Q204" s="616"/>
      <c r="R204" s="615">
        <f t="shared" si="185"/>
        <v>0</v>
      </c>
      <c r="S204" s="615">
        <f t="shared" si="186"/>
        <v>0</v>
      </c>
      <c r="T204" s="616"/>
      <c r="U204" s="616"/>
      <c r="V204" s="616"/>
      <c r="W204" s="616"/>
      <c r="X204" s="616"/>
      <c r="Y204" s="616"/>
      <c r="Z204" s="615">
        <f t="shared" si="187"/>
        <v>0</v>
      </c>
      <c r="AA204" s="616"/>
      <c r="AB204" s="616"/>
      <c r="AC204" s="616"/>
      <c r="AD204" s="616"/>
      <c r="AE204" s="615">
        <f t="shared" si="203"/>
        <v>0</v>
      </c>
      <c r="AF204" s="615">
        <f t="shared" si="204"/>
        <v>0</v>
      </c>
      <c r="AG204" s="616">
        <f t="shared" si="205"/>
        <v>0</v>
      </c>
      <c r="AH204" s="616">
        <f t="shared" si="206"/>
        <v>0</v>
      </c>
      <c r="AI204" s="616">
        <f t="shared" si="207"/>
        <v>0</v>
      </c>
      <c r="AJ204" s="616">
        <f t="shared" si="208"/>
        <v>0</v>
      </c>
      <c r="AK204" s="616">
        <f t="shared" si="209"/>
        <v>0</v>
      </c>
      <c r="AL204" s="616">
        <f t="shared" si="210"/>
        <v>0</v>
      </c>
      <c r="AM204" s="615">
        <f t="shared" si="211"/>
        <v>0</v>
      </c>
      <c r="AN204" s="616">
        <f t="shared" si="212"/>
        <v>0</v>
      </c>
      <c r="AO204" s="616">
        <f t="shared" si="213"/>
        <v>0</v>
      </c>
      <c r="AP204" s="616">
        <f t="shared" si="214"/>
        <v>0</v>
      </c>
      <c r="AQ204" s="637">
        <f t="shared" si="215"/>
        <v>0</v>
      </c>
      <c r="AR204" s="638">
        <f t="shared" si="188"/>
        <v>0</v>
      </c>
      <c r="AS204" s="616">
        <f t="shared" si="216"/>
        <v>0</v>
      </c>
      <c r="AT204" s="616">
        <f t="shared" si="217"/>
        <v>0</v>
      </c>
      <c r="AU204" s="616">
        <f t="shared" si="218"/>
        <v>0</v>
      </c>
      <c r="AV204" s="616">
        <f t="shared" si="219"/>
        <v>0</v>
      </c>
      <c r="AW204" s="616">
        <f t="shared" si="220"/>
        <v>0</v>
      </c>
      <c r="AX204" s="616">
        <f t="shared" si="221"/>
        <v>0</v>
      </c>
      <c r="AY204" s="616"/>
      <c r="AZ204" s="615">
        <f t="shared" si="222"/>
        <v>0</v>
      </c>
      <c r="BA204" s="616">
        <f t="shared" si="223"/>
        <v>0</v>
      </c>
      <c r="BB204" s="616">
        <f t="shared" si="224"/>
        <v>0</v>
      </c>
      <c r="BC204" s="616">
        <f t="shared" si="225"/>
        <v>0</v>
      </c>
      <c r="BD204" s="616">
        <f t="shared" si="226"/>
        <v>0</v>
      </c>
      <c r="BE204" s="616">
        <f t="shared" si="227"/>
        <v>0</v>
      </c>
      <c r="BF204" s="616">
        <f t="shared" si="228"/>
        <v>0</v>
      </c>
      <c r="BG204" s="616"/>
      <c r="BH204" s="615">
        <f t="shared" si="229"/>
        <v>0</v>
      </c>
      <c r="BI204" s="616">
        <f t="shared" si="230"/>
        <v>0</v>
      </c>
      <c r="BJ204" s="616">
        <f t="shared" si="231"/>
        <v>0</v>
      </c>
      <c r="BK204" s="616">
        <f t="shared" si="232"/>
        <v>0</v>
      </c>
      <c r="BL204" s="616">
        <f t="shared" si="233"/>
        <v>0</v>
      </c>
      <c r="BM204" s="616">
        <f t="shared" si="234"/>
        <v>0</v>
      </c>
      <c r="BN204" s="616">
        <f t="shared" si="235"/>
        <v>0</v>
      </c>
      <c r="BO204" s="616"/>
      <c r="BP204" s="304"/>
    </row>
    <row r="205" s="130" customFormat="1" ht="24" spans="1:68">
      <c r="A205" s="497" t="s">
        <v>202</v>
      </c>
      <c r="B205" s="497" t="s">
        <v>203</v>
      </c>
      <c r="C205" s="497" t="s">
        <v>470</v>
      </c>
      <c r="D205" s="497" t="s">
        <v>471</v>
      </c>
      <c r="E205" s="615">
        <f t="shared" si="182"/>
        <v>37.89</v>
      </c>
      <c r="F205" s="615">
        <f t="shared" si="202"/>
        <v>34.74</v>
      </c>
      <c r="G205" s="616">
        <v>13.66</v>
      </c>
      <c r="H205" s="616">
        <v>8.52</v>
      </c>
      <c r="I205" s="616">
        <v>1.57</v>
      </c>
      <c r="J205" s="616"/>
      <c r="K205" s="616"/>
      <c r="L205" s="616">
        <v>10.99</v>
      </c>
      <c r="M205" s="615">
        <f t="shared" si="184"/>
        <v>3.15</v>
      </c>
      <c r="N205" s="616"/>
      <c r="O205" s="616"/>
      <c r="P205" s="616">
        <v>1.65</v>
      </c>
      <c r="Q205" s="616">
        <v>1.5</v>
      </c>
      <c r="R205" s="615">
        <f t="shared" si="185"/>
        <v>0.11</v>
      </c>
      <c r="S205" s="615">
        <f t="shared" si="186"/>
        <v>-1.26</v>
      </c>
      <c r="T205" s="616">
        <v>-1.18</v>
      </c>
      <c r="U205" s="616"/>
      <c r="V205" s="616"/>
      <c r="W205" s="616"/>
      <c r="X205" s="616"/>
      <c r="Y205" s="616">
        <v>-0.08</v>
      </c>
      <c r="Z205" s="615">
        <f t="shared" si="187"/>
        <v>1.37</v>
      </c>
      <c r="AA205" s="616"/>
      <c r="AB205" s="616"/>
      <c r="AC205" s="616">
        <v>0.53</v>
      </c>
      <c r="AD205" s="616">
        <v>0.84</v>
      </c>
      <c r="AE205" s="615">
        <f t="shared" si="203"/>
        <v>38</v>
      </c>
      <c r="AF205" s="615">
        <f t="shared" si="204"/>
        <v>33.48</v>
      </c>
      <c r="AG205" s="616">
        <f t="shared" si="205"/>
        <v>12.48</v>
      </c>
      <c r="AH205" s="616">
        <f t="shared" si="206"/>
        <v>8.52</v>
      </c>
      <c r="AI205" s="616">
        <f t="shared" si="207"/>
        <v>1.57</v>
      </c>
      <c r="AJ205" s="616">
        <f t="shared" si="208"/>
        <v>0</v>
      </c>
      <c r="AK205" s="616">
        <f t="shared" si="209"/>
        <v>0</v>
      </c>
      <c r="AL205" s="616">
        <f t="shared" si="210"/>
        <v>10.91</v>
      </c>
      <c r="AM205" s="615">
        <f t="shared" si="211"/>
        <v>4.52</v>
      </c>
      <c r="AN205" s="616">
        <f t="shared" si="212"/>
        <v>0</v>
      </c>
      <c r="AO205" s="616">
        <f t="shared" si="213"/>
        <v>0</v>
      </c>
      <c r="AP205" s="616">
        <f t="shared" si="214"/>
        <v>2.18</v>
      </c>
      <c r="AQ205" s="637">
        <f t="shared" si="215"/>
        <v>2.34</v>
      </c>
      <c r="AR205" s="638">
        <f t="shared" si="188"/>
        <v>11.50264</v>
      </c>
      <c r="AS205" s="616">
        <f t="shared" si="216"/>
        <v>5.5584</v>
      </c>
      <c r="AT205" s="616">
        <f t="shared" si="217"/>
        <v>1.7744</v>
      </c>
      <c r="AU205" s="616">
        <f t="shared" si="218"/>
        <v>1.3308</v>
      </c>
      <c r="AV205" s="616">
        <f t="shared" si="219"/>
        <v>0.04436</v>
      </c>
      <c r="AW205" s="616">
        <f t="shared" si="220"/>
        <v>0.13308</v>
      </c>
      <c r="AX205" s="616">
        <f t="shared" si="221"/>
        <v>2.6616</v>
      </c>
      <c r="AY205" s="616"/>
      <c r="AZ205" s="615">
        <f t="shared" si="222"/>
        <v>-0.51784</v>
      </c>
      <c r="BA205" s="616">
        <f t="shared" si="223"/>
        <v>-0.2016</v>
      </c>
      <c r="BB205" s="616">
        <f t="shared" si="224"/>
        <v>-0.0944</v>
      </c>
      <c r="BC205" s="616">
        <f t="shared" si="225"/>
        <v>-0.0708</v>
      </c>
      <c r="BD205" s="616">
        <f t="shared" si="226"/>
        <v>-0.00236</v>
      </c>
      <c r="BE205" s="616">
        <f t="shared" si="227"/>
        <v>-0.00708</v>
      </c>
      <c r="BF205" s="616">
        <f t="shared" si="228"/>
        <v>-0.1416</v>
      </c>
      <c r="BG205" s="616"/>
      <c r="BH205" s="615">
        <f t="shared" si="229"/>
        <v>10.9848</v>
      </c>
      <c r="BI205" s="616">
        <f t="shared" si="230"/>
        <v>5.3568</v>
      </c>
      <c r="BJ205" s="616">
        <f t="shared" si="231"/>
        <v>1.68</v>
      </c>
      <c r="BK205" s="616">
        <f t="shared" si="232"/>
        <v>1.26</v>
      </c>
      <c r="BL205" s="616">
        <f t="shared" si="233"/>
        <v>0.042</v>
      </c>
      <c r="BM205" s="616">
        <f t="shared" si="234"/>
        <v>0.126</v>
      </c>
      <c r="BN205" s="616">
        <f t="shared" si="235"/>
        <v>2.52</v>
      </c>
      <c r="BO205" s="616"/>
      <c r="BP205" s="304"/>
    </row>
    <row r="206" s="130" customFormat="1" ht="36" spans="1:68">
      <c r="A206" s="497" t="s">
        <v>202</v>
      </c>
      <c r="B206" s="497" t="s">
        <v>206</v>
      </c>
      <c r="C206" s="497" t="s">
        <v>472</v>
      </c>
      <c r="D206" s="497" t="s">
        <v>473</v>
      </c>
      <c r="E206" s="615">
        <f t="shared" si="182"/>
        <v>0</v>
      </c>
      <c r="F206" s="615">
        <f t="shared" si="202"/>
        <v>0</v>
      </c>
      <c r="G206" s="616"/>
      <c r="H206" s="616"/>
      <c r="I206" s="616"/>
      <c r="J206" s="616"/>
      <c r="K206" s="616"/>
      <c r="L206" s="616"/>
      <c r="M206" s="615">
        <f t="shared" si="184"/>
        <v>0</v>
      </c>
      <c r="N206" s="616"/>
      <c r="O206" s="616"/>
      <c r="P206" s="616"/>
      <c r="Q206" s="616"/>
      <c r="R206" s="615">
        <f t="shared" si="185"/>
        <v>0</v>
      </c>
      <c r="S206" s="615">
        <f t="shared" si="186"/>
        <v>0</v>
      </c>
      <c r="T206" s="616"/>
      <c r="U206" s="616"/>
      <c r="V206" s="616"/>
      <c r="W206" s="616"/>
      <c r="X206" s="616"/>
      <c r="Y206" s="616"/>
      <c r="Z206" s="615">
        <f t="shared" si="187"/>
        <v>0</v>
      </c>
      <c r="AA206" s="616"/>
      <c r="AB206" s="616"/>
      <c r="AC206" s="616"/>
      <c r="AD206" s="616"/>
      <c r="AE206" s="615">
        <f t="shared" si="203"/>
        <v>0</v>
      </c>
      <c r="AF206" s="615">
        <f t="shared" si="204"/>
        <v>0</v>
      </c>
      <c r="AG206" s="616">
        <f t="shared" si="205"/>
        <v>0</v>
      </c>
      <c r="AH206" s="616">
        <f t="shared" si="206"/>
        <v>0</v>
      </c>
      <c r="AI206" s="616">
        <f t="shared" si="207"/>
        <v>0</v>
      </c>
      <c r="AJ206" s="616">
        <f t="shared" si="208"/>
        <v>0</v>
      </c>
      <c r="AK206" s="616">
        <f t="shared" si="209"/>
        <v>0</v>
      </c>
      <c r="AL206" s="616">
        <f t="shared" si="210"/>
        <v>0</v>
      </c>
      <c r="AM206" s="615">
        <f t="shared" si="211"/>
        <v>0</v>
      </c>
      <c r="AN206" s="616">
        <f t="shared" si="212"/>
        <v>0</v>
      </c>
      <c r="AO206" s="616">
        <f t="shared" si="213"/>
        <v>0</v>
      </c>
      <c r="AP206" s="616">
        <f t="shared" si="214"/>
        <v>0</v>
      </c>
      <c r="AQ206" s="637">
        <f t="shared" si="215"/>
        <v>0</v>
      </c>
      <c r="AR206" s="638">
        <f t="shared" si="188"/>
        <v>0</v>
      </c>
      <c r="AS206" s="616">
        <f t="shared" si="216"/>
        <v>0</v>
      </c>
      <c r="AT206" s="616">
        <f t="shared" si="217"/>
        <v>0</v>
      </c>
      <c r="AU206" s="616">
        <f t="shared" si="218"/>
        <v>0</v>
      </c>
      <c r="AV206" s="616">
        <f t="shared" si="219"/>
        <v>0</v>
      </c>
      <c r="AW206" s="616">
        <f t="shared" si="220"/>
        <v>0</v>
      </c>
      <c r="AX206" s="616">
        <f t="shared" si="221"/>
        <v>0</v>
      </c>
      <c r="AY206" s="616"/>
      <c r="AZ206" s="615">
        <f t="shared" si="222"/>
        <v>0</v>
      </c>
      <c r="BA206" s="616">
        <f t="shared" si="223"/>
        <v>0</v>
      </c>
      <c r="BB206" s="616">
        <f t="shared" si="224"/>
        <v>0</v>
      </c>
      <c r="BC206" s="616">
        <f t="shared" si="225"/>
        <v>0</v>
      </c>
      <c r="BD206" s="616">
        <f t="shared" si="226"/>
        <v>0</v>
      </c>
      <c r="BE206" s="616">
        <f t="shared" si="227"/>
        <v>0</v>
      </c>
      <c r="BF206" s="616">
        <f t="shared" si="228"/>
        <v>0</v>
      </c>
      <c r="BG206" s="616"/>
      <c r="BH206" s="615">
        <f t="shared" si="229"/>
        <v>0</v>
      </c>
      <c r="BI206" s="616">
        <f t="shared" si="230"/>
        <v>0</v>
      </c>
      <c r="BJ206" s="616">
        <f t="shared" si="231"/>
        <v>0</v>
      </c>
      <c r="BK206" s="616">
        <f t="shared" si="232"/>
        <v>0</v>
      </c>
      <c r="BL206" s="616">
        <f t="shared" si="233"/>
        <v>0</v>
      </c>
      <c r="BM206" s="616">
        <f t="shared" si="234"/>
        <v>0</v>
      </c>
      <c r="BN206" s="616">
        <f t="shared" si="235"/>
        <v>0</v>
      </c>
      <c r="BO206" s="616"/>
      <c r="BP206" s="304"/>
    </row>
    <row r="207" s="508" customFormat="1" ht="21" customHeight="1" spans="1:69">
      <c r="A207" s="647"/>
      <c r="B207" s="647"/>
      <c r="C207" s="647" t="s">
        <v>130</v>
      </c>
      <c r="D207" s="648">
        <v>206</v>
      </c>
      <c r="E207" s="612">
        <f>SUM(E208:E211)</f>
        <v>90.45</v>
      </c>
      <c r="F207" s="612">
        <f t="shared" ref="F207:AK207" si="236">SUM(F208:F211)</f>
        <v>83.1</v>
      </c>
      <c r="G207" s="612">
        <f t="shared" si="236"/>
        <v>33.15</v>
      </c>
      <c r="H207" s="612">
        <f t="shared" si="236"/>
        <v>21.19</v>
      </c>
      <c r="I207" s="612">
        <f t="shared" si="236"/>
        <v>2.76</v>
      </c>
      <c r="J207" s="612">
        <f t="shared" si="236"/>
        <v>0</v>
      </c>
      <c r="K207" s="612">
        <f t="shared" si="236"/>
        <v>0</v>
      </c>
      <c r="L207" s="612">
        <f t="shared" si="236"/>
        <v>26</v>
      </c>
      <c r="M207" s="612">
        <f t="shared" si="236"/>
        <v>7.35</v>
      </c>
      <c r="N207" s="612">
        <f t="shared" si="236"/>
        <v>0</v>
      </c>
      <c r="O207" s="612">
        <f t="shared" si="236"/>
        <v>0</v>
      </c>
      <c r="P207" s="612">
        <f t="shared" si="236"/>
        <v>3.85</v>
      </c>
      <c r="Q207" s="612">
        <f t="shared" si="236"/>
        <v>3.5</v>
      </c>
      <c r="R207" s="612">
        <f t="shared" si="236"/>
        <v>132.41</v>
      </c>
      <c r="S207" s="612">
        <f t="shared" si="236"/>
        <v>116.97</v>
      </c>
      <c r="T207" s="612">
        <f t="shared" si="236"/>
        <v>45.58</v>
      </c>
      <c r="U207" s="612">
        <f t="shared" si="236"/>
        <v>31.54</v>
      </c>
      <c r="V207" s="612">
        <f t="shared" si="236"/>
        <v>4.76</v>
      </c>
      <c r="W207" s="612">
        <f t="shared" si="236"/>
        <v>0</v>
      </c>
      <c r="X207" s="612">
        <f t="shared" si="236"/>
        <v>0</v>
      </c>
      <c r="Y207" s="612">
        <f t="shared" si="236"/>
        <v>35.09</v>
      </c>
      <c r="Z207" s="612">
        <f t="shared" si="236"/>
        <v>15.44</v>
      </c>
      <c r="AA207" s="612">
        <f t="shared" si="236"/>
        <v>0</v>
      </c>
      <c r="AB207" s="612">
        <f t="shared" si="236"/>
        <v>0.75</v>
      </c>
      <c r="AC207" s="612">
        <f t="shared" si="236"/>
        <v>8.19</v>
      </c>
      <c r="AD207" s="612">
        <f t="shared" si="236"/>
        <v>6.5</v>
      </c>
      <c r="AE207" s="612">
        <f t="shared" si="236"/>
        <v>222.86</v>
      </c>
      <c r="AF207" s="612">
        <f t="shared" si="236"/>
        <v>200.07</v>
      </c>
      <c r="AG207" s="612">
        <f t="shared" si="236"/>
        <v>78.73</v>
      </c>
      <c r="AH207" s="612">
        <f t="shared" si="236"/>
        <v>52.73</v>
      </c>
      <c r="AI207" s="612">
        <f t="shared" si="236"/>
        <v>7.52</v>
      </c>
      <c r="AJ207" s="612">
        <f t="shared" si="236"/>
        <v>0</v>
      </c>
      <c r="AK207" s="612">
        <f t="shared" si="236"/>
        <v>0</v>
      </c>
      <c r="AL207" s="612">
        <f t="shared" ref="AL207:BO207" si="237">SUM(AL208:AL211)</f>
        <v>61.09</v>
      </c>
      <c r="AM207" s="612">
        <f t="shared" si="237"/>
        <v>22.79</v>
      </c>
      <c r="AN207" s="612">
        <f t="shared" si="237"/>
        <v>0</v>
      </c>
      <c r="AO207" s="612">
        <f t="shared" si="237"/>
        <v>0.75</v>
      </c>
      <c r="AP207" s="612">
        <f t="shared" si="237"/>
        <v>12.04</v>
      </c>
      <c r="AQ207" s="612">
        <f t="shared" si="237"/>
        <v>10</v>
      </c>
      <c r="AR207" s="636">
        <f t="shared" si="237"/>
        <v>27.85912</v>
      </c>
      <c r="AS207" s="612">
        <f t="shared" si="237"/>
        <v>13.296</v>
      </c>
      <c r="AT207" s="612">
        <f t="shared" si="237"/>
        <v>4.3472</v>
      </c>
      <c r="AU207" s="612">
        <f t="shared" si="237"/>
        <v>3.2604</v>
      </c>
      <c r="AV207" s="612">
        <f t="shared" si="237"/>
        <v>0.10868</v>
      </c>
      <c r="AW207" s="612">
        <f t="shared" si="237"/>
        <v>0.32604</v>
      </c>
      <c r="AX207" s="612">
        <f t="shared" si="237"/>
        <v>6.5208</v>
      </c>
      <c r="AY207" s="612">
        <f t="shared" si="237"/>
        <v>0</v>
      </c>
      <c r="AZ207" s="612">
        <f t="shared" si="237"/>
        <v>39.38336</v>
      </c>
      <c r="BA207" s="612">
        <f t="shared" si="237"/>
        <v>18.7152</v>
      </c>
      <c r="BB207" s="612">
        <f t="shared" si="237"/>
        <v>6.1696</v>
      </c>
      <c r="BC207" s="612">
        <f t="shared" si="237"/>
        <v>4.6272</v>
      </c>
      <c r="BD207" s="612">
        <f t="shared" si="237"/>
        <v>0.15424</v>
      </c>
      <c r="BE207" s="612">
        <f t="shared" si="237"/>
        <v>0.46272</v>
      </c>
      <c r="BF207" s="612">
        <f t="shared" si="237"/>
        <v>9.2544</v>
      </c>
      <c r="BG207" s="612">
        <f t="shared" si="237"/>
        <v>0</v>
      </c>
      <c r="BH207" s="612">
        <f t="shared" si="237"/>
        <v>67.24248</v>
      </c>
      <c r="BI207" s="612">
        <f t="shared" si="237"/>
        <v>32.0112</v>
      </c>
      <c r="BJ207" s="612">
        <f t="shared" si="237"/>
        <v>10.5168</v>
      </c>
      <c r="BK207" s="612">
        <f t="shared" si="237"/>
        <v>7.8876</v>
      </c>
      <c r="BL207" s="612">
        <f t="shared" si="237"/>
        <v>0.26292</v>
      </c>
      <c r="BM207" s="612">
        <f t="shared" si="237"/>
        <v>0.78876</v>
      </c>
      <c r="BN207" s="612">
        <f t="shared" si="237"/>
        <v>15.7752</v>
      </c>
      <c r="BO207" s="612">
        <f t="shared" si="237"/>
        <v>0</v>
      </c>
      <c r="BP207" s="334"/>
      <c r="BQ207" s="580"/>
    </row>
    <row r="208" s="130" customFormat="1" ht="26" customHeight="1" spans="1:68">
      <c r="A208" s="497" t="s">
        <v>215</v>
      </c>
      <c r="B208" s="497" t="s">
        <v>203</v>
      </c>
      <c r="C208" s="497" t="s">
        <v>293</v>
      </c>
      <c r="D208" s="645" t="s">
        <v>474</v>
      </c>
      <c r="E208" s="615">
        <f>F208+M208</f>
        <v>0</v>
      </c>
      <c r="F208" s="615">
        <f>SUM(G208:L208)</f>
        <v>0</v>
      </c>
      <c r="G208" s="616"/>
      <c r="H208" s="616"/>
      <c r="I208" s="616"/>
      <c r="J208" s="616"/>
      <c r="K208" s="616"/>
      <c r="L208" s="616"/>
      <c r="M208" s="615">
        <f>SUM(N208:Q208)</f>
        <v>0</v>
      </c>
      <c r="N208" s="616"/>
      <c r="O208" s="650"/>
      <c r="P208" s="616"/>
      <c r="Q208" s="616"/>
      <c r="R208" s="615">
        <f>S208+Z208</f>
        <v>142.34</v>
      </c>
      <c r="S208" s="615">
        <f>SUM(T208:Y208)</f>
        <v>127.35</v>
      </c>
      <c r="T208" s="616">
        <f>65.46-13.22</f>
        <v>52.24</v>
      </c>
      <c r="U208" s="616">
        <f>37.75-6.21</f>
        <v>31.54</v>
      </c>
      <c r="V208" s="616">
        <f>5.45-0.28</f>
        <v>5.17</v>
      </c>
      <c r="W208" s="616"/>
      <c r="X208" s="616"/>
      <c r="Y208" s="616">
        <f>40.42-2.02</f>
        <v>38.4</v>
      </c>
      <c r="Z208" s="615">
        <f>SUM(AA208:AD208)</f>
        <v>14.99</v>
      </c>
      <c r="AA208" s="618"/>
      <c r="AB208" s="618">
        <f>0.75</f>
        <v>0.75</v>
      </c>
      <c r="AC208" s="618">
        <f>6.05+1.69</f>
        <v>7.74</v>
      </c>
      <c r="AD208" s="618">
        <f>5.5+1</f>
        <v>6.5</v>
      </c>
      <c r="AE208" s="615">
        <f>AF208+AM208</f>
        <v>142.34</v>
      </c>
      <c r="AF208" s="615">
        <f>SUM(AG208:AL208)</f>
        <v>127.35</v>
      </c>
      <c r="AG208" s="616">
        <f t="shared" ref="AG208:AL208" si="238">G208+T208</f>
        <v>52.24</v>
      </c>
      <c r="AH208" s="616">
        <f t="shared" si="238"/>
        <v>31.54</v>
      </c>
      <c r="AI208" s="616">
        <f t="shared" si="238"/>
        <v>5.17</v>
      </c>
      <c r="AJ208" s="616">
        <f t="shared" si="238"/>
        <v>0</v>
      </c>
      <c r="AK208" s="616">
        <f t="shared" si="238"/>
        <v>0</v>
      </c>
      <c r="AL208" s="616">
        <f t="shared" si="238"/>
        <v>38.4</v>
      </c>
      <c r="AM208" s="615">
        <f>SUM(AN208:AQ208)</f>
        <v>14.99</v>
      </c>
      <c r="AN208" s="616">
        <f t="shared" ref="AN208:AQ208" si="239">N208+AA208</f>
        <v>0</v>
      </c>
      <c r="AO208" s="616">
        <f t="shared" si="239"/>
        <v>0.75</v>
      </c>
      <c r="AP208" s="616">
        <f t="shared" si="239"/>
        <v>7.74</v>
      </c>
      <c r="AQ208" s="637">
        <f t="shared" si="239"/>
        <v>6.5</v>
      </c>
      <c r="AR208" s="638">
        <f>SUM(AS208:AY208)</f>
        <v>0</v>
      </c>
      <c r="AS208" s="616">
        <f t="shared" si="216"/>
        <v>0</v>
      </c>
      <c r="AT208" s="616">
        <f t="shared" si="217"/>
        <v>0</v>
      </c>
      <c r="AU208" s="616">
        <f t="shared" si="218"/>
        <v>0</v>
      </c>
      <c r="AV208" s="616">
        <f t="shared" si="219"/>
        <v>0</v>
      </c>
      <c r="AW208" s="616">
        <f t="shared" si="220"/>
        <v>0</v>
      </c>
      <c r="AX208" s="616">
        <f t="shared" si="221"/>
        <v>0</v>
      </c>
      <c r="AY208" s="616"/>
      <c r="AZ208" s="615">
        <f>SUM(BA208:BG208)</f>
        <v>42.82904</v>
      </c>
      <c r="BA208" s="616">
        <f t="shared" si="223"/>
        <v>20.376</v>
      </c>
      <c r="BB208" s="616">
        <f t="shared" si="224"/>
        <v>6.7024</v>
      </c>
      <c r="BC208" s="616">
        <f t="shared" si="225"/>
        <v>5.0268</v>
      </c>
      <c r="BD208" s="616">
        <f t="shared" si="226"/>
        <v>0.16756</v>
      </c>
      <c r="BE208" s="616">
        <f t="shared" si="227"/>
        <v>0.50268</v>
      </c>
      <c r="BF208" s="616">
        <f t="shared" si="228"/>
        <v>10.0536</v>
      </c>
      <c r="BG208" s="616"/>
      <c r="BH208" s="615">
        <f>SUM(BI208:BO208)</f>
        <v>42.82904</v>
      </c>
      <c r="BI208" s="616">
        <f t="shared" si="230"/>
        <v>20.376</v>
      </c>
      <c r="BJ208" s="616">
        <f t="shared" si="231"/>
        <v>6.7024</v>
      </c>
      <c r="BK208" s="616">
        <f t="shared" si="232"/>
        <v>5.0268</v>
      </c>
      <c r="BL208" s="616">
        <f t="shared" si="233"/>
        <v>0.16756</v>
      </c>
      <c r="BM208" s="616">
        <f t="shared" si="234"/>
        <v>0.50268</v>
      </c>
      <c r="BN208" s="616">
        <f t="shared" si="235"/>
        <v>10.0536</v>
      </c>
      <c r="BO208" s="616"/>
      <c r="BP208" s="304"/>
    </row>
    <row r="209" s="130" customFormat="1" ht="26" customHeight="1" spans="1:68">
      <c r="A209" s="497" t="s">
        <v>215</v>
      </c>
      <c r="B209" s="497" t="s">
        <v>206</v>
      </c>
      <c r="C209" s="497" t="s">
        <v>296</v>
      </c>
      <c r="D209" s="645" t="s">
        <v>475</v>
      </c>
      <c r="E209" s="615">
        <f>F209+M209</f>
        <v>0</v>
      </c>
      <c r="F209" s="615">
        <f>SUM(G209:L209)</f>
        <v>0</v>
      </c>
      <c r="G209" s="616"/>
      <c r="H209" s="616"/>
      <c r="I209" s="616"/>
      <c r="J209" s="616"/>
      <c r="K209" s="616"/>
      <c r="L209" s="616"/>
      <c r="M209" s="615">
        <f>SUM(N209:Q209)</f>
        <v>0</v>
      </c>
      <c r="N209" s="616"/>
      <c r="O209" s="616"/>
      <c r="P209" s="616"/>
      <c r="Q209" s="616"/>
      <c r="R209" s="615">
        <f>S209+Z209</f>
        <v>0</v>
      </c>
      <c r="S209" s="615">
        <f>SUM(T209:Y209)</f>
        <v>0</v>
      </c>
      <c r="T209" s="616"/>
      <c r="U209" s="616"/>
      <c r="V209" s="616"/>
      <c r="W209" s="616"/>
      <c r="X209" s="616"/>
      <c r="Y209" s="616"/>
      <c r="Z209" s="615">
        <f>SUM(AA209:AD209)</f>
        <v>0</v>
      </c>
      <c r="AA209" s="616"/>
      <c r="AB209" s="616"/>
      <c r="AC209" s="616"/>
      <c r="AD209" s="616"/>
      <c r="AE209" s="615">
        <f>AF209+AM209</f>
        <v>0</v>
      </c>
      <c r="AF209" s="615">
        <f>SUM(AG209:AL209)</f>
        <v>0</v>
      </c>
      <c r="AG209" s="616">
        <f t="shared" ref="AG209:AL209" si="240">G209+T209</f>
        <v>0</v>
      </c>
      <c r="AH209" s="616">
        <f t="shared" si="240"/>
        <v>0</v>
      </c>
      <c r="AI209" s="616">
        <f t="shared" si="240"/>
        <v>0</v>
      </c>
      <c r="AJ209" s="616">
        <f t="shared" si="240"/>
        <v>0</v>
      </c>
      <c r="AK209" s="616">
        <f t="shared" si="240"/>
        <v>0</v>
      </c>
      <c r="AL209" s="616">
        <f t="shared" si="240"/>
        <v>0</v>
      </c>
      <c r="AM209" s="615">
        <f>SUM(AN209:AQ209)</f>
        <v>0</v>
      </c>
      <c r="AN209" s="616">
        <f t="shared" ref="AN209:AQ209" si="241">N209+AA209</f>
        <v>0</v>
      </c>
      <c r="AO209" s="616">
        <f t="shared" si="241"/>
        <v>0</v>
      </c>
      <c r="AP209" s="616">
        <f t="shared" si="241"/>
        <v>0</v>
      </c>
      <c r="AQ209" s="637">
        <f t="shared" si="241"/>
        <v>0</v>
      </c>
      <c r="AR209" s="638">
        <f>SUM(AS209:AY209)</f>
        <v>0</v>
      </c>
      <c r="AS209" s="616">
        <f t="shared" si="216"/>
        <v>0</v>
      </c>
      <c r="AT209" s="616">
        <f t="shared" si="217"/>
        <v>0</v>
      </c>
      <c r="AU209" s="616">
        <f t="shared" si="218"/>
        <v>0</v>
      </c>
      <c r="AV209" s="616">
        <f t="shared" si="219"/>
        <v>0</v>
      </c>
      <c r="AW209" s="616">
        <f t="shared" si="220"/>
        <v>0</v>
      </c>
      <c r="AX209" s="616">
        <f t="shared" si="221"/>
        <v>0</v>
      </c>
      <c r="AY209" s="616"/>
      <c r="AZ209" s="615">
        <f>SUM(BA209:BG209)</f>
        <v>0</v>
      </c>
      <c r="BA209" s="616">
        <f t="shared" si="223"/>
        <v>0</v>
      </c>
      <c r="BB209" s="616">
        <f t="shared" si="224"/>
        <v>0</v>
      </c>
      <c r="BC209" s="616">
        <f t="shared" si="225"/>
        <v>0</v>
      </c>
      <c r="BD209" s="616">
        <f t="shared" si="226"/>
        <v>0</v>
      </c>
      <c r="BE209" s="616">
        <f t="shared" si="227"/>
        <v>0</v>
      </c>
      <c r="BF209" s="616">
        <f t="shared" si="228"/>
        <v>0</v>
      </c>
      <c r="BG209" s="616"/>
      <c r="BH209" s="615">
        <f>SUM(BI209:BO209)</f>
        <v>0</v>
      </c>
      <c r="BI209" s="616">
        <f t="shared" si="230"/>
        <v>0</v>
      </c>
      <c r="BJ209" s="616">
        <f t="shared" si="231"/>
        <v>0</v>
      </c>
      <c r="BK209" s="616">
        <f t="shared" si="232"/>
        <v>0</v>
      </c>
      <c r="BL209" s="616">
        <f t="shared" si="233"/>
        <v>0</v>
      </c>
      <c r="BM209" s="616">
        <f t="shared" si="234"/>
        <v>0</v>
      </c>
      <c r="BN209" s="616">
        <f t="shared" si="235"/>
        <v>0</v>
      </c>
      <c r="BO209" s="616"/>
      <c r="BP209" s="304"/>
    </row>
    <row r="210" s="130" customFormat="1" ht="24" spans="1:68">
      <c r="A210" s="497" t="s">
        <v>202</v>
      </c>
      <c r="B210" s="497" t="s">
        <v>203</v>
      </c>
      <c r="C210" s="497" t="s">
        <v>476</v>
      </c>
      <c r="D210" s="497" t="s">
        <v>477</v>
      </c>
      <c r="E210" s="615">
        <f>F210+M210</f>
        <v>90.45</v>
      </c>
      <c r="F210" s="615">
        <f>SUM(G210:L210)</f>
        <v>83.1</v>
      </c>
      <c r="G210" s="616">
        <v>33.15</v>
      </c>
      <c r="H210" s="616">
        <v>21.19</v>
      </c>
      <c r="I210" s="616">
        <v>2.76</v>
      </c>
      <c r="J210" s="616"/>
      <c r="K210" s="616"/>
      <c r="L210" s="616">
        <v>26</v>
      </c>
      <c r="M210" s="615">
        <f>SUM(N210:Q210)</f>
        <v>7.35</v>
      </c>
      <c r="N210" s="616"/>
      <c r="O210" s="650"/>
      <c r="P210" s="616">
        <v>3.85</v>
      </c>
      <c r="Q210" s="616">
        <v>3.5</v>
      </c>
      <c r="R210" s="615">
        <f>S210+Z210</f>
        <v>-9.93</v>
      </c>
      <c r="S210" s="615">
        <f t="shared" ref="S210:S225" si="242">SUM(T210:Y210)</f>
        <v>-10.38</v>
      </c>
      <c r="T210" s="616">
        <v>-6.66</v>
      </c>
      <c r="U210" s="616"/>
      <c r="V210" s="616">
        <v>-0.41</v>
      </c>
      <c r="W210" s="616"/>
      <c r="X210" s="616"/>
      <c r="Y210" s="616">
        <v>-3.31</v>
      </c>
      <c r="Z210" s="615">
        <f>SUM(AA210:AD210)</f>
        <v>0.45</v>
      </c>
      <c r="AA210" s="618"/>
      <c r="AB210" s="618"/>
      <c r="AC210" s="618">
        <v>0.45</v>
      </c>
      <c r="AD210" s="618"/>
      <c r="AE210" s="615">
        <f t="shared" ref="AE210:AE225" si="243">AF210+AM210</f>
        <v>80.52</v>
      </c>
      <c r="AF210" s="615">
        <f t="shared" ref="AF210:AF225" si="244">SUM(AG210:AL210)</f>
        <v>72.72</v>
      </c>
      <c r="AG210" s="616">
        <f t="shared" ref="AG210:AL210" si="245">G210+T210</f>
        <v>26.49</v>
      </c>
      <c r="AH210" s="616">
        <f t="shared" si="245"/>
        <v>21.19</v>
      </c>
      <c r="AI210" s="616">
        <f t="shared" si="245"/>
        <v>2.35</v>
      </c>
      <c r="AJ210" s="616">
        <f t="shared" si="245"/>
        <v>0</v>
      </c>
      <c r="AK210" s="616">
        <f t="shared" si="245"/>
        <v>0</v>
      </c>
      <c r="AL210" s="616">
        <f t="shared" si="245"/>
        <v>22.69</v>
      </c>
      <c r="AM210" s="615">
        <f t="shared" ref="AM210:AM225" si="246">SUM(AN210:AQ210)</f>
        <v>7.8</v>
      </c>
      <c r="AN210" s="616">
        <f t="shared" ref="AN210:AQ210" si="247">N210+AA210</f>
        <v>0</v>
      </c>
      <c r="AO210" s="616">
        <f t="shared" si="247"/>
        <v>0</v>
      </c>
      <c r="AP210" s="616">
        <f t="shared" si="247"/>
        <v>4.3</v>
      </c>
      <c r="AQ210" s="637">
        <f t="shared" si="247"/>
        <v>3.5</v>
      </c>
      <c r="AR210" s="638">
        <f>SUM(AS210:AY210)</f>
        <v>27.85912</v>
      </c>
      <c r="AS210" s="616">
        <f t="shared" ref="AS210:AS267" si="248">(G210+H210+I210+L210)*0.16</f>
        <v>13.296</v>
      </c>
      <c r="AT210" s="616">
        <f t="shared" ref="AT210:AT267" si="249">(G210+H210)*0.08</f>
        <v>4.3472</v>
      </c>
      <c r="AU210" s="616">
        <f t="shared" ref="AU210:AU267" si="250">(G210+H210)*0.06</f>
        <v>3.2604</v>
      </c>
      <c r="AV210" s="616">
        <f t="shared" ref="AV210:AV267" si="251">(G210+H210)*0.002</f>
        <v>0.10868</v>
      </c>
      <c r="AW210" s="616">
        <f t="shared" ref="AW210:AW267" si="252">(G210+H210)*0.006</f>
        <v>0.32604</v>
      </c>
      <c r="AX210" s="616">
        <f t="shared" ref="AX210:AX267" si="253">(G210+H210)*0.12</f>
        <v>6.5208</v>
      </c>
      <c r="AY210" s="616"/>
      <c r="AZ210" s="615">
        <f t="shared" ref="AZ210:AZ267" si="254">SUM(BA210:BG210)</f>
        <v>-3.44568</v>
      </c>
      <c r="BA210" s="616">
        <f t="shared" ref="BA210:BA267" si="255">(T210+U210+V210+Y210)*0.16</f>
        <v>-1.6608</v>
      </c>
      <c r="BB210" s="616">
        <f t="shared" ref="BB210:BB267" si="256">(T210+U210)*0.08</f>
        <v>-0.5328</v>
      </c>
      <c r="BC210" s="616">
        <f t="shared" ref="BC210:BC267" si="257">(T210+U210)*0.06</f>
        <v>-0.3996</v>
      </c>
      <c r="BD210" s="616">
        <f t="shared" ref="BD210:BD267" si="258">(T210+U210)*0.002</f>
        <v>-0.01332</v>
      </c>
      <c r="BE210" s="616">
        <f t="shared" ref="BE210:BE267" si="259">(T210+U210)*0.006</f>
        <v>-0.03996</v>
      </c>
      <c r="BF210" s="616">
        <f t="shared" ref="BF210:BF267" si="260">(T210+U210)*0.12</f>
        <v>-0.7992</v>
      </c>
      <c r="BG210" s="616"/>
      <c r="BH210" s="615">
        <f t="shared" ref="BH210:BH267" si="261">SUM(BI210:BO210)</f>
        <v>24.41344</v>
      </c>
      <c r="BI210" s="616">
        <f t="shared" ref="BI210:BI267" si="262">(AG210+AH210+AI210+AL210)*0.16</f>
        <v>11.6352</v>
      </c>
      <c r="BJ210" s="616">
        <f t="shared" ref="BJ210:BJ267" si="263">(AG210+AH210)*0.08</f>
        <v>3.8144</v>
      </c>
      <c r="BK210" s="616">
        <f t="shared" ref="BK210:BK267" si="264">(AG210+AH210)*0.06</f>
        <v>2.8608</v>
      </c>
      <c r="BL210" s="616">
        <f t="shared" ref="BL210:BL267" si="265">(AG210+AH210)*0.002</f>
        <v>0.09536</v>
      </c>
      <c r="BM210" s="616">
        <f t="shared" ref="BM210:BM267" si="266">(AG210+AH210)*0.006</f>
        <v>0.28608</v>
      </c>
      <c r="BN210" s="616">
        <f t="shared" ref="BN210:BN267" si="267">(AG210+AH210)*0.12</f>
        <v>5.7216</v>
      </c>
      <c r="BO210" s="616"/>
      <c r="BP210" s="304"/>
    </row>
    <row r="211" s="130" customFormat="1" ht="24" spans="1:68">
      <c r="A211" s="497" t="s">
        <v>202</v>
      </c>
      <c r="B211" s="497" t="s">
        <v>206</v>
      </c>
      <c r="C211" s="497" t="s">
        <v>478</v>
      </c>
      <c r="D211" s="497" t="s">
        <v>477</v>
      </c>
      <c r="E211" s="615">
        <f>F211+M211</f>
        <v>0</v>
      </c>
      <c r="F211" s="615">
        <f>SUM(G211:L211)</f>
        <v>0</v>
      </c>
      <c r="G211" s="616"/>
      <c r="H211" s="616"/>
      <c r="I211" s="616"/>
      <c r="J211" s="616"/>
      <c r="K211" s="616"/>
      <c r="L211" s="616"/>
      <c r="M211" s="615">
        <f>SUM(N211:Q211)</f>
        <v>0</v>
      </c>
      <c r="N211" s="616"/>
      <c r="O211" s="616"/>
      <c r="P211" s="616"/>
      <c r="Q211" s="616"/>
      <c r="R211" s="615">
        <f>S211+Z211</f>
        <v>0</v>
      </c>
      <c r="S211" s="615">
        <f t="shared" si="242"/>
        <v>0</v>
      </c>
      <c r="T211" s="616"/>
      <c r="U211" s="616"/>
      <c r="V211" s="616"/>
      <c r="W211" s="616"/>
      <c r="X211" s="616"/>
      <c r="Y211" s="616"/>
      <c r="Z211" s="615">
        <f>SUM(AA211:AD211)</f>
        <v>0</v>
      </c>
      <c r="AA211" s="616"/>
      <c r="AB211" s="616"/>
      <c r="AC211" s="616"/>
      <c r="AD211" s="616"/>
      <c r="AE211" s="615">
        <f t="shared" si="243"/>
        <v>0</v>
      </c>
      <c r="AF211" s="615">
        <f t="shared" si="244"/>
        <v>0</v>
      </c>
      <c r="AG211" s="616">
        <f t="shared" ref="AG211:AL211" si="268">G211+T211</f>
        <v>0</v>
      </c>
      <c r="AH211" s="616">
        <f t="shared" si="268"/>
        <v>0</v>
      </c>
      <c r="AI211" s="616">
        <f t="shared" si="268"/>
        <v>0</v>
      </c>
      <c r="AJ211" s="616">
        <f t="shared" si="268"/>
        <v>0</v>
      </c>
      <c r="AK211" s="616">
        <f t="shared" si="268"/>
        <v>0</v>
      </c>
      <c r="AL211" s="616">
        <f t="shared" si="268"/>
        <v>0</v>
      </c>
      <c r="AM211" s="615">
        <f t="shared" si="246"/>
        <v>0</v>
      </c>
      <c r="AN211" s="616">
        <f t="shared" ref="AN211:AQ211" si="269">N211+AA211</f>
        <v>0</v>
      </c>
      <c r="AO211" s="616">
        <f t="shared" si="269"/>
        <v>0</v>
      </c>
      <c r="AP211" s="616">
        <f t="shared" si="269"/>
        <v>0</v>
      </c>
      <c r="AQ211" s="637">
        <f t="shared" si="269"/>
        <v>0</v>
      </c>
      <c r="AR211" s="638">
        <f>SUM(AS211:AY211)</f>
        <v>0</v>
      </c>
      <c r="AS211" s="616">
        <f t="shared" si="248"/>
        <v>0</v>
      </c>
      <c r="AT211" s="616">
        <f t="shared" si="249"/>
        <v>0</v>
      </c>
      <c r="AU211" s="616">
        <f t="shared" si="250"/>
        <v>0</v>
      </c>
      <c r="AV211" s="616">
        <f t="shared" si="251"/>
        <v>0</v>
      </c>
      <c r="AW211" s="616">
        <f t="shared" si="252"/>
        <v>0</v>
      </c>
      <c r="AX211" s="616">
        <f t="shared" si="253"/>
        <v>0</v>
      </c>
      <c r="AY211" s="616"/>
      <c r="AZ211" s="615">
        <f t="shared" si="254"/>
        <v>0</v>
      </c>
      <c r="BA211" s="616">
        <f t="shared" si="255"/>
        <v>0</v>
      </c>
      <c r="BB211" s="616">
        <f t="shared" si="256"/>
        <v>0</v>
      </c>
      <c r="BC211" s="616">
        <f t="shared" si="257"/>
        <v>0</v>
      </c>
      <c r="BD211" s="616">
        <f t="shared" si="258"/>
        <v>0</v>
      </c>
      <c r="BE211" s="616">
        <f t="shared" si="259"/>
        <v>0</v>
      </c>
      <c r="BF211" s="616">
        <f t="shared" si="260"/>
        <v>0</v>
      </c>
      <c r="BG211" s="616"/>
      <c r="BH211" s="615">
        <f t="shared" si="261"/>
        <v>0</v>
      </c>
      <c r="BI211" s="616">
        <f t="shared" si="262"/>
        <v>0</v>
      </c>
      <c r="BJ211" s="616">
        <f t="shared" si="263"/>
        <v>0</v>
      </c>
      <c r="BK211" s="616">
        <f t="shared" si="264"/>
        <v>0</v>
      </c>
      <c r="BL211" s="616">
        <f t="shared" si="265"/>
        <v>0</v>
      </c>
      <c r="BM211" s="616">
        <f t="shared" si="266"/>
        <v>0</v>
      </c>
      <c r="BN211" s="616">
        <f t="shared" si="267"/>
        <v>0</v>
      </c>
      <c r="BO211" s="616"/>
      <c r="BP211" s="304"/>
    </row>
    <row r="212" s="508" customFormat="1" ht="24" spans="1:69">
      <c r="A212" s="647"/>
      <c r="B212" s="647"/>
      <c r="C212" s="647" t="s">
        <v>131</v>
      </c>
      <c r="D212" s="648">
        <v>207</v>
      </c>
      <c r="E212" s="612">
        <f t="shared" ref="E212:P212" si="270">SUM(E213:E225)</f>
        <v>155.02</v>
      </c>
      <c r="F212" s="612">
        <f t="shared" si="270"/>
        <v>124.62</v>
      </c>
      <c r="G212" s="612">
        <f t="shared" si="270"/>
        <v>48.34</v>
      </c>
      <c r="H212" s="612">
        <f t="shared" si="270"/>
        <v>31.76</v>
      </c>
      <c r="I212" s="612">
        <f t="shared" si="270"/>
        <v>4.03</v>
      </c>
      <c r="J212" s="612">
        <f t="shared" si="270"/>
        <v>0</v>
      </c>
      <c r="K212" s="612">
        <f t="shared" si="270"/>
        <v>0</v>
      </c>
      <c r="L212" s="612">
        <f t="shared" si="270"/>
        <v>40.49</v>
      </c>
      <c r="M212" s="612">
        <f t="shared" si="270"/>
        <v>30.4</v>
      </c>
      <c r="N212" s="612">
        <f t="shared" si="270"/>
        <v>17.8</v>
      </c>
      <c r="O212" s="612">
        <f t="shared" si="270"/>
        <v>0</v>
      </c>
      <c r="P212" s="612">
        <f t="shared" si="270"/>
        <v>6.6</v>
      </c>
      <c r="Q212" s="612">
        <f t="shared" ref="Q212:AE212" si="271">SUM(Q213:Q225)</f>
        <v>6</v>
      </c>
      <c r="R212" s="612">
        <f t="shared" si="271"/>
        <v>-17.4</v>
      </c>
      <c r="S212" s="612">
        <f t="shared" si="271"/>
        <v>-16.36</v>
      </c>
      <c r="T212" s="612">
        <f t="shared" si="271"/>
        <v>-6.44</v>
      </c>
      <c r="U212" s="612">
        <f t="shared" si="271"/>
        <v>-4.01</v>
      </c>
      <c r="V212" s="612">
        <f t="shared" si="271"/>
        <v>-0.8</v>
      </c>
      <c r="W212" s="612">
        <f t="shared" si="271"/>
        <v>0</v>
      </c>
      <c r="X212" s="612">
        <f t="shared" si="271"/>
        <v>0</v>
      </c>
      <c r="Y212" s="612">
        <f t="shared" si="271"/>
        <v>-5.11</v>
      </c>
      <c r="Z212" s="612">
        <f t="shared" si="271"/>
        <v>-1.04</v>
      </c>
      <c r="AA212" s="612">
        <f t="shared" si="271"/>
        <v>0.42</v>
      </c>
      <c r="AB212" s="612">
        <f t="shared" si="271"/>
        <v>0.45</v>
      </c>
      <c r="AC212" s="612">
        <f t="shared" si="271"/>
        <v>-1.16</v>
      </c>
      <c r="AD212" s="612">
        <f t="shared" si="271"/>
        <v>-0.75</v>
      </c>
      <c r="AE212" s="612">
        <f t="shared" ref="AE212:AQ212" si="272">SUM(AE213:AE225)</f>
        <v>137.62</v>
      </c>
      <c r="AF212" s="612">
        <f t="shared" si="272"/>
        <v>108.26</v>
      </c>
      <c r="AG212" s="612">
        <f t="shared" si="272"/>
        <v>41.9</v>
      </c>
      <c r="AH212" s="612">
        <f t="shared" si="272"/>
        <v>27.75</v>
      </c>
      <c r="AI212" s="612">
        <f t="shared" si="272"/>
        <v>3.23</v>
      </c>
      <c r="AJ212" s="612">
        <f t="shared" si="272"/>
        <v>0</v>
      </c>
      <c r="AK212" s="612">
        <f t="shared" si="272"/>
        <v>0</v>
      </c>
      <c r="AL212" s="612">
        <f t="shared" si="272"/>
        <v>35.38</v>
      </c>
      <c r="AM212" s="612">
        <f t="shared" si="272"/>
        <v>29.36</v>
      </c>
      <c r="AN212" s="612">
        <f t="shared" si="272"/>
        <v>18.22</v>
      </c>
      <c r="AO212" s="612">
        <f t="shared" si="272"/>
        <v>0.45</v>
      </c>
      <c r="AP212" s="612">
        <f t="shared" si="272"/>
        <v>5.44</v>
      </c>
      <c r="AQ212" s="635">
        <f t="shared" si="272"/>
        <v>5.25</v>
      </c>
      <c r="AR212" s="636">
        <f t="shared" ref="AR212:AY212" si="273">SUM(AR213:AR225)</f>
        <v>41.406</v>
      </c>
      <c r="AS212" s="612">
        <f t="shared" si="273"/>
        <v>19.9392</v>
      </c>
      <c r="AT212" s="612">
        <f t="shared" si="273"/>
        <v>6.408</v>
      </c>
      <c r="AU212" s="612">
        <f t="shared" si="273"/>
        <v>4.806</v>
      </c>
      <c r="AV212" s="612">
        <f t="shared" si="273"/>
        <v>0.1602</v>
      </c>
      <c r="AW212" s="612">
        <f t="shared" si="273"/>
        <v>0.4806</v>
      </c>
      <c r="AX212" s="612">
        <f t="shared" si="273"/>
        <v>9.612</v>
      </c>
      <c r="AY212" s="612">
        <f t="shared" si="273"/>
        <v>0</v>
      </c>
      <c r="AZ212" s="612">
        <f t="shared" ref="AZ212:BO212" si="274">SUM(AZ213:AZ225)</f>
        <v>-5.4182</v>
      </c>
      <c r="BA212" s="612">
        <f t="shared" si="274"/>
        <v>-2.6176</v>
      </c>
      <c r="BB212" s="612">
        <f t="shared" si="274"/>
        <v>-0.836</v>
      </c>
      <c r="BC212" s="612">
        <f t="shared" si="274"/>
        <v>-0.627</v>
      </c>
      <c r="BD212" s="612">
        <f t="shared" si="274"/>
        <v>-0.0209</v>
      </c>
      <c r="BE212" s="612">
        <f t="shared" si="274"/>
        <v>-0.0627</v>
      </c>
      <c r="BF212" s="612">
        <f t="shared" si="274"/>
        <v>-1.254</v>
      </c>
      <c r="BG212" s="612">
        <f t="shared" si="274"/>
        <v>0</v>
      </c>
      <c r="BH212" s="612">
        <f t="shared" si="274"/>
        <v>35.9878</v>
      </c>
      <c r="BI212" s="612">
        <f t="shared" si="274"/>
        <v>17.3216</v>
      </c>
      <c r="BJ212" s="612">
        <f t="shared" si="274"/>
        <v>5.572</v>
      </c>
      <c r="BK212" s="612">
        <f t="shared" si="274"/>
        <v>4.179</v>
      </c>
      <c r="BL212" s="612">
        <f t="shared" si="274"/>
        <v>0.1393</v>
      </c>
      <c r="BM212" s="612">
        <f t="shared" si="274"/>
        <v>0.4179</v>
      </c>
      <c r="BN212" s="612">
        <f t="shared" si="274"/>
        <v>8.358</v>
      </c>
      <c r="BO212" s="612">
        <f t="shared" si="274"/>
        <v>0</v>
      </c>
      <c r="BP212" s="334"/>
      <c r="BQ212" s="580"/>
    </row>
    <row r="213" s="130" customFormat="1" ht="24" spans="1:68">
      <c r="A213" s="497" t="s">
        <v>202</v>
      </c>
      <c r="B213" s="497" t="s">
        <v>203</v>
      </c>
      <c r="C213" s="497" t="s">
        <v>479</v>
      </c>
      <c r="D213" s="497" t="s">
        <v>480</v>
      </c>
      <c r="E213" s="615">
        <f t="shared" ref="E213:E225" si="275">F213+M213</f>
        <v>95.38</v>
      </c>
      <c r="F213" s="615">
        <f t="shared" ref="F213:F225" si="276">SUM(G213:L213)</f>
        <v>71.28</v>
      </c>
      <c r="G213" s="655">
        <v>28.95</v>
      </c>
      <c r="H213" s="655">
        <v>17.89</v>
      </c>
      <c r="I213" s="655">
        <v>2.41</v>
      </c>
      <c r="J213" s="616"/>
      <c r="K213" s="616"/>
      <c r="L213" s="616">
        <v>22.03</v>
      </c>
      <c r="M213" s="615">
        <f t="shared" ref="M213:M225" si="277">SUM(N213:Q213)</f>
        <v>24.1</v>
      </c>
      <c r="N213" s="655">
        <v>17.8</v>
      </c>
      <c r="O213" s="616"/>
      <c r="P213" s="616">
        <v>3.3</v>
      </c>
      <c r="Q213" s="616">
        <v>3</v>
      </c>
      <c r="R213" s="615">
        <f t="shared" ref="R213:R225" si="278">S213+Z213</f>
        <v>-3.65</v>
      </c>
      <c r="S213" s="615">
        <f t="shared" si="242"/>
        <v>-4.69</v>
      </c>
      <c r="T213" s="616">
        <v>-2.86</v>
      </c>
      <c r="U213" s="616">
        <v>-0.91</v>
      </c>
      <c r="V213" s="616">
        <v>-0.32</v>
      </c>
      <c r="W213" s="616"/>
      <c r="X213" s="616"/>
      <c r="Y213" s="616">
        <v>-0.6</v>
      </c>
      <c r="Z213" s="615">
        <f t="shared" ref="Z213:Z225" si="279">SUM(AA213:AD213)</f>
        <v>1.04</v>
      </c>
      <c r="AA213" s="616">
        <v>0.42</v>
      </c>
      <c r="AB213" s="616">
        <v>0.15</v>
      </c>
      <c r="AC213" s="616">
        <v>0.22</v>
      </c>
      <c r="AD213" s="616">
        <v>0.25</v>
      </c>
      <c r="AE213" s="615">
        <f t="shared" si="243"/>
        <v>91.73</v>
      </c>
      <c r="AF213" s="615">
        <f t="shared" si="244"/>
        <v>66.59</v>
      </c>
      <c r="AG213" s="616">
        <f t="shared" ref="AG213:AL213" si="280">G213+T213</f>
        <v>26.09</v>
      </c>
      <c r="AH213" s="616">
        <f t="shared" si="280"/>
        <v>16.98</v>
      </c>
      <c r="AI213" s="616">
        <f t="shared" si="280"/>
        <v>2.09</v>
      </c>
      <c r="AJ213" s="616">
        <f t="shared" si="280"/>
        <v>0</v>
      </c>
      <c r="AK213" s="616">
        <f t="shared" si="280"/>
        <v>0</v>
      </c>
      <c r="AL213" s="616">
        <f t="shared" si="280"/>
        <v>21.43</v>
      </c>
      <c r="AM213" s="615">
        <f t="shared" si="246"/>
        <v>25.14</v>
      </c>
      <c r="AN213" s="616">
        <f t="shared" ref="AN213:AQ213" si="281">N213+AA213</f>
        <v>18.22</v>
      </c>
      <c r="AO213" s="616">
        <f t="shared" si="281"/>
        <v>0.15</v>
      </c>
      <c r="AP213" s="616">
        <f t="shared" si="281"/>
        <v>3.52</v>
      </c>
      <c r="AQ213" s="637">
        <f t="shared" si="281"/>
        <v>3.25</v>
      </c>
      <c r="AR213" s="638">
        <f t="shared" ref="AR213:AR225" si="282">SUM(AS213:AY213)</f>
        <v>23.95792</v>
      </c>
      <c r="AS213" s="616">
        <f t="shared" si="248"/>
        <v>11.4048</v>
      </c>
      <c r="AT213" s="616">
        <f t="shared" si="249"/>
        <v>3.7472</v>
      </c>
      <c r="AU213" s="616">
        <f t="shared" si="250"/>
        <v>2.8104</v>
      </c>
      <c r="AV213" s="616">
        <f t="shared" si="251"/>
        <v>0.09368</v>
      </c>
      <c r="AW213" s="616">
        <f t="shared" si="252"/>
        <v>0.28104</v>
      </c>
      <c r="AX213" s="616">
        <f t="shared" si="253"/>
        <v>5.6208</v>
      </c>
      <c r="AY213" s="616"/>
      <c r="AZ213" s="615">
        <f t="shared" si="254"/>
        <v>-1.76076</v>
      </c>
      <c r="BA213" s="616">
        <f t="shared" si="255"/>
        <v>-0.7504</v>
      </c>
      <c r="BB213" s="616">
        <f t="shared" si="256"/>
        <v>-0.3016</v>
      </c>
      <c r="BC213" s="616">
        <f t="shared" si="257"/>
        <v>-0.2262</v>
      </c>
      <c r="BD213" s="616">
        <f t="shared" si="258"/>
        <v>-0.00754</v>
      </c>
      <c r="BE213" s="616">
        <f t="shared" si="259"/>
        <v>-0.02262</v>
      </c>
      <c r="BF213" s="616">
        <f t="shared" si="260"/>
        <v>-0.4524</v>
      </c>
      <c r="BG213" s="616"/>
      <c r="BH213" s="615">
        <f t="shared" si="261"/>
        <v>22.19716</v>
      </c>
      <c r="BI213" s="616">
        <f t="shared" si="262"/>
        <v>10.6544</v>
      </c>
      <c r="BJ213" s="616">
        <f t="shared" si="263"/>
        <v>3.4456</v>
      </c>
      <c r="BK213" s="616">
        <f t="shared" si="264"/>
        <v>2.5842</v>
      </c>
      <c r="BL213" s="616">
        <f t="shared" si="265"/>
        <v>0.08614</v>
      </c>
      <c r="BM213" s="616">
        <f t="shared" si="266"/>
        <v>0.25842</v>
      </c>
      <c r="BN213" s="616">
        <f t="shared" si="267"/>
        <v>5.1684</v>
      </c>
      <c r="BO213" s="616"/>
      <c r="BP213" s="304"/>
    </row>
    <row r="214" s="130" customFormat="1" ht="24" spans="1:68">
      <c r="A214" s="497" t="s">
        <v>202</v>
      </c>
      <c r="B214" s="497" t="s">
        <v>206</v>
      </c>
      <c r="C214" s="497" t="s">
        <v>481</v>
      </c>
      <c r="D214" s="497" t="s">
        <v>482</v>
      </c>
      <c r="E214" s="615">
        <f t="shared" si="275"/>
        <v>0</v>
      </c>
      <c r="F214" s="615">
        <f t="shared" si="276"/>
        <v>0</v>
      </c>
      <c r="G214" s="616"/>
      <c r="H214" s="616"/>
      <c r="I214" s="616"/>
      <c r="J214" s="616"/>
      <c r="K214" s="616"/>
      <c r="L214" s="616"/>
      <c r="M214" s="615">
        <f t="shared" si="277"/>
        <v>0</v>
      </c>
      <c r="N214" s="616"/>
      <c r="O214" s="616"/>
      <c r="P214" s="616"/>
      <c r="Q214" s="616"/>
      <c r="R214" s="615">
        <f t="shared" si="278"/>
        <v>0</v>
      </c>
      <c r="S214" s="615">
        <f t="shared" si="242"/>
        <v>0</v>
      </c>
      <c r="T214" s="655"/>
      <c r="U214" s="655"/>
      <c r="V214" s="655"/>
      <c r="W214" s="616"/>
      <c r="X214" s="616"/>
      <c r="Y214" s="616"/>
      <c r="Z214" s="615">
        <f t="shared" si="279"/>
        <v>0</v>
      </c>
      <c r="AA214" s="655"/>
      <c r="AB214" s="616"/>
      <c r="AC214" s="616"/>
      <c r="AD214" s="616"/>
      <c r="AE214" s="615">
        <f t="shared" si="243"/>
        <v>0</v>
      </c>
      <c r="AF214" s="615">
        <f t="shared" si="244"/>
        <v>0</v>
      </c>
      <c r="AG214" s="616">
        <f t="shared" ref="AG214:AG225" si="283">G214+T214</f>
        <v>0</v>
      </c>
      <c r="AH214" s="616">
        <f t="shared" ref="AH214:AH225" si="284">H214+U214</f>
        <v>0</v>
      </c>
      <c r="AI214" s="616">
        <f t="shared" ref="AI214:AI225" si="285">I214+V214</f>
        <v>0</v>
      </c>
      <c r="AJ214" s="616">
        <f t="shared" ref="AJ214:AJ225" si="286">J214+W214</f>
        <v>0</v>
      </c>
      <c r="AK214" s="616">
        <f t="shared" ref="AK214:AK225" si="287">K214+X214</f>
        <v>0</v>
      </c>
      <c r="AL214" s="616">
        <f t="shared" ref="AL214:AL225" si="288">L214+Y214</f>
        <v>0</v>
      </c>
      <c r="AM214" s="615">
        <f t="shared" si="246"/>
        <v>0</v>
      </c>
      <c r="AN214" s="616">
        <f t="shared" ref="AN214:AN225" si="289">N214+AA214</f>
        <v>0</v>
      </c>
      <c r="AO214" s="616">
        <f t="shared" ref="AO214:AO225" si="290">O214+AB214</f>
        <v>0</v>
      </c>
      <c r="AP214" s="616">
        <f t="shared" ref="AP214:AP225" si="291">P214+AC214</f>
        <v>0</v>
      </c>
      <c r="AQ214" s="637">
        <f t="shared" ref="AQ214:AQ225" si="292">Q214+AD214</f>
        <v>0</v>
      </c>
      <c r="AR214" s="638">
        <f t="shared" si="282"/>
        <v>0</v>
      </c>
      <c r="AS214" s="616">
        <f t="shared" si="248"/>
        <v>0</v>
      </c>
      <c r="AT214" s="616">
        <f t="shared" si="249"/>
        <v>0</v>
      </c>
      <c r="AU214" s="616">
        <f t="shared" si="250"/>
        <v>0</v>
      </c>
      <c r="AV214" s="616">
        <f t="shared" si="251"/>
        <v>0</v>
      </c>
      <c r="AW214" s="616">
        <f t="shared" si="252"/>
        <v>0</v>
      </c>
      <c r="AX214" s="616">
        <f t="shared" si="253"/>
        <v>0</v>
      </c>
      <c r="AY214" s="616"/>
      <c r="AZ214" s="615">
        <f t="shared" si="254"/>
        <v>0</v>
      </c>
      <c r="BA214" s="616">
        <f t="shared" si="255"/>
        <v>0</v>
      </c>
      <c r="BB214" s="616">
        <f t="shared" si="256"/>
        <v>0</v>
      </c>
      <c r="BC214" s="616">
        <f t="shared" si="257"/>
        <v>0</v>
      </c>
      <c r="BD214" s="616">
        <f t="shared" si="258"/>
        <v>0</v>
      </c>
      <c r="BE214" s="616">
        <f t="shared" si="259"/>
        <v>0</v>
      </c>
      <c r="BF214" s="616">
        <f t="shared" si="260"/>
        <v>0</v>
      </c>
      <c r="BG214" s="616"/>
      <c r="BH214" s="615">
        <f t="shared" si="261"/>
        <v>0</v>
      </c>
      <c r="BI214" s="616">
        <f t="shared" si="262"/>
        <v>0</v>
      </c>
      <c r="BJ214" s="616">
        <f t="shared" si="263"/>
        <v>0</v>
      </c>
      <c r="BK214" s="616">
        <f t="shared" si="264"/>
        <v>0</v>
      </c>
      <c r="BL214" s="616">
        <f t="shared" si="265"/>
        <v>0</v>
      </c>
      <c r="BM214" s="616">
        <f t="shared" si="266"/>
        <v>0</v>
      </c>
      <c r="BN214" s="616">
        <f t="shared" si="267"/>
        <v>0</v>
      </c>
      <c r="BO214" s="616"/>
      <c r="BP214" s="304"/>
    </row>
    <row r="215" s="130" customFormat="1" ht="24" spans="1:68">
      <c r="A215" s="497" t="s">
        <v>202</v>
      </c>
      <c r="B215" s="497" t="s">
        <v>483</v>
      </c>
      <c r="C215" s="497" t="s">
        <v>484</v>
      </c>
      <c r="D215" s="497" t="s">
        <v>485</v>
      </c>
      <c r="E215" s="615">
        <f t="shared" si="275"/>
        <v>0</v>
      </c>
      <c r="F215" s="615">
        <f t="shared" si="276"/>
        <v>0</v>
      </c>
      <c r="G215" s="616"/>
      <c r="H215" s="616"/>
      <c r="I215" s="616"/>
      <c r="J215" s="616"/>
      <c r="K215" s="616"/>
      <c r="L215" s="616"/>
      <c r="M215" s="615">
        <f t="shared" si="277"/>
        <v>0</v>
      </c>
      <c r="N215" s="616"/>
      <c r="O215" s="616"/>
      <c r="P215" s="616"/>
      <c r="Q215" s="616"/>
      <c r="R215" s="615">
        <f t="shared" si="278"/>
        <v>0</v>
      </c>
      <c r="S215" s="615">
        <f t="shared" si="242"/>
        <v>0</v>
      </c>
      <c r="T215" s="655"/>
      <c r="U215" s="655"/>
      <c r="V215" s="655"/>
      <c r="W215" s="616"/>
      <c r="X215" s="616"/>
      <c r="Y215" s="616"/>
      <c r="Z215" s="615">
        <f t="shared" si="279"/>
        <v>0</v>
      </c>
      <c r="AA215" s="655"/>
      <c r="AB215" s="616"/>
      <c r="AC215" s="616"/>
      <c r="AD215" s="616"/>
      <c r="AE215" s="615">
        <f t="shared" si="243"/>
        <v>0</v>
      </c>
      <c r="AF215" s="615">
        <f t="shared" si="244"/>
        <v>0</v>
      </c>
      <c r="AG215" s="616">
        <f t="shared" si="283"/>
        <v>0</v>
      </c>
      <c r="AH215" s="616">
        <f t="shared" si="284"/>
        <v>0</v>
      </c>
      <c r="AI215" s="616">
        <f t="shared" si="285"/>
        <v>0</v>
      </c>
      <c r="AJ215" s="616">
        <f t="shared" si="286"/>
        <v>0</v>
      </c>
      <c r="AK215" s="616">
        <f t="shared" si="287"/>
        <v>0</v>
      </c>
      <c r="AL215" s="616">
        <f t="shared" si="288"/>
        <v>0</v>
      </c>
      <c r="AM215" s="615">
        <f t="shared" si="246"/>
        <v>0</v>
      </c>
      <c r="AN215" s="616">
        <f t="shared" si="289"/>
        <v>0</v>
      </c>
      <c r="AO215" s="616">
        <f t="shared" si="290"/>
        <v>0</v>
      </c>
      <c r="AP215" s="616">
        <f t="shared" si="291"/>
        <v>0</v>
      </c>
      <c r="AQ215" s="637">
        <f t="shared" si="292"/>
        <v>0</v>
      </c>
      <c r="AR215" s="638">
        <f t="shared" si="282"/>
        <v>0</v>
      </c>
      <c r="AS215" s="616">
        <f t="shared" si="248"/>
        <v>0</v>
      </c>
      <c r="AT215" s="616">
        <f t="shared" si="249"/>
        <v>0</v>
      </c>
      <c r="AU215" s="616">
        <f t="shared" si="250"/>
        <v>0</v>
      </c>
      <c r="AV215" s="616">
        <f t="shared" si="251"/>
        <v>0</v>
      </c>
      <c r="AW215" s="616">
        <f t="shared" si="252"/>
        <v>0</v>
      </c>
      <c r="AX215" s="616">
        <f t="shared" si="253"/>
        <v>0</v>
      </c>
      <c r="AY215" s="616"/>
      <c r="AZ215" s="615">
        <f t="shared" si="254"/>
        <v>0</v>
      </c>
      <c r="BA215" s="616">
        <f t="shared" si="255"/>
        <v>0</v>
      </c>
      <c r="BB215" s="616">
        <f t="shared" si="256"/>
        <v>0</v>
      </c>
      <c r="BC215" s="616">
        <f t="shared" si="257"/>
        <v>0</v>
      </c>
      <c r="BD215" s="616">
        <f t="shared" si="258"/>
        <v>0</v>
      </c>
      <c r="BE215" s="616">
        <f t="shared" si="259"/>
        <v>0</v>
      </c>
      <c r="BF215" s="616">
        <f t="shared" si="260"/>
        <v>0</v>
      </c>
      <c r="BG215" s="616"/>
      <c r="BH215" s="615">
        <f t="shared" si="261"/>
        <v>0</v>
      </c>
      <c r="BI215" s="616">
        <f t="shared" si="262"/>
        <v>0</v>
      </c>
      <c r="BJ215" s="616">
        <f t="shared" si="263"/>
        <v>0</v>
      </c>
      <c r="BK215" s="616">
        <f t="shared" si="264"/>
        <v>0</v>
      </c>
      <c r="BL215" s="616">
        <f t="shared" si="265"/>
        <v>0</v>
      </c>
      <c r="BM215" s="616">
        <f t="shared" si="266"/>
        <v>0</v>
      </c>
      <c r="BN215" s="616">
        <f t="shared" si="267"/>
        <v>0</v>
      </c>
      <c r="BO215" s="616"/>
      <c r="BP215" s="304"/>
    </row>
    <row r="216" s="130" customFormat="1" ht="24" spans="1:68">
      <c r="A216" s="497" t="s">
        <v>202</v>
      </c>
      <c r="B216" s="497" t="s">
        <v>206</v>
      </c>
      <c r="C216" s="497" t="s">
        <v>486</v>
      </c>
      <c r="D216" s="497" t="s">
        <v>487</v>
      </c>
      <c r="E216" s="615">
        <f t="shared" si="275"/>
        <v>0</v>
      </c>
      <c r="F216" s="615">
        <f t="shared" si="276"/>
        <v>0</v>
      </c>
      <c r="G216" s="616"/>
      <c r="H216" s="616"/>
      <c r="I216" s="616"/>
      <c r="J216" s="616"/>
      <c r="K216" s="616"/>
      <c r="L216" s="616"/>
      <c r="M216" s="615">
        <f t="shared" si="277"/>
        <v>0</v>
      </c>
      <c r="N216" s="616"/>
      <c r="O216" s="616"/>
      <c r="P216" s="616"/>
      <c r="Q216" s="616"/>
      <c r="R216" s="615">
        <f t="shared" si="278"/>
        <v>0</v>
      </c>
      <c r="S216" s="615">
        <f t="shared" si="242"/>
        <v>0</v>
      </c>
      <c r="T216" s="655"/>
      <c r="U216" s="655"/>
      <c r="V216" s="655"/>
      <c r="W216" s="616"/>
      <c r="X216" s="616"/>
      <c r="Y216" s="616"/>
      <c r="Z216" s="615">
        <f t="shared" si="279"/>
        <v>0</v>
      </c>
      <c r="AA216" s="655"/>
      <c r="AB216" s="616"/>
      <c r="AC216" s="616"/>
      <c r="AD216" s="616"/>
      <c r="AE216" s="615">
        <f t="shared" si="243"/>
        <v>0</v>
      </c>
      <c r="AF216" s="615">
        <f t="shared" si="244"/>
        <v>0</v>
      </c>
      <c r="AG216" s="616">
        <f t="shared" si="283"/>
        <v>0</v>
      </c>
      <c r="AH216" s="616">
        <f t="shared" si="284"/>
        <v>0</v>
      </c>
      <c r="AI216" s="616">
        <f t="shared" si="285"/>
        <v>0</v>
      </c>
      <c r="AJ216" s="616">
        <f t="shared" si="286"/>
        <v>0</v>
      </c>
      <c r="AK216" s="616">
        <f t="shared" si="287"/>
        <v>0</v>
      </c>
      <c r="AL216" s="616">
        <f t="shared" si="288"/>
        <v>0</v>
      </c>
      <c r="AM216" s="615">
        <f t="shared" si="246"/>
        <v>0</v>
      </c>
      <c r="AN216" s="616">
        <f t="shared" si="289"/>
        <v>0</v>
      </c>
      <c r="AO216" s="616">
        <f t="shared" si="290"/>
        <v>0</v>
      </c>
      <c r="AP216" s="616">
        <f t="shared" si="291"/>
        <v>0</v>
      </c>
      <c r="AQ216" s="637">
        <f t="shared" si="292"/>
        <v>0</v>
      </c>
      <c r="AR216" s="638">
        <f t="shared" si="282"/>
        <v>0</v>
      </c>
      <c r="AS216" s="616">
        <f t="shared" si="248"/>
        <v>0</v>
      </c>
      <c r="AT216" s="616">
        <f t="shared" si="249"/>
        <v>0</v>
      </c>
      <c r="AU216" s="616">
        <f t="shared" si="250"/>
        <v>0</v>
      </c>
      <c r="AV216" s="616">
        <f t="shared" si="251"/>
        <v>0</v>
      </c>
      <c r="AW216" s="616">
        <f t="shared" si="252"/>
        <v>0</v>
      </c>
      <c r="AX216" s="616">
        <f t="shared" si="253"/>
        <v>0</v>
      </c>
      <c r="AY216" s="616"/>
      <c r="AZ216" s="615">
        <f t="shared" si="254"/>
        <v>0</v>
      </c>
      <c r="BA216" s="616">
        <f t="shared" si="255"/>
        <v>0</v>
      </c>
      <c r="BB216" s="616">
        <f t="shared" si="256"/>
        <v>0</v>
      </c>
      <c r="BC216" s="616">
        <f t="shared" si="257"/>
        <v>0</v>
      </c>
      <c r="BD216" s="616">
        <f t="shared" si="258"/>
        <v>0</v>
      </c>
      <c r="BE216" s="616">
        <f t="shared" si="259"/>
        <v>0</v>
      </c>
      <c r="BF216" s="616">
        <f t="shared" si="260"/>
        <v>0</v>
      </c>
      <c r="BG216" s="616"/>
      <c r="BH216" s="615">
        <f t="shared" si="261"/>
        <v>0</v>
      </c>
      <c r="BI216" s="616">
        <f t="shared" si="262"/>
        <v>0</v>
      </c>
      <c r="BJ216" s="616">
        <f t="shared" si="263"/>
        <v>0</v>
      </c>
      <c r="BK216" s="616">
        <f t="shared" si="264"/>
        <v>0</v>
      </c>
      <c r="BL216" s="616">
        <f t="shared" si="265"/>
        <v>0</v>
      </c>
      <c r="BM216" s="616">
        <f t="shared" si="266"/>
        <v>0</v>
      </c>
      <c r="BN216" s="616">
        <f t="shared" si="267"/>
        <v>0</v>
      </c>
      <c r="BO216" s="616"/>
      <c r="BP216" s="304"/>
    </row>
    <row r="217" s="130" customFormat="1" ht="36" spans="1:68">
      <c r="A217" s="497" t="s">
        <v>202</v>
      </c>
      <c r="B217" s="497" t="s">
        <v>203</v>
      </c>
      <c r="C217" s="497" t="s">
        <v>488</v>
      </c>
      <c r="D217" s="497" t="s">
        <v>489</v>
      </c>
      <c r="E217" s="615">
        <f t="shared" si="275"/>
        <v>40.83</v>
      </c>
      <c r="F217" s="615">
        <f t="shared" si="276"/>
        <v>36.63</v>
      </c>
      <c r="G217" s="655">
        <v>13.65</v>
      </c>
      <c r="H217" s="655">
        <v>9.46</v>
      </c>
      <c r="I217" s="655">
        <v>1.14</v>
      </c>
      <c r="J217" s="616"/>
      <c r="K217" s="616"/>
      <c r="L217" s="616">
        <v>12.38</v>
      </c>
      <c r="M217" s="615">
        <f t="shared" si="277"/>
        <v>4.2</v>
      </c>
      <c r="N217" s="616"/>
      <c r="O217" s="616"/>
      <c r="P217" s="616">
        <v>2.2</v>
      </c>
      <c r="Q217" s="616">
        <v>2</v>
      </c>
      <c r="R217" s="615">
        <f t="shared" si="278"/>
        <v>-0.18</v>
      </c>
      <c r="S217" s="615">
        <f t="shared" si="242"/>
        <v>0.1</v>
      </c>
      <c r="T217" s="616">
        <v>0.1</v>
      </c>
      <c r="U217" s="616"/>
      <c r="V217" s="616"/>
      <c r="W217" s="616"/>
      <c r="X217" s="616"/>
      <c r="Y217" s="616"/>
      <c r="Z217" s="615">
        <f t="shared" si="279"/>
        <v>-0.28</v>
      </c>
      <c r="AA217" s="616"/>
      <c r="AB217" s="616"/>
      <c r="AC217" s="616">
        <v>-0.28</v>
      </c>
      <c r="AD217" s="616"/>
      <c r="AE217" s="615">
        <f t="shared" si="243"/>
        <v>40.65</v>
      </c>
      <c r="AF217" s="615">
        <f t="shared" si="244"/>
        <v>36.73</v>
      </c>
      <c r="AG217" s="616">
        <f t="shared" si="283"/>
        <v>13.75</v>
      </c>
      <c r="AH217" s="616">
        <f t="shared" si="284"/>
        <v>9.46</v>
      </c>
      <c r="AI217" s="616">
        <f t="shared" si="285"/>
        <v>1.14</v>
      </c>
      <c r="AJ217" s="616">
        <f t="shared" si="286"/>
        <v>0</v>
      </c>
      <c r="AK217" s="616">
        <f t="shared" si="287"/>
        <v>0</v>
      </c>
      <c r="AL217" s="616">
        <f t="shared" si="288"/>
        <v>12.38</v>
      </c>
      <c r="AM217" s="615">
        <f t="shared" si="246"/>
        <v>3.92</v>
      </c>
      <c r="AN217" s="616">
        <f t="shared" si="289"/>
        <v>0</v>
      </c>
      <c r="AO217" s="616">
        <f t="shared" si="290"/>
        <v>0</v>
      </c>
      <c r="AP217" s="616">
        <f t="shared" si="291"/>
        <v>1.92</v>
      </c>
      <c r="AQ217" s="637">
        <f t="shared" si="292"/>
        <v>2</v>
      </c>
      <c r="AR217" s="638">
        <f t="shared" si="282"/>
        <v>12.05428</v>
      </c>
      <c r="AS217" s="616">
        <f t="shared" si="248"/>
        <v>5.8608</v>
      </c>
      <c r="AT217" s="616">
        <f t="shared" si="249"/>
        <v>1.8488</v>
      </c>
      <c r="AU217" s="616">
        <f t="shared" si="250"/>
        <v>1.3866</v>
      </c>
      <c r="AV217" s="616">
        <f t="shared" si="251"/>
        <v>0.04622</v>
      </c>
      <c r="AW217" s="616">
        <f t="shared" si="252"/>
        <v>0.13866</v>
      </c>
      <c r="AX217" s="616">
        <f t="shared" si="253"/>
        <v>2.7732</v>
      </c>
      <c r="AY217" s="616"/>
      <c r="AZ217" s="615">
        <f t="shared" si="254"/>
        <v>0.0428</v>
      </c>
      <c r="BA217" s="616">
        <f t="shared" si="255"/>
        <v>0.016</v>
      </c>
      <c r="BB217" s="616">
        <f t="shared" si="256"/>
        <v>0.008</v>
      </c>
      <c r="BC217" s="616">
        <f t="shared" si="257"/>
        <v>0.006</v>
      </c>
      <c r="BD217" s="616">
        <f t="shared" si="258"/>
        <v>0.0002</v>
      </c>
      <c r="BE217" s="616">
        <f t="shared" si="259"/>
        <v>0.0006</v>
      </c>
      <c r="BF217" s="616">
        <f t="shared" si="260"/>
        <v>0.012</v>
      </c>
      <c r="BG217" s="616"/>
      <c r="BH217" s="615">
        <f t="shared" si="261"/>
        <v>12.09708</v>
      </c>
      <c r="BI217" s="616">
        <f t="shared" si="262"/>
        <v>5.8768</v>
      </c>
      <c r="BJ217" s="616">
        <f t="shared" si="263"/>
        <v>1.8568</v>
      </c>
      <c r="BK217" s="616">
        <f t="shared" si="264"/>
        <v>1.3926</v>
      </c>
      <c r="BL217" s="616">
        <f t="shared" si="265"/>
        <v>0.04642</v>
      </c>
      <c r="BM217" s="616">
        <f t="shared" si="266"/>
        <v>0.13926</v>
      </c>
      <c r="BN217" s="616">
        <f t="shared" si="267"/>
        <v>2.7852</v>
      </c>
      <c r="BO217" s="616"/>
      <c r="BP217" s="304"/>
    </row>
    <row r="218" s="130" customFormat="1" ht="36" spans="1:68">
      <c r="A218" s="497" t="s">
        <v>202</v>
      </c>
      <c r="B218" s="497" t="s">
        <v>206</v>
      </c>
      <c r="C218" s="497" t="s">
        <v>490</v>
      </c>
      <c r="D218" s="497" t="s">
        <v>491</v>
      </c>
      <c r="E218" s="615">
        <f t="shared" si="275"/>
        <v>0</v>
      </c>
      <c r="F218" s="615">
        <f t="shared" si="276"/>
        <v>0</v>
      </c>
      <c r="G218" s="616"/>
      <c r="H218" s="616"/>
      <c r="I218" s="616"/>
      <c r="J218" s="616"/>
      <c r="K218" s="616"/>
      <c r="L218" s="616"/>
      <c r="M218" s="615">
        <f t="shared" si="277"/>
        <v>0</v>
      </c>
      <c r="N218" s="616"/>
      <c r="O218" s="616"/>
      <c r="P218" s="616"/>
      <c r="Q218" s="616"/>
      <c r="R218" s="615">
        <f t="shared" si="278"/>
        <v>0</v>
      </c>
      <c r="S218" s="615">
        <f t="shared" si="242"/>
        <v>0</v>
      </c>
      <c r="T218" s="655"/>
      <c r="U218" s="655"/>
      <c r="V218" s="655"/>
      <c r="W218" s="616"/>
      <c r="X218" s="616"/>
      <c r="Y218" s="616"/>
      <c r="Z218" s="615">
        <f t="shared" si="279"/>
        <v>0</v>
      </c>
      <c r="AA218" s="655"/>
      <c r="AB218" s="616"/>
      <c r="AC218" s="616"/>
      <c r="AD218" s="616"/>
      <c r="AE218" s="615">
        <f t="shared" si="243"/>
        <v>0</v>
      </c>
      <c r="AF218" s="615">
        <f t="shared" si="244"/>
        <v>0</v>
      </c>
      <c r="AG218" s="616">
        <f t="shared" si="283"/>
        <v>0</v>
      </c>
      <c r="AH218" s="616">
        <f t="shared" si="284"/>
        <v>0</v>
      </c>
      <c r="AI218" s="616">
        <f t="shared" si="285"/>
        <v>0</v>
      </c>
      <c r="AJ218" s="616">
        <f t="shared" si="286"/>
        <v>0</v>
      </c>
      <c r="AK218" s="616">
        <f t="shared" si="287"/>
        <v>0</v>
      </c>
      <c r="AL218" s="616">
        <f t="shared" si="288"/>
        <v>0</v>
      </c>
      <c r="AM218" s="615">
        <f t="shared" si="246"/>
        <v>0</v>
      </c>
      <c r="AN218" s="616">
        <f t="shared" si="289"/>
        <v>0</v>
      </c>
      <c r="AO218" s="616">
        <f t="shared" si="290"/>
        <v>0</v>
      </c>
      <c r="AP218" s="616">
        <f t="shared" si="291"/>
        <v>0</v>
      </c>
      <c r="AQ218" s="637">
        <f t="shared" si="292"/>
        <v>0</v>
      </c>
      <c r="AR218" s="638">
        <f t="shared" si="282"/>
        <v>0</v>
      </c>
      <c r="AS218" s="616">
        <f t="shared" si="248"/>
        <v>0</v>
      </c>
      <c r="AT218" s="616">
        <f t="shared" si="249"/>
        <v>0</v>
      </c>
      <c r="AU218" s="616">
        <f t="shared" si="250"/>
        <v>0</v>
      </c>
      <c r="AV218" s="616">
        <f t="shared" si="251"/>
        <v>0</v>
      </c>
      <c r="AW218" s="616">
        <f t="shared" si="252"/>
        <v>0</v>
      </c>
      <c r="AX218" s="616">
        <f t="shared" si="253"/>
        <v>0</v>
      </c>
      <c r="AY218" s="616"/>
      <c r="AZ218" s="615">
        <f t="shared" si="254"/>
        <v>0</v>
      </c>
      <c r="BA218" s="616">
        <f t="shared" si="255"/>
        <v>0</v>
      </c>
      <c r="BB218" s="616">
        <f t="shared" si="256"/>
        <v>0</v>
      </c>
      <c r="BC218" s="616">
        <f t="shared" si="257"/>
        <v>0</v>
      </c>
      <c r="BD218" s="616">
        <f t="shared" si="258"/>
        <v>0</v>
      </c>
      <c r="BE218" s="616">
        <f t="shared" si="259"/>
        <v>0</v>
      </c>
      <c r="BF218" s="616">
        <f t="shared" si="260"/>
        <v>0</v>
      </c>
      <c r="BG218" s="616"/>
      <c r="BH218" s="615">
        <f t="shared" si="261"/>
        <v>0</v>
      </c>
      <c r="BI218" s="616">
        <f t="shared" si="262"/>
        <v>0</v>
      </c>
      <c r="BJ218" s="616">
        <f t="shared" si="263"/>
        <v>0</v>
      </c>
      <c r="BK218" s="616">
        <f t="shared" si="264"/>
        <v>0</v>
      </c>
      <c r="BL218" s="616">
        <f t="shared" si="265"/>
        <v>0</v>
      </c>
      <c r="BM218" s="616">
        <f t="shared" si="266"/>
        <v>0</v>
      </c>
      <c r="BN218" s="616">
        <f t="shared" si="267"/>
        <v>0</v>
      </c>
      <c r="BO218" s="616"/>
      <c r="BP218" s="304"/>
    </row>
    <row r="219" s="130" customFormat="1" ht="36" spans="1:68">
      <c r="A219" s="497" t="s">
        <v>202</v>
      </c>
      <c r="B219" s="497" t="s">
        <v>206</v>
      </c>
      <c r="C219" s="497" t="s">
        <v>492</v>
      </c>
      <c r="D219" s="497" t="s">
        <v>491</v>
      </c>
      <c r="E219" s="615">
        <f t="shared" si="275"/>
        <v>0</v>
      </c>
      <c r="F219" s="615">
        <f t="shared" si="276"/>
        <v>0</v>
      </c>
      <c r="G219" s="616"/>
      <c r="H219" s="616"/>
      <c r="I219" s="616"/>
      <c r="J219" s="616"/>
      <c r="K219" s="616"/>
      <c r="L219" s="616"/>
      <c r="M219" s="615">
        <f t="shared" si="277"/>
        <v>0</v>
      </c>
      <c r="N219" s="616"/>
      <c r="O219" s="616"/>
      <c r="P219" s="616"/>
      <c r="Q219" s="616"/>
      <c r="R219" s="615">
        <f t="shared" si="278"/>
        <v>0</v>
      </c>
      <c r="S219" s="615">
        <f t="shared" si="242"/>
        <v>0</v>
      </c>
      <c r="T219" s="655"/>
      <c r="U219" s="655"/>
      <c r="V219" s="655"/>
      <c r="W219" s="616"/>
      <c r="X219" s="616"/>
      <c r="Y219" s="616"/>
      <c r="Z219" s="615">
        <f t="shared" si="279"/>
        <v>0</v>
      </c>
      <c r="AA219" s="655"/>
      <c r="AB219" s="616"/>
      <c r="AC219" s="616"/>
      <c r="AD219" s="616"/>
      <c r="AE219" s="615">
        <f t="shared" si="243"/>
        <v>0</v>
      </c>
      <c r="AF219" s="615">
        <f t="shared" si="244"/>
        <v>0</v>
      </c>
      <c r="AG219" s="616">
        <f t="shared" si="283"/>
        <v>0</v>
      </c>
      <c r="AH219" s="616">
        <f t="shared" si="284"/>
        <v>0</v>
      </c>
      <c r="AI219" s="616">
        <f t="shared" si="285"/>
        <v>0</v>
      </c>
      <c r="AJ219" s="616">
        <f t="shared" si="286"/>
        <v>0</v>
      </c>
      <c r="AK219" s="616">
        <f t="shared" si="287"/>
        <v>0</v>
      </c>
      <c r="AL219" s="616">
        <f t="shared" si="288"/>
        <v>0</v>
      </c>
      <c r="AM219" s="615">
        <f t="shared" si="246"/>
        <v>0</v>
      </c>
      <c r="AN219" s="616">
        <f t="shared" si="289"/>
        <v>0</v>
      </c>
      <c r="AO219" s="616">
        <f t="shared" si="290"/>
        <v>0</v>
      </c>
      <c r="AP219" s="616">
        <f t="shared" si="291"/>
        <v>0</v>
      </c>
      <c r="AQ219" s="637">
        <f t="shared" si="292"/>
        <v>0</v>
      </c>
      <c r="AR219" s="638">
        <f t="shared" si="282"/>
        <v>0</v>
      </c>
      <c r="AS219" s="616">
        <f t="shared" si="248"/>
        <v>0</v>
      </c>
      <c r="AT219" s="616">
        <f t="shared" si="249"/>
        <v>0</v>
      </c>
      <c r="AU219" s="616">
        <f t="shared" si="250"/>
        <v>0</v>
      </c>
      <c r="AV219" s="616">
        <f t="shared" si="251"/>
        <v>0</v>
      </c>
      <c r="AW219" s="616">
        <f t="shared" si="252"/>
        <v>0</v>
      </c>
      <c r="AX219" s="616">
        <f t="shared" si="253"/>
        <v>0</v>
      </c>
      <c r="AY219" s="616"/>
      <c r="AZ219" s="615">
        <f t="shared" si="254"/>
        <v>0</v>
      </c>
      <c r="BA219" s="616">
        <f t="shared" si="255"/>
        <v>0</v>
      </c>
      <c r="BB219" s="616">
        <f t="shared" si="256"/>
        <v>0</v>
      </c>
      <c r="BC219" s="616">
        <f t="shared" si="257"/>
        <v>0</v>
      </c>
      <c r="BD219" s="616">
        <f t="shared" si="258"/>
        <v>0</v>
      </c>
      <c r="BE219" s="616">
        <f t="shared" si="259"/>
        <v>0</v>
      </c>
      <c r="BF219" s="616">
        <f t="shared" si="260"/>
        <v>0</v>
      </c>
      <c r="BG219" s="616"/>
      <c r="BH219" s="615">
        <f t="shared" si="261"/>
        <v>0</v>
      </c>
      <c r="BI219" s="616">
        <f t="shared" si="262"/>
        <v>0</v>
      </c>
      <c r="BJ219" s="616">
        <f t="shared" si="263"/>
        <v>0</v>
      </c>
      <c r="BK219" s="616">
        <f t="shared" si="264"/>
        <v>0</v>
      </c>
      <c r="BL219" s="616">
        <f t="shared" si="265"/>
        <v>0</v>
      </c>
      <c r="BM219" s="616">
        <f t="shared" si="266"/>
        <v>0</v>
      </c>
      <c r="BN219" s="616">
        <f t="shared" si="267"/>
        <v>0</v>
      </c>
      <c r="BO219" s="616"/>
      <c r="BP219" s="304"/>
    </row>
    <row r="220" s="130" customFormat="1" ht="36" spans="1:68">
      <c r="A220" s="497" t="s">
        <v>202</v>
      </c>
      <c r="B220" s="497" t="s">
        <v>206</v>
      </c>
      <c r="C220" s="497" t="s">
        <v>493</v>
      </c>
      <c r="D220" s="497" t="s">
        <v>491</v>
      </c>
      <c r="E220" s="615">
        <f t="shared" si="275"/>
        <v>0</v>
      </c>
      <c r="F220" s="615">
        <f t="shared" si="276"/>
        <v>0</v>
      </c>
      <c r="G220" s="616"/>
      <c r="H220" s="616"/>
      <c r="I220" s="616"/>
      <c r="J220" s="616"/>
      <c r="K220" s="616"/>
      <c r="L220" s="616"/>
      <c r="M220" s="615">
        <f t="shared" si="277"/>
        <v>0</v>
      </c>
      <c r="N220" s="616"/>
      <c r="O220" s="616"/>
      <c r="P220" s="616"/>
      <c r="Q220" s="616"/>
      <c r="R220" s="615">
        <f t="shared" si="278"/>
        <v>0</v>
      </c>
      <c r="S220" s="615">
        <f t="shared" si="242"/>
        <v>0</v>
      </c>
      <c r="T220" s="655"/>
      <c r="U220" s="655"/>
      <c r="V220" s="655"/>
      <c r="W220" s="616"/>
      <c r="X220" s="616"/>
      <c r="Y220" s="616"/>
      <c r="Z220" s="615">
        <f t="shared" si="279"/>
        <v>0</v>
      </c>
      <c r="AA220" s="655"/>
      <c r="AB220" s="616"/>
      <c r="AC220" s="616"/>
      <c r="AD220" s="616"/>
      <c r="AE220" s="615">
        <f t="shared" si="243"/>
        <v>0</v>
      </c>
      <c r="AF220" s="615">
        <f t="shared" si="244"/>
        <v>0</v>
      </c>
      <c r="AG220" s="616">
        <f t="shared" si="283"/>
        <v>0</v>
      </c>
      <c r="AH220" s="616">
        <f t="shared" si="284"/>
        <v>0</v>
      </c>
      <c r="AI220" s="616">
        <f t="shared" si="285"/>
        <v>0</v>
      </c>
      <c r="AJ220" s="616">
        <f t="shared" si="286"/>
        <v>0</v>
      </c>
      <c r="AK220" s="616">
        <f t="shared" si="287"/>
        <v>0</v>
      </c>
      <c r="AL220" s="616">
        <f t="shared" si="288"/>
        <v>0</v>
      </c>
      <c r="AM220" s="615">
        <f t="shared" si="246"/>
        <v>0</v>
      </c>
      <c r="AN220" s="616">
        <f t="shared" si="289"/>
        <v>0</v>
      </c>
      <c r="AO220" s="616">
        <f t="shared" si="290"/>
        <v>0</v>
      </c>
      <c r="AP220" s="616">
        <f t="shared" si="291"/>
        <v>0</v>
      </c>
      <c r="AQ220" s="637">
        <f t="shared" si="292"/>
        <v>0</v>
      </c>
      <c r="AR220" s="638">
        <f t="shared" si="282"/>
        <v>0</v>
      </c>
      <c r="AS220" s="616">
        <f t="shared" si="248"/>
        <v>0</v>
      </c>
      <c r="AT220" s="616">
        <f t="shared" si="249"/>
        <v>0</v>
      </c>
      <c r="AU220" s="616">
        <f t="shared" si="250"/>
        <v>0</v>
      </c>
      <c r="AV220" s="616">
        <f t="shared" si="251"/>
        <v>0</v>
      </c>
      <c r="AW220" s="616">
        <f t="shared" si="252"/>
        <v>0</v>
      </c>
      <c r="AX220" s="616">
        <f t="shared" si="253"/>
        <v>0</v>
      </c>
      <c r="AY220" s="616"/>
      <c r="AZ220" s="615">
        <f t="shared" si="254"/>
        <v>0</v>
      </c>
      <c r="BA220" s="616">
        <f t="shared" si="255"/>
        <v>0</v>
      </c>
      <c r="BB220" s="616">
        <f t="shared" si="256"/>
        <v>0</v>
      </c>
      <c r="BC220" s="616">
        <f t="shared" si="257"/>
        <v>0</v>
      </c>
      <c r="BD220" s="616">
        <f t="shared" si="258"/>
        <v>0</v>
      </c>
      <c r="BE220" s="616">
        <f t="shared" si="259"/>
        <v>0</v>
      </c>
      <c r="BF220" s="616">
        <f t="shared" si="260"/>
        <v>0</v>
      </c>
      <c r="BG220" s="616"/>
      <c r="BH220" s="615">
        <f t="shared" si="261"/>
        <v>0</v>
      </c>
      <c r="BI220" s="616">
        <f t="shared" si="262"/>
        <v>0</v>
      </c>
      <c r="BJ220" s="616">
        <f t="shared" si="263"/>
        <v>0</v>
      </c>
      <c r="BK220" s="616">
        <f t="shared" si="264"/>
        <v>0</v>
      </c>
      <c r="BL220" s="616">
        <f t="shared" si="265"/>
        <v>0</v>
      </c>
      <c r="BM220" s="616">
        <f t="shared" si="266"/>
        <v>0</v>
      </c>
      <c r="BN220" s="616">
        <f t="shared" si="267"/>
        <v>0</v>
      </c>
      <c r="BO220" s="616"/>
      <c r="BP220" s="304"/>
    </row>
    <row r="221" s="130" customFormat="1" ht="36" spans="1:68">
      <c r="A221" s="497" t="s">
        <v>202</v>
      </c>
      <c r="B221" s="497" t="s">
        <v>206</v>
      </c>
      <c r="C221" s="497" t="s">
        <v>494</v>
      </c>
      <c r="D221" s="497" t="s">
        <v>491</v>
      </c>
      <c r="E221" s="615">
        <f t="shared" si="275"/>
        <v>0</v>
      </c>
      <c r="F221" s="615">
        <f t="shared" si="276"/>
        <v>0</v>
      </c>
      <c r="G221" s="616"/>
      <c r="H221" s="616"/>
      <c r="I221" s="616"/>
      <c r="J221" s="616"/>
      <c r="K221" s="616"/>
      <c r="L221" s="616"/>
      <c r="M221" s="615">
        <f t="shared" si="277"/>
        <v>0</v>
      </c>
      <c r="N221" s="616"/>
      <c r="O221" s="616"/>
      <c r="P221" s="616"/>
      <c r="Q221" s="616"/>
      <c r="R221" s="615">
        <f t="shared" si="278"/>
        <v>4.94</v>
      </c>
      <c r="S221" s="615">
        <f t="shared" si="242"/>
        <v>4.94</v>
      </c>
      <c r="T221" s="655">
        <v>2.06</v>
      </c>
      <c r="U221" s="655">
        <v>1.31</v>
      </c>
      <c r="V221" s="655"/>
      <c r="W221" s="616"/>
      <c r="X221" s="616"/>
      <c r="Y221" s="616">
        <v>1.57</v>
      </c>
      <c r="Z221" s="615">
        <f t="shared" si="279"/>
        <v>0</v>
      </c>
      <c r="AA221" s="655"/>
      <c r="AB221" s="616"/>
      <c r="AC221" s="616"/>
      <c r="AD221" s="616"/>
      <c r="AE221" s="615">
        <f t="shared" si="243"/>
        <v>4.94</v>
      </c>
      <c r="AF221" s="615">
        <f t="shared" si="244"/>
        <v>4.94</v>
      </c>
      <c r="AG221" s="616">
        <f t="shared" si="283"/>
        <v>2.06</v>
      </c>
      <c r="AH221" s="616">
        <f t="shared" si="284"/>
        <v>1.31</v>
      </c>
      <c r="AI221" s="616">
        <f t="shared" si="285"/>
        <v>0</v>
      </c>
      <c r="AJ221" s="616">
        <f t="shared" si="286"/>
        <v>0</v>
      </c>
      <c r="AK221" s="616">
        <f t="shared" si="287"/>
        <v>0</v>
      </c>
      <c r="AL221" s="616">
        <f t="shared" si="288"/>
        <v>1.57</v>
      </c>
      <c r="AM221" s="615">
        <f t="shared" si="246"/>
        <v>0</v>
      </c>
      <c r="AN221" s="616">
        <f t="shared" si="289"/>
        <v>0</v>
      </c>
      <c r="AO221" s="616">
        <f t="shared" si="290"/>
        <v>0</v>
      </c>
      <c r="AP221" s="616">
        <f t="shared" si="291"/>
        <v>0</v>
      </c>
      <c r="AQ221" s="637">
        <f t="shared" si="292"/>
        <v>0</v>
      </c>
      <c r="AR221" s="638">
        <f t="shared" si="282"/>
        <v>0</v>
      </c>
      <c r="AS221" s="616">
        <f t="shared" si="248"/>
        <v>0</v>
      </c>
      <c r="AT221" s="616">
        <f t="shared" si="249"/>
        <v>0</v>
      </c>
      <c r="AU221" s="616">
        <f t="shared" si="250"/>
        <v>0</v>
      </c>
      <c r="AV221" s="616">
        <f t="shared" si="251"/>
        <v>0</v>
      </c>
      <c r="AW221" s="616">
        <f t="shared" si="252"/>
        <v>0</v>
      </c>
      <c r="AX221" s="616">
        <f t="shared" si="253"/>
        <v>0</v>
      </c>
      <c r="AY221" s="616"/>
      <c r="AZ221" s="615">
        <f t="shared" si="254"/>
        <v>1.69356</v>
      </c>
      <c r="BA221" s="616">
        <f t="shared" si="255"/>
        <v>0.7904</v>
      </c>
      <c r="BB221" s="616">
        <f t="shared" si="256"/>
        <v>0.2696</v>
      </c>
      <c r="BC221" s="616">
        <f t="shared" si="257"/>
        <v>0.2022</v>
      </c>
      <c r="BD221" s="616">
        <f t="shared" si="258"/>
        <v>0.00674</v>
      </c>
      <c r="BE221" s="616">
        <f t="shared" si="259"/>
        <v>0.02022</v>
      </c>
      <c r="BF221" s="616">
        <f t="shared" si="260"/>
        <v>0.4044</v>
      </c>
      <c r="BG221" s="616"/>
      <c r="BH221" s="615">
        <f t="shared" si="261"/>
        <v>1.69356</v>
      </c>
      <c r="BI221" s="616">
        <f t="shared" si="262"/>
        <v>0.7904</v>
      </c>
      <c r="BJ221" s="616">
        <f t="shared" si="263"/>
        <v>0.2696</v>
      </c>
      <c r="BK221" s="616">
        <f t="shared" si="264"/>
        <v>0.2022</v>
      </c>
      <c r="BL221" s="616">
        <f t="shared" si="265"/>
        <v>0.00674</v>
      </c>
      <c r="BM221" s="616">
        <f t="shared" si="266"/>
        <v>0.02022</v>
      </c>
      <c r="BN221" s="616">
        <f t="shared" si="267"/>
        <v>0.4044</v>
      </c>
      <c r="BO221" s="616"/>
      <c r="BP221" s="304"/>
    </row>
    <row r="222" s="130" customFormat="1" ht="24" spans="1:68">
      <c r="A222" s="497" t="s">
        <v>202</v>
      </c>
      <c r="B222" s="497" t="s">
        <v>206</v>
      </c>
      <c r="C222" s="497" t="s">
        <v>495</v>
      </c>
      <c r="D222" s="497" t="s">
        <v>496</v>
      </c>
      <c r="E222" s="615">
        <f t="shared" si="275"/>
        <v>0</v>
      </c>
      <c r="F222" s="615">
        <f t="shared" si="276"/>
        <v>0</v>
      </c>
      <c r="G222" s="616"/>
      <c r="H222" s="616"/>
      <c r="I222" s="616"/>
      <c r="J222" s="616"/>
      <c r="K222" s="616"/>
      <c r="L222" s="616"/>
      <c r="M222" s="615">
        <f t="shared" si="277"/>
        <v>0</v>
      </c>
      <c r="N222" s="616"/>
      <c r="O222" s="616"/>
      <c r="P222" s="616"/>
      <c r="Q222" s="616"/>
      <c r="R222" s="615">
        <f t="shared" si="278"/>
        <v>0</v>
      </c>
      <c r="S222" s="615">
        <f t="shared" si="242"/>
        <v>0</v>
      </c>
      <c r="T222" s="655"/>
      <c r="U222" s="655"/>
      <c r="V222" s="655"/>
      <c r="W222" s="616"/>
      <c r="X222" s="616"/>
      <c r="Y222" s="616"/>
      <c r="Z222" s="615">
        <f t="shared" si="279"/>
        <v>0</v>
      </c>
      <c r="AA222" s="655"/>
      <c r="AB222" s="616"/>
      <c r="AC222" s="616"/>
      <c r="AD222" s="616"/>
      <c r="AE222" s="615">
        <f t="shared" si="243"/>
        <v>0</v>
      </c>
      <c r="AF222" s="615">
        <f t="shared" si="244"/>
        <v>0</v>
      </c>
      <c r="AG222" s="616">
        <f t="shared" si="283"/>
        <v>0</v>
      </c>
      <c r="AH222" s="616">
        <f t="shared" si="284"/>
        <v>0</v>
      </c>
      <c r="AI222" s="616">
        <f t="shared" si="285"/>
        <v>0</v>
      </c>
      <c r="AJ222" s="616">
        <f t="shared" si="286"/>
        <v>0</v>
      </c>
      <c r="AK222" s="616">
        <f t="shared" si="287"/>
        <v>0</v>
      </c>
      <c r="AL222" s="616">
        <f t="shared" si="288"/>
        <v>0</v>
      </c>
      <c r="AM222" s="615">
        <f t="shared" si="246"/>
        <v>0</v>
      </c>
      <c r="AN222" s="616">
        <f t="shared" si="289"/>
        <v>0</v>
      </c>
      <c r="AO222" s="616">
        <f t="shared" si="290"/>
        <v>0</v>
      </c>
      <c r="AP222" s="616">
        <f t="shared" si="291"/>
        <v>0</v>
      </c>
      <c r="AQ222" s="637">
        <f t="shared" si="292"/>
        <v>0</v>
      </c>
      <c r="AR222" s="638">
        <f t="shared" si="282"/>
        <v>0</v>
      </c>
      <c r="AS222" s="616">
        <f t="shared" si="248"/>
        <v>0</v>
      </c>
      <c r="AT222" s="616">
        <f t="shared" si="249"/>
        <v>0</v>
      </c>
      <c r="AU222" s="616">
        <f t="shared" si="250"/>
        <v>0</v>
      </c>
      <c r="AV222" s="616">
        <f t="shared" si="251"/>
        <v>0</v>
      </c>
      <c r="AW222" s="616">
        <f t="shared" si="252"/>
        <v>0</v>
      </c>
      <c r="AX222" s="616">
        <f t="shared" si="253"/>
        <v>0</v>
      </c>
      <c r="AY222" s="616"/>
      <c r="AZ222" s="615">
        <f t="shared" si="254"/>
        <v>0</v>
      </c>
      <c r="BA222" s="616">
        <f t="shared" si="255"/>
        <v>0</v>
      </c>
      <c r="BB222" s="616">
        <f t="shared" si="256"/>
        <v>0</v>
      </c>
      <c r="BC222" s="616">
        <f t="shared" si="257"/>
        <v>0</v>
      </c>
      <c r="BD222" s="616">
        <f t="shared" si="258"/>
        <v>0</v>
      </c>
      <c r="BE222" s="616">
        <f t="shared" si="259"/>
        <v>0</v>
      </c>
      <c r="BF222" s="616">
        <f t="shared" si="260"/>
        <v>0</v>
      </c>
      <c r="BG222" s="616"/>
      <c r="BH222" s="615">
        <f t="shared" si="261"/>
        <v>0</v>
      </c>
      <c r="BI222" s="616">
        <f t="shared" si="262"/>
        <v>0</v>
      </c>
      <c r="BJ222" s="616">
        <f t="shared" si="263"/>
        <v>0</v>
      </c>
      <c r="BK222" s="616">
        <f t="shared" si="264"/>
        <v>0</v>
      </c>
      <c r="BL222" s="616">
        <f t="shared" si="265"/>
        <v>0</v>
      </c>
      <c r="BM222" s="616">
        <f t="shared" si="266"/>
        <v>0</v>
      </c>
      <c r="BN222" s="616">
        <f t="shared" si="267"/>
        <v>0</v>
      </c>
      <c r="BO222" s="616"/>
      <c r="BP222" s="304"/>
    </row>
    <row r="223" s="130" customFormat="1" ht="24" spans="1:68">
      <c r="A223" s="497" t="s">
        <v>202</v>
      </c>
      <c r="B223" s="497" t="s">
        <v>206</v>
      </c>
      <c r="C223" s="497" t="s">
        <v>497</v>
      </c>
      <c r="D223" s="497" t="s">
        <v>498</v>
      </c>
      <c r="E223" s="615">
        <f t="shared" si="275"/>
        <v>0</v>
      </c>
      <c r="F223" s="615">
        <f t="shared" si="276"/>
        <v>0</v>
      </c>
      <c r="G223" s="616"/>
      <c r="H223" s="616"/>
      <c r="I223" s="616"/>
      <c r="J223" s="616"/>
      <c r="K223" s="616"/>
      <c r="L223" s="616"/>
      <c r="M223" s="615">
        <f t="shared" si="277"/>
        <v>0</v>
      </c>
      <c r="N223" s="616"/>
      <c r="O223" s="616"/>
      <c r="P223" s="616"/>
      <c r="Q223" s="616"/>
      <c r="R223" s="615">
        <f t="shared" si="278"/>
        <v>0</v>
      </c>
      <c r="S223" s="615">
        <f t="shared" si="242"/>
        <v>0</v>
      </c>
      <c r="T223" s="656"/>
      <c r="U223" s="619"/>
      <c r="V223" s="655"/>
      <c r="W223" s="616"/>
      <c r="X223" s="616"/>
      <c r="Y223" s="616"/>
      <c r="Z223" s="615">
        <f t="shared" si="279"/>
        <v>0</v>
      </c>
      <c r="AA223" s="616"/>
      <c r="AB223" s="616"/>
      <c r="AC223" s="616"/>
      <c r="AD223" s="616"/>
      <c r="AE223" s="615">
        <f t="shared" si="243"/>
        <v>0</v>
      </c>
      <c r="AF223" s="615">
        <f t="shared" si="244"/>
        <v>0</v>
      </c>
      <c r="AG223" s="616">
        <f t="shared" si="283"/>
        <v>0</v>
      </c>
      <c r="AH223" s="616">
        <f t="shared" si="284"/>
        <v>0</v>
      </c>
      <c r="AI223" s="616">
        <f t="shared" si="285"/>
        <v>0</v>
      </c>
      <c r="AJ223" s="616">
        <f t="shared" si="286"/>
        <v>0</v>
      </c>
      <c r="AK223" s="616">
        <f t="shared" si="287"/>
        <v>0</v>
      </c>
      <c r="AL223" s="616">
        <f t="shared" si="288"/>
        <v>0</v>
      </c>
      <c r="AM223" s="615">
        <f t="shared" si="246"/>
        <v>0</v>
      </c>
      <c r="AN223" s="616">
        <f t="shared" si="289"/>
        <v>0</v>
      </c>
      <c r="AO223" s="616">
        <f t="shared" si="290"/>
        <v>0</v>
      </c>
      <c r="AP223" s="616">
        <f t="shared" si="291"/>
        <v>0</v>
      </c>
      <c r="AQ223" s="637">
        <f t="shared" si="292"/>
        <v>0</v>
      </c>
      <c r="AR223" s="638">
        <f t="shared" si="282"/>
        <v>0</v>
      </c>
      <c r="AS223" s="616">
        <f t="shared" si="248"/>
        <v>0</v>
      </c>
      <c r="AT223" s="616">
        <f t="shared" si="249"/>
        <v>0</v>
      </c>
      <c r="AU223" s="616">
        <f t="shared" si="250"/>
        <v>0</v>
      </c>
      <c r="AV223" s="616">
        <f t="shared" si="251"/>
        <v>0</v>
      </c>
      <c r="AW223" s="616">
        <f t="shared" si="252"/>
        <v>0</v>
      </c>
      <c r="AX223" s="616">
        <f t="shared" si="253"/>
        <v>0</v>
      </c>
      <c r="AY223" s="616"/>
      <c r="AZ223" s="615">
        <f t="shared" si="254"/>
        <v>0</v>
      </c>
      <c r="BA223" s="616">
        <f t="shared" si="255"/>
        <v>0</v>
      </c>
      <c r="BB223" s="616">
        <f t="shared" si="256"/>
        <v>0</v>
      </c>
      <c r="BC223" s="616">
        <f t="shared" si="257"/>
        <v>0</v>
      </c>
      <c r="BD223" s="616">
        <f t="shared" si="258"/>
        <v>0</v>
      </c>
      <c r="BE223" s="616">
        <f t="shared" si="259"/>
        <v>0</v>
      </c>
      <c r="BF223" s="616">
        <f t="shared" si="260"/>
        <v>0</v>
      </c>
      <c r="BG223" s="616"/>
      <c r="BH223" s="615">
        <f t="shared" si="261"/>
        <v>0</v>
      </c>
      <c r="BI223" s="616">
        <f t="shared" si="262"/>
        <v>0</v>
      </c>
      <c r="BJ223" s="616">
        <f t="shared" si="263"/>
        <v>0</v>
      </c>
      <c r="BK223" s="616">
        <f t="shared" si="264"/>
        <v>0</v>
      </c>
      <c r="BL223" s="616">
        <f t="shared" si="265"/>
        <v>0</v>
      </c>
      <c r="BM223" s="616">
        <f t="shared" si="266"/>
        <v>0</v>
      </c>
      <c r="BN223" s="616">
        <f t="shared" si="267"/>
        <v>0</v>
      </c>
      <c r="BO223" s="616"/>
      <c r="BP223" s="304"/>
    </row>
    <row r="224" s="130" customFormat="1" ht="36" spans="1:68">
      <c r="A224" s="497" t="s">
        <v>202</v>
      </c>
      <c r="B224" s="497" t="s">
        <v>203</v>
      </c>
      <c r="C224" s="497" t="s">
        <v>499</v>
      </c>
      <c r="D224" s="497" t="s">
        <v>500</v>
      </c>
      <c r="E224" s="615">
        <f t="shared" si="275"/>
        <v>18.81</v>
      </c>
      <c r="F224" s="615">
        <f t="shared" si="276"/>
        <v>16.71</v>
      </c>
      <c r="G224" s="616">
        <v>5.74</v>
      </c>
      <c r="H224" s="616">
        <v>4.41</v>
      </c>
      <c r="I224" s="616">
        <v>0.48</v>
      </c>
      <c r="J224" s="616"/>
      <c r="K224" s="616"/>
      <c r="L224" s="616">
        <v>6.08</v>
      </c>
      <c r="M224" s="615">
        <f t="shared" si="277"/>
        <v>2.1</v>
      </c>
      <c r="N224" s="616"/>
      <c r="O224" s="616"/>
      <c r="P224" s="616">
        <v>1.1</v>
      </c>
      <c r="Q224" s="616">
        <v>1</v>
      </c>
      <c r="R224" s="615">
        <f t="shared" si="278"/>
        <v>-18.51</v>
      </c>
      <c r="S224" s="615">
        <f t="shared" si="242"/>
        <v>-16.71</v>
      </c>
      <c r="T224" s="616">
        <v>-5.74</v>
      </c>
      <c r="U224" s="616">
        <v>-4.41</v>
      </c>
      <c r="V224" s="616">
        <v>-0.48</v>
      </c>
      <c r="W224" s="616"/>
      <c r="X224" s="616"/>
      <c r="Y224" s="616">
        <v>-6.08</v>
      </c>
      <c r="Z224" s="615">
        <f t="shared" si="279"/>
        <v>-1.8</v>
      </c>
      <c r="AA224" s="616"/>
      <c r="AB224" s="616">
        <v>0.3</v>
      </c>
      <c r="AC224" s="616">
        <v>-1.1</v>
      </c>
      <c r="AD224" s="616">
        <v>-1</v>
      </c>
      <c r="AE224" s="615">
        <f t="shared" si="243"/>
        <v>0.3</v>
      </c>
      <c r="AF224" s="615">
        <f t="shared" si="244"/>
        <v>0</v>
      </c>
      <c r="AG224" s="616">
        <f t="shared" si="283"/>
        <v>0</v>
      </c>
      <c r="AH224" s="616">
        <f t="shared" si="284"/>
        <v>0</v>
      </c>
      <c r="AI224" s="616">
        <f t="shared" si="285"/>
        <v>0</v>
      </c>
      <c r="AJ224" s="616">
        <f t="shared" si="286"/>
        <v>0</v>
      </c>
      <c r="AK224" s="616">
        <f t="shared" si="287"/>
        <v>0</v>
      </c>
      <c r="AL224" s="616">
        <f t="shared" si="288"/>
        <v>0</v>
      </c>
      <c r="AM224" s="615">
        <f t="shared" si="246"/>
        <v>0.3</v>
      </c>
      <c r="AN224" s="616">
        <f t="shared" si="289"/>
        <v>0</v>
      </c>
      <c r="AO224" s="616">
        <f t="shared" si="290"/>
        <v>0.3</v>
      </c>
      <c r="AP224" s="616">
        <f t="shared" si="291"/>
        <v>0</v>
      </c>
      <c r="AQ224" s="637">
        <f t="shared" si="292"/>
        <v>0</v>
      </c>
      <c r="AR224" s="638">
        <f t="shared" si="282"/>
        <v>5.3938</v>
      </c>
      <c r="AS224" s="616">
        <f t="shared" si="248"/>
        <v>2.6736</v>
      </c>
      <c r="AT224" s="616">
        <f t="shared" si="249"/>
        <v>0.812</v>
      </c>
      <c r="AU224" s="616">
        <f t="shared" si="250"/>
        <v>0.609</v>
      </c>
      <c r="AV224" s="616">
        <f t="shared" si="251"/>
        <v>0.0203</v>
      </c>
      <c r="AW224" s="616">
        <f t="shared" si="252"/>
        <v>0.0609</v>
      </c>
      <c r="AX224" s="616">
        <f t="shared" si="253"/>
        <v>1.218</v>
      </c>
      <c r="AY224" s="616"/>
      <c r="AZ224" s="615">
        <f t="shared" si="254"/>
        <v>-5.3938</v>
      </c>
      <c r="BA224" s="616">
        <f t="shared" si="255"/>
        <v>-2.6736</v>
      </c>
      <c r="BB224" s="616">
        <f t="shared" si="256"/>
        <v>-0.812</v>
      </c>
      <c r="BC224" s="616">
        <f t="shared" si="257"/>
        <v>-0.609</v>
      </c>
      <c r="BD224" s="616">
        <f t="shared" si="258"/>
        <v>-0.0203</v>
      </c>
      <c r="BE224" s="616">
        <f t="shared" si="259"/>
        <v>-0.0609</v>
      </c>
      <c r="BF224" s="616">
        <f t="shared" si="260"/>
        <v>-1.218</v>
      </c>
      <c r="BG224" s="616"/>
      <c r="BH224" s="615">
        <f t="shared" si="261"/>
        <v>0</v>
      </c>
      <c r="BI224" s="616">
        <f t="shared" si="262"/>
        <v>0</v>
      </c>
      <c r="BJ224" s="616">
        <f t="shared" si="263"/>
        <v>0</v>
      </c>
      <c r="BK224" s="616">
        <f t="shared" si="264"/>
        <v>0</v>
      </c>
      <c r="BL224" s="616">
        <f t="shared" si="265"/>
        <v>0</v>
      </c>
      <c r="BM224" s="616">
        <f t="shared" si="266"/>
        <v>0</v>
      </c>
      <c r="BN224" s="616">
        <f t="shared" si="267"/>
        <v>0</v>
      </c>
      <c r="BO224" s="616">
        <f>AY224+BG224</f>
        <v>0</v>
      </c>
      <c r="BP224" s="342" t="s">
        <v>501</v>
      </c>
    </row>
    <row r="225" s="130" customFormat="1" ht="36" spans="1:68">
      <c r="A225" s="497" t="s">
        <v>202</v>
      </c>
      <c r="B225" s="497" t="s">
        <v>206</v>
      </c>
      <c r="C225" s="497" t="s">
        <v>502</v>
      </c>
      <c r="D225" s="497" t="s">
        <v>503</v>
      </c>
      <c r="E225" s="615">
        <f t="shared" si="275"/>
        <v>0</v>
      </c>
      <c r="F225" s="615">
        <f t="shared" si="276"/>
        <v>0</v>
      </c>
      <c r="G225" s="616"/>
      <c r="H225" s="616"/>
      <c r="I225" s="616"/>
      <c r="J225" s="616"/>
      <c r="K225" s="616"/>
      <c r="L225" s="616"/>
      <c r="M225" s="615">
        <f t="shared" si="277"/>
        <v>0</v>
      </c>
      <c r="N225" s="616"/>
      <c r="O225" s="616"/>
      <c r="P225" s="616"/>
      <c r="Q225" s="616"/>
      <c r="R225" s="615">
        <f t="shared" si="278"/>
        <v>0</v>
      </c>
      <c r="S225" s="615">
        <f t="shared" si="242"/>
        <v>0</v>
      </c>
      <c r="T225" s="655"/>
      <c r="U225" s="655"/>
      <c r="V225" s="655"/>
      <c r="W225" s="616"/>
      <c r="X225" s="616"/>
      <c r="Y225" s="616"/>
      <c r="Z225" s="615">
        <f t="shared" si="279"/>
        <v>0</v>
      </c>
      <c r="AA225" s="655"/>
      <c r="AB225" s="655"/>
      <c r="AC225" s="616"/>
      <c r="AD225" s="616"/>
      <c r="AE225" s="615">
        <f t="shared" si="243"/>
        <v>0</v>
      </c>
      <c r="AF225" s="615">
        <f t="shared" si="244"/>
        <v>0</v>
      </c>
      <c r="AG225" s="616">
        <f t="shared" si="283"/>
        <v>0</v>
      </c>
      <c r="AH225" s="616">
        <f t="shared" si="284"/>
        <v>0</v>
      </c>
      <c r="AI225" s="616">
        <f t="shared" si="285"/>
        <v>0</v>
      </c>
      <c r="AJ225" s="616">
        <f t="shared" si="286"/>
        <v>0</v>
      </c>
      <c r="AK225" s="616">
        <f t="shared" si="287"/>
        <v>0</v>
      </c>
      <c r="AL225" s="616">
        <f t="shared" si="288"/>
        <v>0</v>
      </c>
      <c r="AM225" s="615">
        <f t="shared" si="246"/>
        <v>0</v>
      </c>
      <c r="AN225" s="616">
        <f t="shared" si="289"/>
        <v>0</v>
      </c>
      <c r="AO225" s="616">
        <f t="shared" si="290"/>
        <v>0</v>
      </c>
      <c r="AP225" s="616">
        <f t="shared" si="291"/>
        <v>0</v>
      </c>
      <c r="AQ225" s="637">
        <f t="shared" si="292"/>
        <v>0</v>
      </c>
      <c r="AR225" s="638">
        <f t="shared" si="282"/>
        <v>0</v>
      </c>
      <c r="AS225" s="616">
        <f t="shared" si="248"/>
        <v>0</v>
      </c>
      <c r="AT225" s="616">
        <f t="shared" si="249"/>
        <v>0</v>
      </c>
      <c r="AU225" s="616">
        <f t="shared" si="250"/>
        <v>0</v>
      </c>
      <c r="AV225" s="616">
        <f t="shared" si="251"/>
        <v>0</v>
      </c>
      <c r="AW225" s="616">
        <f t="shared" si="252"/>
        <v>0</v>
      </c>
      <c r="AX225" s="616">
        <f t="shared" si="253"/>
        <v>0</v>
      </c>
      <c r="AY225" s="616"/>
      <c r="AZ225" s="615">
        <f t="shared" si="254"/>
        <v>0</v>
      </c>
      <c r="BA225" s="616">
        <f t="shared" si="255"/>
        <v>0</v>
      </c>
      <c r="BB225" s="616">
        <f t="shared" si="256"/>
        <v>0</v>
      </c>
      <c r="BC225" s="616">
        <f t="shared" si="257"/>
        <v>0</v>
      </c>
      <c r="BD225" s="616">
        <f t="shared" si="258"/>
        <v>0</v>
      </c>
      <c r="BE225" s="616">
        <f t="shared" si="259"/>
        <v>0</v>
      </c>
      <c r="BF225" s="616">
        <f t="shared" si="260"/>
        <v>0</v>
      </c>
      <c r="BG225" s="616"/>
      <c r="BH225" s="615">
        <f t="shared" si="261"/>
        <v>0</v>
      </c>
      <c r="BI225" s="616">
        <f t="shared" si="262"/>
        <v>0</v>
      </c>
      <c r="BJ225" s="616">
        <f t="shared" si="263"/>
        <v>0</v>
      </c>
      <c r="BK225" s="616">
        <f t="shared" si="264"/>
        <v>0</v>
      </c>
      <c r="BL225" s="616">
        <f t="shared" si="265"/>
        <v>0</v>
      </c>
      <c r="BM225" s="616">
        <f t="shared" si="266"/>
        <v>0</v>
      </c>
      <c r="BN225" s="616">
        <f t="shared" si="267"/>
        <v>0</v>
      </c>
      <c r="BO225" s="616"/>
      <c r="BP225" s="304"/>
    </row>
    <row r="226" s="508" customFormat="1" ht="22" customHeight="1" spans="1:69">
      <c r="A226" s="647"/>
      <c r="B226" s="647"/>
      <c r="C226" s="647" t="s">
        <v>132</v>
      </c>
      <c r="D226" s="648">
        <v>208</v>
      </c>
      <c r="E226" s="612">
        <f t="shared" ref="E226:P226" si="293">SUM(E227:E238)</f>
        <v>501.2224</v>
      </c>
      <c r="F226" s="612">
        <f t="shared" si="293"/>
        <v>453.2524</v>
      </c>
      <c r="G226" s="612">
        <f t="shared" si="293"/>
        <v>191.2624</v>
      </c>
      <c r="H226" s="612">
        <f t="shared" si="293"/>
        <v>116.86</v>
      </c>
      <c r="I226" s="612">
        <f t="shared" si="293"/>
        <v>16.07</v>
      </c>
      <c r="J226" s="612">
        <f t="shared" si="293"/>
        <v>0</v>
      </c>
      <c r="K226" s="612">
        <f t="shared" si="293"/>
        <v>0</v>
      </c>
      <c r="L226" s="612">
        <f t="shared" si="293"/>
        <v>129.06</v>
      </c>
      <c r="M226" s="612">
        <f t="shared" si="293"/>
        <v>47.97</v>
      </c>
      <c r="N226" s="612">
        <f t="shared" si="293"/>
        <v>10.17</v>
      </c>
      <c r="O226" s="612">
        <f t="shared" si="293"/>
        <v>0</v>
      </c>
      <c r="P226" s="612">
        <f t="shared" si="293"/>
        <v>19.8</v>
      </c>
      <c r="Q226" s="612">
        <f t="shared" ref="Q226:AE226" si="294">SUM(Q227:Q238)</f>
        <v>18</v>
      </c>
      <c r="R226" s="612">
        <f t="shared" si="294"/>
        <v>-3.90386</v>
      </c>
      <c r="S226" s="612">
        <f t="shared" si="294"/>
        <v>-13.79386</v>
      </c>
      <c r="T226" s="612">
        <f t="shared" si="294"/>
        <v>-14.8768</v>
      </c>
      <c r="U226" s="612">
        <f t="shared" si="294"/>
        <v>-5.2328</v>
      </c>
      <c r="V226" s="612">
        <f t="shared" si="294"/>
        <v>0.21</v>
      </c>
      <c r="W226" s="612">
        <f t="shared" si="294"/>
        <v>0.56</v>
      </c>
      <c r="X226" s="612">
        <f t="shared" si="294"/>
        <v>0</v>
      </c>
      <c r="Y226" s="612">
        <f t="shared" si="294"/>
        <v>5.54574</v>
      </c>
      <c r="Z226" s="612">
        <f t="shared" si="294"/>
        <v>9.89</v>
      </c>
      <c r="AA226" s="612">
        <f t="shared" si="294"/>
        <v>0</v>
      </c>
      <c r="AB226" s="612">
        <f t="shared" si="294"/>
        <v>2.55</v>
      </c>
      <c r="AC226" s="612">
        <f t="shared" si="294"/>
        <v>5.19</v>
      </c>
      <c r="AD226" s="612">
        <f t="shared" si="294"/>
        <v>2.15</v>
      </c>
      <c r="AE226" s="612">
        <f t="shared" ref="AE226:AQ226" si="295">SUM(AE227:AE238)</f>
        <v>497.31854</v>
      </c>
      <c r="AF226" s="612">
        <f t="shared" si="295"/>
        <v>439.45854</v>
      </c>
      <c r="AG226" s="612">
        <f t="shared" si="295"/>
        <v>176.3856</v>
      </c>
      <c r="AH226" s="612">
        <f t="shared" si="295"/>
        <v>111.6272</v>
      </c>
      <c r="AI226" s="612">
        <f t="shared" si="295"/>
        <v>16.28</v>
      </c>
      <c r="AJ226" s="612">
        <f t="shared" si="295"/>
        <v>0.56</v>
      </c>
      <c r="AK226" s="612">
        <f t="shared" si="295"/>
        <v>0</v>
      </c>
      <c r="AL226" s="612">
        <f t="shared" si="295"/>
        <v>134.60574</v>
      </c>
      <c r="AM226" s="612">
        <f t="shared" si="295"/>
        <v>57.86</v>
      </c>
      <c r="AN226" s="612">
        <f t="shared" si="295"/>
        <v>10.17</v>
      </c>
      <c r="AO226" s="612">
        <f t="shared" si="295"/>
        <v>2.55</v>
      </c>
      <c r="AP226" s="612">
        <f t="shared" si="295"/>
        <v>24.99</v>
      </c>
      <c r="AQ226" s="635">
        <f t="shared" si="295"/>
        <v>20.15</v>
      </c>
      <c r="AR226" s="636">
        <f t="shared" ref="AR226:AY226" si="296">SUM(AR227:AR238)</f>
        <v>155.0971872</v>
      </c>
      <c r="AS226" s="612">
        <f t="shared" si="296"/>
        <v>72.520384</v>
      </c>
      <c r="AT226" s="612">
        <f t="shared" si="296"/>
        <v>24.649792</v>
      </c>
      <c r="AU226" s="612">
        <f t="shared" si="296"/>
        <v>18.487344</v>
      </c>
      <c r="AV226" s="612">
        <f t="shared" si="296"/>
        <v>0.6162448</v>
      </c>
      <c r="AW226" s="612">
        <f t="shared" si="296"/>
        <v>1.8487344</v>
      </c>
      <c r="AX226" s="612">
        <f t="shared" si="296"/>
        <v>36.974688</v>
      </c>
      <c r="AY226" s="612">
        <f t="shared" si="296"/>
        <v>0</v>
      </c>
      <c r="AZ226" s="612">
        <f t="shared" ref="AZ226:BO226" si="297">SUM(AZ227:AZ238)</f>
        <v>-7.6859904</v>
      </c>
      <c r="BA226" s="612">
        <f t="shared" si="297"/>
        <v>-2.2966176</v>
      </c>
      <c r="BB226" s="612">
        <f t="shared" si="297"/>
        <v>-1.608768</v>
      </c>
      <c r="BC226" s="612">
        <f t="shared" si="297"/>
        <v>-1.206576</v>
      </c>
      <c r="BD226" s="612">
        <f t="shared" si="297"/>
        <v>-0.0402192</v>
      </c>
      <c r="BE226" s="612">
        <f t="shared" si="297"/>
        <v>-0.1206576</v>
      </c>
      <c r="BF226" s="612">
        <f t="shared" si="297"/>
        <v>-2.413152</v>
      </c>
      <c r="BG226" s="612">
        <f t="shared" si="297"/>
        <v>0</v>
      </c>
      <c r="BH226" s="612">
        <f t="shared" si="297"/>
        <v>147.4111968</v>
      </c>
      <c r="BI226" s="612">
        <f t="shared" si="297"/>
        <v>70.2237664</v>
      </c>
      <c r="BJ226" s="612">
        <f t="shared" si="297"/>
        <v>23.041024</v>
      </c>
      <c r="BK226" s="612">
        <f t="shared" si="297"/>
        <v>17.280768</v>
      </c>
      <c r="BL226" s="612">
        <f t="shared" si="297"/>
        <v>0.5760256</v>
      </c>
      <c r="BM226" s="612">
        <f t="shared" si="297"/>
        <v>1.7280768</v>
      </c>
      <c r="BN226" s="612">
        <f t="shared" si="297"/>
        <v>34.561536</v>
      </c>
      <c r="BO226" s="612">
        <f t="shared" si="297"/>
        <v>0</v>
      </c>
      <c r="BP226" s="334"/>
      <c r="BQ226" s="580"/>
    </row>
    <row r="227" s="130" customFormat="1" ht="24" spans="1:68">
      <c r="A227" s="497" t="s">
        <v>504</v>
      </c>
      <c r="B227" s="497" t="s">
        <v>203</v>
      </c>
      <c r="C227" s="497" t="s">
        <v>505</v>
      </c>
      <c r="D227" s="497" t="s">
        <v>506</v>
      </c>
      <c r="E227" s="615">
        <f t="shared" ref="E227:E232" si="298">F227+M227</f>
        <v>236.32</v>
      </c>
      <c r="F227" s="615">
        <f t="shared" ref="F227:F238" si="299">SUM(G227:L227)</f>
        <v>216.37</v>
      </c>
      <c r="G227" s="616">
        <v>87.73</v>
      </c>
      <c r="H227" s="616">
        <v>54.12</v>
      </c>
      <c r="I227" s="616">
        <v>7.31</v>
      </c>
      <c r="J227" s="616"/>
      <c r="K227" s="616"/>
      <c r="L227" s="616">
        <v>67.21</v>
      </c>
      <c r="M227" s="615">
        <f t="shared" ref="M227:M232" si="300">SUM(N227:Q227)</f>
        <v>19.95</v>
      </c>
      <c r="N227" s="616"/>
      <c r="O227" s="616"/>
      <c r="P227" s="616">
        <v>10.45</v>
      </c>
      <c r="Q227" s="616">
        <v>9.5</v>
      </c>
      <c r="R227" s="615">
        <f t="shared" ref="R227:R232" si="301">S227+Z227</f>
        <v>-11.98214</v>
      </c>
      <c r="S227" s="615">
        <f t="shared" ref="S227:S238" si="302">SUM(T227:Y227)</f>
        <v>-13.98214</v>
      </c>
      <c r="T227" s="616">
        <v>-6.06</v>
      </c>
      <c r="U227" s="616">
        <v>-3.6346</v>
      </c>
      <c r="V227" s="616">
        <v>0.27</v>
      </c>
      <c r="W227" s="616">
        <v>0.56</v>
      </c>
      <c r="X227" s="616"/>
      <c r="Y227" s="616">
        <v>-5.11754</v>
      </c>
      <c r="Z227" s="615">
        <f t="shared" ref="Z227:Z232" si="303">SUM(AA227:AD227)</f>
        <v>2</v>
      </c>
      <c r="AA227" s="616"/>
      <c r="AB227" s="616">
        <v>0.9</v>
      </c>
      <c r="AC227" s="616">
        <v>1.1</v>
      </c>
      <c r="AD227" s="616">
        <v>0</v>
      </c>
      <c r="AE227" s="615">
        <f t="shared" ref="AE227:AE238" si="304">AF227+AM227</f>
        <v>224.33786</v>
      </c>
      <c r="AF227" s="615">
        <f t="shared" ref="AF227:AF238" si="305">SUM(AG227:AL227)</f>
        <v>202.38786</v>
      </c>
      <c r="AG227" s="616">
        <f t="shared" ref="AG227:AG238" si="306">G227+T227</f>
        <v>81.67</v>
      </c>
      <c r="AH227" s="616">
        <f t="shared" ref="AH227:AH238" si="307">H227+U227</f>
        <v>50.4854</v>
      </c>
      <c r="AI227" s="616">
        <f t="shared" ref="AI227:AI238" si="308">I227+V227</f>
        <v>7.58</v>
      </c>
      <c r="AJ227" s="616">
        <f t="shared" ref="AJ227:AJ238" si="309">J227+W227</f>
        <v>0.56</v>
      </c>
      <c r="AK227" s="616">
        <f t="shared" ref="AK227:AK238" si="310">K227+X227</f>
        <v>0</v>
      </c>
      <c r="AL227" s="616">
        <f t="shared" ref="AL227:AL238" si="311">L227+Y227</f>
        <v>62.09246</v>
      </c>
      <c r="AM227" s="615">
        <f t="shared" ref="AM227:AM238" si="312">SUM(AN227:AQ227)</f>
        <v>21.95</v>
      </c>
      <c r="AN227" s="616">
        <f t="shared" ref="AN227:AN238" si="313">N227+AA227</f>
        <v>0</v>
      </c>
      <c r="AO227" s="616">
        <f t="shared" ref="AO227:AO238" si="314">O227+AB227</f>
        <v>0.9</v>
      </c>
      <c r="AP227" s="616">
        <f t="shared" ref="AP227:AP238" si="315">P227+AC227</f>
        <v>11.55</v>
      </c>
      <c r="AQ227" s="637">
        <f t="shared" ref="AQ227:AQ238" si="316">Q227+AD227</f>
        <v>9.5</v>
      </c>
      <c r="AR227" s="638">
        <f t="shared" ref="AR227:AR232" si="317">SUM(AS227:AY227)</f>
        <v>72.635</v>
      </c>
      <c r="AS227" s="616">
        <f t="shared" si="248"/>
        <v>34.6192</v>
      </c>
      <c r="AT227" s="616">
        <f t="shared" si="249"/>
        <v>11.348</v>
      </c>
      <c r="AU227" s="616">
        <f t="shared" si="250"/>
        <v>8.511</v>
      </c>
      <c r="AV227" s="616">
        <f t="shared" si="251"/>
        <v>0.2837</v>
      </c>
      <c r="AW227" s="616">
        <f t="shared" si="252"/>
        <v>0.8511</v>
      </c>
      <c r="AX227" s="616">
        <f t="shared" si="253"/>
        <v>17.022</v>
      </c>
      <c r="AY227" s="616"/>
      <c r="AZ227" s="615">
        <f t="shared" si="254"/>
        <v>-4.9248952</v>
      </c>
      <c r="BA227" s="616">
        <f t="shared" si="255"/>
        <v>-2.3267424</v>
      </c>
      <c r="BB227" s="616">
        <f t="shared" si="256"/>
        <v>-0.775568</v>
      </c>
      <c r="BC227" s="616">
        <f t="shared" si="257"/>
        <v>-0.581676</v>
      </c>
      <c r="BD227" s="616">
        <f t="shared" si="258"/>
        <v>-0.0193892</v>
      </c>
      <c r="BE227" s="616">
        <f t="shared" si="259"/>
        <v>-0.0581676</v>
      </c>
      <c r="BF227" s="616">
        <f t="shared" si="260"/>
        <v>-1.163352</v>
      </c>
      <c r="BG227" s="616"/>
      <c r="BH227" s="615">
        <f t="shared" si="261"/>
        <v>67.7101048</v>
      </c>
      <c r="BI227" s="616">
        <f t="shared" si="262"/>
        <v>32.2924576</v>
      </c>
      <c r="BJ227" s="616">
        <f t="shared" si="263"/>
        <v>10.572432</v>
      </c>
      <c r="BK227" s="616">
        <f t="shared" si="264"/>
        <v>7.929324</v>
      </c>
      <c r="BL227" s="616">
        <f t="shared" si="265"/>
        <v>0.2643108</v>
      </c>
      <c r="BM227" s="616">
        <f t="shared" si="266"/>
        <v>0.7929324</v>
      </c>
      <c r="BN227" s="616">
        <f t="shared" si="267"/>
        <v>15.858648</v>
      </c>
      <c r="BO227" s="616"/>
      <c r="BP227" s="304"/>
    </row>
    <row r="228" s="130" customFormat="1" ht="24" spans="1:68">
      <c r="A228" s="497" t="s">
        <v>504</v>
      </c>
      <c r="B228" s="497" t="s">
        <v>206</v>
      </c>
      <c r="C228" s="497" t="s">
        <v>507</v>
      </c>
      <c r="D228" s="497" t="s">
        <v>508</v>
      </c>
      <c r="E228" s="615">
        <f t="shared" si="298"/>
        <v>0</v>
      </c>
      <c r="F228" s="615">
        <f t="shared" si="299"/>
        <v>0</v>
      </c>
      <c r="G228" s="616"/>
      <c r="H228" s="616"/>
      <c r="I228" s="616"/>
      <c r="J228" s="616"/>
      <c r="K228" s="616"/>
      <c r="L228" s="616"/>
      <c r="M228" s="615">
        <f t="shared" si="300"/>
        <v>0</v>
      </c>
      <c r="N228" s="616"/>
      <c r="O228" s="616"/>
      <c r="P228" s="616"/>
      <c r="Q228" s="616"/>
      <c r="R228" s="615">
        <f t="shared" si="301"/>
        <v>0</v>
      </c>
      <c r="S228" s="615">
        <f t="shared" si="302"/>
        <v>0</v>
      </c>
      <c r="T228" s="616"/>
      <c r="U228" s="616"/>
      <c r="V228" s="616"/>
      <c r="W228" s="616"/>
      <c r="X228" s="616"/>
      <c r="Y228" s="616"/>
      <c r="Z228" s="615">
        <f t="shared" si="303"/>
        <v>0</v>
      </c>
      <c r="AA228" s="616"/>
      <c r="AB228" s="616"/>
      <c r="AC228" s="616"/>
      <c r="AD228" s="616"/>
      <c r="AE228" s="615">
        <f t="shared" si="304"/>
        <v>0</v>
      </c>
      <c r="AF228" s="615">
        <f t="shared" si="305"/>
        <v>0</v>
      </c>
      <c r="AG228" s="616">
        <f t="shared" si="306"/>
        <v>0</v>
      </c>
      <c r="AH228" s="616">
        <f t="shared" si="307"/>
        <v>0</v>
      </c>
      <c r="AI228" s="616">
        <f t="shared" si="308"/>
        <v>0</v>
      </c>
      <c r="AJ228" s="616">
        <f t="shared" si="309"/>
        <v>0</v>
      </c>
      <c r="AK228" s="616">
        <f t="shared" si="310"/>
        <v>0</v>
      </c>
      <c r="AL228" s="616">
        <f t="shared" si="311"/>
        <v>0</v>
      </c>
      <c r="AM228" s="615">
        <f t="shared" si="312"/>
        <v>0</v>
      </c>
      <c r="AN228" s="616">
        <f t="shared" si="313"/>
        <v>0</v>
      </c>
      <c r="AO228" s="616">
        <f t="shared" si="314"/>
        <v>0</v>
      </c>
      <c r="AP228" s="616">
        <f t="shared" si="315"/>
        <v>0</v>
      </c>
      <c r="AQ228" s="637">
        <f t="shared" si="316"/>
        <v>0</v>
      </c>
      <c r="AR228" s="638">
        <f t="shared" si="317"/>
        <v>0</v>
      </c>
      <c r="AS228" s="616">
        <f t="shared" si="248"/>
        <v>0</v>
      </c>
      <c r="AT228" s="616">
        <f t="shared" si="249"/>
        <v>0</v>
      </c>
      <c r="AU228" s="616">
        <f t="shared" si="250"/>
        <v>0</v>
      </c>
      <c r="AV228" s="616">
        <f t="shared" si="251"/>
        <v>0</v>
      </c>
      <c r="AW228" s="616">
        <f t="shared" si="252"/>
        <v>0</v>
      </c>
      <c r="AX228" s="616">
        <f t="shared" si="253"/>
        <v>0</v>
      </c>
      <c r="AY228" s="616"/>
      <c r="AZ228" s="615">
        <f t="shared" si="254"/>
        <v>0</v>
      </c>
      <c r="BA228" s="616">
        <f t="shared" si="255"/>
        <v>0</v>
      </c>
      <c r="BB228" s="616">
        <f t="shared" si="256"/>
        <v>0</v>
      </c>
      <c r="BC228" s="616">
        <f t="shared" si="257"/>
        <v>0</v>
      </c>
      <c r="BD228" s="616">
        <f t="shared" si="258"/>
        <v>0</v>
      </c>
      <c r="BE228" s="616">
        <f t="shared" si="259"/>
        <v>0</v>
      </c>
      <c r="BF228" s="616">
        <f t="shared" si="260"/>
        <v>0</v>
      </c>
      <c r="BG228" s="616"/>
      <c r="BH228" s="615">
        <f t="shared" si="261"/>
        <v>0</v>
      </c>
      <c r="BI228" s="616">
        <f t="shared" si="262"/>
        <v>0</v>
      </c>
      <c r="BJ228" s="616">
        <f t="shared" si="263"/>
        <v>0</v>
      </c>
      <c r="BK228" s="616">
        <f t="shared" si="264"/>
        <v>0</v>
      </c>
      <c r="BL228" s="616">
        <f t="shared" si="265"/>
        <v>0</v>
      </c>
      <c r="BM228" s="616">
        <f t="shared" si="266"/>
        <v>0</v>
      </c>
      <c r="BN228" s="616">
        <f t="shared" si="267"/>
        <v>0</v>
      </c>
      <c r="BO228" s="616"/>
      <c r="BP228" s="304"/>
    </row>
    <row r="229" s="130" customFormat="1" ht="24" spans="1:68">
      <c r="A229" s="497" t="s">
        <v>504</v>
      </c>
      <c r="B229" s="497" t="s">
        <v>206</v>
      </c>
      <c r="C229" s="497" t="s">
        <v>509</v>
      </c>
      <c r="D229" s="497" t="s">
        <v>510</v>
      </c>
      <c r="E229" s="615">
        <f t="shared" si="298"/>
        <v>0</v>
      </c>
      <c r="F229" s="615">
        <f t="shared" si="299"/>
        <v>0</v>
      </c>
      <c r="G229" s="616"/>
      <c r="H229" s="616"/>
      <c r="I229" s="616"/>
      <c r="J229" s="616"/>
      <c r="K229" s="616"/>
      <c r="L229" s="616"/>
      <c r="M229" s="615">
        <f t="shared" si="300"/>
        <v>0</v>
      </c>
      <c r="N229" s="616"/>
      <c r="O229" s="616"/>
      <c r="P229" s="616"/>
      <c r="Q229" s="616"/>
      <c r="R229" s="615">
        <f t="shared" si="301"/>
        <v>0</v>
      </c>
      <c r="S229" s="615">
        <f t="shared" si="302"/>
        <v>0</v>
      </c>
      <c r="T229" s="396"/>
      <c r="U229" s="396"/>
      <c r="V229" s="396"/>
      <c r="W229" s="616"/>
      <c r="X229" s="616"/>
      <c r="Y229" s="616"/>
      <c r="Z229" s="615">
        <f t="shared" si="303"/>
        <v>0</v>
      </c>
      <c r="AA229" s="616"/>
      <c r="AB229" s="616"/>
      <c r="AC229" s="616"/>
      <c r="AD229" s="616"/>
      <c r="AE229" s="615">
        <f t="shared" si="304"/>
        <v>0</v>
      </c>
      <c r="AF229" s="615">
        <f t="shared" si="305"/>
        <v>0</v>
      </c>
      <c r="AG229" s="616">
        <f t="shared" si="306"/>
        <v>0</v>
      </c>
      <c r="AH229" s="616">
        <f t="shared" si="307"/>
        <v>0</v>
      </c>
      <c r="AI229" s="616">
        <f t="shared" si="308"/>
        <v>0</v>
      </c>
      <c r="AJ229" s="616">
        <f t="shared" si="309"/>
        <v>0</v>
      </c>
      <c r="AK229" s="616">
        <f t="shared" si="310"/>
        <v>0</v>
      </c>
      <c r="AL229" s="616">
        <f t="shared" si="311"/>
        <v>0</v>
      </c>
      <c r="AM229" s="615">
        <f t="shared" si="312"/>
        <v>0</v>
      </c>
      <c r="AN229" s="616">
        <f t="shared" si="313"/>
        <v>0</v>
      </c>
      <c r="AO229" s="616">
        <f t="shared" si="314"/>
        <v>0</v>
      </c>
      <c r="AP229" s="616">
        <f t="shared" si="315"/>
        <v>0</v>
      </c>
      <c r="AQ229" s="637">
        <f t="shared" si="316"/>
        <v>0</v>
      </c>
      <c r="AR229" s="638">
        <f t="shared" si="317"/>
        <v>0</v>
      </c>
      <c r="AS229" s="616">
        <f t="shared" si="248"/>
        <v>0</v>
      </c>
      <c r="AT229" s="616">
        <f t="shared" si="249"/>
        <v>0</v>
      </c>
      <c r="AU229" s="616">
        <f t="shared" si="250"/>
        <v>0</v>
      </c>
      <c r="AV229" s="616">
        <f t="shared" si="251"/>
        <v>0</v>
      </c>
      <c r="AW229" s="616">
        <f t="shared" si="252"/>
        <v>0</v>
      </c>
      <c r="AX229" s="616">
        <f t="shared" si="253"/>
        <v>0</v>
      </c>
      <c r="AY229" s="616"/>
      <c r="AZ229" s="615">
        <f t="shared" si="254"/>
        <v>0</v>
      </c>
      <c r="BA229" s="616">
        <f t="shared" si="255"/>
        <v>0</v>
      </c>
      <c r="BB229" s="616">
        <f t="shared" si="256"/>
        <v>0</v>
      </c>
      <c r="BC229" s="616">
        <f t="shared" si="257"/>
        <v>0</v>
      </c>
      <c r="BD229" s="616">
        <f t="shared" si="258"/>
        <v>0</v>
      </c>
      <c r="BE229" s="616">
        <f t="shared" si="259"/>
        <v>0</v>
      </c>
      <c r="BF229" s="616">
        <f t="shared" si="260"/>
        <v>0</v>
      </c>
      <c r="BG229" s="616"/>
      <c r="BH229" s="615">
        <f t="shared" si="261"/>
        <v>0</v>
      </c>
      <c r="BI229" s="616">
        <f t="shared" si="262"/>
        <v>0</v>
      </c>
      <c r="BJ229" s="616">
        <f t="shared" si="263"/>
        <v>0</v>
      </c>
      <c r="BK229" s="616">
        <f t="shared" si="264"/>
        <v>0</v>
      </c>
      <c r="BL229" s="616">
        <f t="shared" si="265"/>
        <v>0</v>
      </c>
      <c r="BM229" s="616">
        <f t="shared" si="266"/>
        <v>0</v>
      </c>
      <c r="BN229" s="616">
        <f t="shared" si="267"/>
        <v>0</v>
      </c>
      <c r="BO229" s="616"/>
      <c r="BP229" s="304"/>
    </row>
    <row r="230" s="130" customFormat="1" ht="36" spans="1:68">
      <c r="A230" s="497" t="s">
        <v>504</v>
      </c>
      <c r="B230" s="497" t="s">
        <v>206</v>
      </c>
      <c r="C230" s="497" t="s">
        <v>511</v>
      </c>
      <c r="D230" s="497" t="s">
        <v>512</v>
      </c>
      <c r="E230" s="615">
        <f t="shared" si="298"/>
        <v>0</v>
      </c>
      <c r="F230" s="615">
        <f t="shared" si="299"/>
        <v>0</v>
      </c>
      <c r="G230" s="616"/>
      <c r="H230" s="616"/>
      <c r="I230" s="616"/>
      <c r="J230" s="616"/>
      <c r="K230" s="616"/>
      <c r="L230" s="616"/>
      <c r="M230" s="615">
        <f t="shared" si="300"/>
        <v>0</v>
      </c>
      <c r="N230" s="616"/>
      <c r="O230" s="616"/>
      <c r="P230" s="616"/>
      <c r="Q230" s="616"/>
      <c r="R230" s="615">
        <f t="shared" si="301"/>
        <v>0</v>
      </c>
      <c r="S230" s="615">
        <f t="shared" si="302"/>
        <v>0</v>
      </c>
      <c r="T230" s="396"/>
      <c r="U230" s="396"/>
      <c r="V230" s="396"/>
      <c r="W230" s="616"/>
      <c r="X230" s="616"/>
      <c r="Y230" s="616"/>
      <c r="Z230" s="615">
        <f t="shared" si="303"/>
        <v>0</v>
      </c>
      <c r="AA230" s="616"/>
      <c r="AB230" s="616"/>
      <c r="AC230" s="616"/>
      <c r="AD230" s="616"/>
      <c r="AE230" s="615">
        <f t="shared" si="304"/>
        <v>0</v>
      </c>
      <c r="AF230" s="615">
        <f t="shared" si="305"/>
        <v>0</v>
      </c>
      <c r="AG230" s="616">
        <f t="shared" si="306"/>
        <v>0</v>
      </c>
      <c r="AH230" s="616">
        <f t="shared" si="307"/>
        <v>0</v>
      </c>
      <c r="AI230" s="616">
        <f t="shared" si="308"/>
        <v>0</v>
      </c>
      <c r="AJ230" s="616">
        <f t="shared" si="309"/>
        <v>0</v>
      </c>
      <c r="AK230" s="616">
        <f t="shared" si="310"/>
        <v>0</v>
      </c>
      <c r="AL230" s="616">
        <f t="shared" si="311"/>
        <v>0</v>
      </c>
      <c r="AM230" s="615">
        <f t="shared" si="312"/>
        <v>0</v>
      </c>
      <c r="AN230" s="616">
        <f t="shared" si="313"/>
        <v>0</v>
      </c>
      <c r="AO230" s="616">
        <f t="shared" si="314"/>
        <v>0</v>
      </c>
      <c r="AP230" s="616">
        <f t="shared" si="315"/>
        <v>0</v>
      </c>
      <c r="AQ230" s="637">
        <f t="shared" si="316"/>
        <v>0</v>
      </c>
      <c r="AR230" s="638">
        <f t="shared" si="317"/>
        <v>0</v>
      </c>
      <c r="AS230" s="616">
        <f t="shared" si="248"/>
        <v>0</v>
      </c>
      <c r="AT230" s="616">
        <f t="shared" si="249"/>
        <v>0</v>
      </c>
      <c r="AU230" s="616">
        <f t="shared" si="250"/>
        <v>0</v>
      </c>
      <c r="AV230" s="616">
        <f t="shared" si="251"/>
        <v>0</v>
      </c>
      <c r="AW230" s="616">
        <f t="shared" si="252"/>
        <v>0</v>
      </c>
      <c r="AX230" s="616">
        <f t="shared" si="253"/>
        <v>0</v>
      </c>
      <c r="AY230" s="616"/>
      <c r="AZ230" s="615">
        <f t="shared" si="254"/>
        <v>0</v>
      </c>
      <c r="BA230" s="616">
        <f t="shared" si="255"/>
        <v>0</v>
      </c>
      <c r="BB230" s="616">
        <f t="shared" si="256"/>
        <v>0</v>
      </c>
      <c r="BC230" s="616">
        <f t="shared" si="257"/>
        <v>0</v>
      </c>
      <c r="BD230" s="616">
        <f t="shared" si="258"/>
        <v>0</v>
      </c>
      <c r="BE230" s="616">
        <f t="shared" si="259"/>
        <v>0</v>
      </c>
      <c r="BF230" s="616">
        <f t="shared" si="260"/>
        <v>0</v>
      </c>
      <c r="BG230" s="616"/>
      <c r="BH230" s="615">
        <f t="shared" si="261"/>
        <v>0</v>
      </c>
      <c r="BI230" s="616">
        <f t="shared" si="262"/>
        <v>0</v>
      </c>
      <c r="BJ230" s="616">
        <f t="shared" si="263"/>
        <v>0</v>
      </c>
      <c r="BK230" s="616">
        <f t="shared" si="264"/>
        <v>0</v>
      </c>
      <c r="BL230" s="616">
        <f t="shared" si="265"/>
        <v>0</v>
      </c>
      <c r="BM230" s="616">
        <f t="shared" si="266"/>
        <v>0</v>
      </c>
      <c r="BN230" s="616">
        <f t="shared" si="267"/>
        <v>0</v>
      </c>
      <c r="BO230" s="616">
        <f>AY230+BG230</f>
        <v>0</v>
      </c>
      <c r="BP230" s="304"/>
    </row>
    <row r="231" s="130" customFormat="1" ht="36" spans="1:68">
      <c r="A231" s="497" t="s">
        <v>504</v>
      </c>
      <c r="B231" s="497" t="s">
        <v>206</v>
      </c>
      <c r="C231" s="497" t="s">
        <v>513</v>
      </c>
      <c r="D231" s="497" t="s">
        <v>512</v>
      </c>
      <c r="E231" s="615">
        <f t="shared" si="298"/>
        <v>0</v>
      </c>
      <c r="F231" s="615">
        <f t="shared" si="299"/>
        <v>0</v>
      </c>
      <c r="G231" s="616"/>
      <c r="H231" s="616"/>
      <c r="I231" s="616"/>
      <c r="J231" s="616"/>
      <c r="K231" s="616"/>
      <c r="L231" s="616"/>
      <c r="M231" s="615">
        <f t="shared" si="300"/>
        <v>0</v>
      </c>
      <c r="N231" s="616"/>
      <c r="O231" s="616"/>
      <c r="P231" s="616"/>
      <c r="Q231" s="616"/>
      <c r="R231" s="615">
        <f t="shared" si="301"/>
        <v>0</v>
      </c>
      <c r="S231" s="615">
        <f t="shared" si="302"/>
        <v>0</v>
      </c>
      <c r="T231" s="616"/>
      <c r="U231" s="616"/>
      <c r="V231" s="616"/>
      <c r="W231" s="616"/>
      <c r="X231" s="616"/>
      <c r="Y231" s="616"/>
      <c r="Z231" s="615">
        <f t="shared" si="303"/>
        <v>0</v>
      </c>
      <c r="AA231" s="616"/>
      <c r="AB231" s="616"/>
      <c r="AC231" s="616"/>
      <c r="AD231" s="616"/>
      <c r="AE231" s="615">
        <f t="shared" si="304"/>
        <v>0</v>
      </c>
      <c r="AF231" s="615">
        <f t="shared" si="305"/>
        <v>0</v>
      </c>
      <c r="AG231" s="616">
        <f t="shared" si="306"/>
        <v>0</v>
      </c>
      <c r="AH231" s="616">
        <f t="shared" si="307"/>
        <v>0</v>
      </c>
      <c r="AI231" s="616">
        <f t="shared" si="308"/>
        <v>0</v>
      </c>
      <c r="AJ231" s="616">
        <f t="shared" si="309"/>
        <v>0</v>
      </c>
      <c r="AK231" s="616">
        <f t="shared" si="310"/>
        <v>0</v>
      </c>
      <c r="AL231" s="616">
        <f t="shared" si="311"/>
        <v>0</v>
      </c>
      <c r="AM231" s="615">
        <f t="shared" si="312"/>
        <v>0</v>
      </c>
      <c r="AN231" s="616">
        <f t="shared" si="313"/>
        <v>0</v>
      </c>
      <c r="AO231" s="616">
        <f t="shared" si="314"/>
        <v>0</v>
      </c>
      <c r="AP231" s="616">
        <f t="shared" si="315"/>
        <v>0</v>
      </c>
      <c r="AQ231" s="637">
        <f t="shared" si="316"/>
        <v>0</v>
      </c>
      <c r="AR231" s="638">
        <f t="shared" si="317"/>
        <v>0</v>
      </c>
      <c r="AS231" s="616">
        <f t="shared" si="248"/>
        <v>0</v>
      </c>
      <c r="AT231" s="616">
        <f t="shared" si="249"/>
        <v>0</v>
      </c>
      <c r="AU231" s="616">
        <f t="shared" si="250"/>
        <v>0</v>
      </c>
      <c r="AV231" s="616">
        <f t="shared" si="251"/>
        <v>0</v>
      </c>
      <c r="AW231" s="616">
        <f t="shared" si="252"/>
        <v>0</v>
      </c>
      <c r="AX231" s="616">
        <f t="shared" si="253"/>
        <v>0</v>
      </c>
      <c r="AY231" s="616"/>
      <c r="AZ231" s="615">
        <f t="shared" si="254"/>
        <v>0</v>
      </c>
      <c r="BA231" s="616">
        <f t="shared" si="255"/>
        <v>0</v>
      </c>
      <c r="BB231" s="616">
        <f t="shared" si="256"/>
        <v>0</v>
      </c>
      <c r="BC231" s="616">
        <f t="shared" si="257"/>
        <v>0</v>
      </c>
      <c r="BD231" s="616">
        <f t="shared" si="258"/>
        <v>0</v>
      </c>
      <c r="BE231" s="616">
        <f t="shared" si="259"/>
        <v>0</v>
      </c>
      <c r="BF231" s="616">
        <f t="shared" si="260"/>
        <v>0</v>
      </c>
      <c r="BG231" s="616"/>
      <c r="BH231" s="615">
        <f t="shared" si="261"/>
        <v>0</v>
      </c>
      <c r="BI231" s="616">
        <f t="shared" si="262"/>
        <v>0</v>
      </c>
      <c r="BJ231" s="616">
        <f t="shared" si="263"/>
        <v>0</v>
      </c>
      <c r="BK231" s="616">
        <f t="shared" si="264"/>
        <v>0</v>
      </c>
      <c r="BL231" s="616">
        <f t="shared" si="265"/>
        <v>0</v>
      </c>
      <c r="BM231" s="616">
        <f t="shared" si="266"/>
        <v>0</v>
      </c>
      <c r="BN231" s="616">
        <f t="shared" si="267"/>
        <v>0</v>
      </c>
      <c r="BO231" s="616"/>
      <c r="BP231" s="304"/>
    </row>
    <row r="232" s="130" customFormat="1" ht="48" spans="1:68">
      <c r="A232" s="497" t="s">
        <v>504</v>
      </c>
      <c r="B232" s="497" t="s">
        <v>203</v>
      </c>
      <c r="C232" s="497" t="s">
        <v>514</v>
      </c>
      <c r="D232" s="497" t="s">
        <v>515</v>
      </c>
      <c r="E232" s="615">
        <f t="shared" si="298"/>
        <v>110.9536</v>
      </c>
      <c r="F232" s="615">
        <f t="shared" si="299"/>
        <v>93.4336</v>
      </c>
      <c r="G232" s="616">
        <v>41.004</v>
      </c>
      <c r="H232" s="616">
        <v>24.0228</v>
      </c>
      <c r="I232" s="616">
        <v>3.5468</v>
      </c>
      <c r="J232" s="616"/>
      <c r="K232" s="616"/>
      <c r="L232" s="616">
        <v>24.86</v>
      </c>
      <c r="M232" s="615">
        <f t="shared" si="300"/>
        <v>17.52</v>
      </c>
      <c r="N232" s="616">
        <v>10.17</v>
      </c>
      <c r="O232" s="616"/>
      <c r="P232" s="616">
        <v>3.85</v>
      </c>
      <c r="Q232" s="616">
        <v>3.5</v>
      </c>
      <c r="R232" s="615">
        <f t="shared" si="301"/>
        <v>-0.43</v>
      </c>
      <c r="S232" s="615">
        <f t="shared" si="302"/>
        <v>-4.03</v>
      </c>
      <c r="T232" s="616">
        <v>-6.12</v>
      </c>
      <c r="U232" s="616"/>
      <c r="V232" s="616">
        <v>0.04</v>
      </c>
      <c r="W232" s="616"/>
      <c r="X232" s="616"/>
      <c r="Y232" s="616">
        <v>2.05</v>
      </c>
      <c r="Z232" s="615">
        <f t="shared" si="303"/>
        <v>3.6</v>
      </c>
      <c r="AA232" s="616"/>
      <c r="AB232" s="616">
        <v>1.2</v>
      </c>
      <c r="AC232" s="616">
        <v>1.75</v>
      </c>
      <c r="AD232" s="616">
        <v>0.65</v>
      </c>
      <c r="AE232" s="615">
        <f t="shared" si="304"/>
        <v>110.5236</v>
      </c>
      <c r="AF232" s="615">
        <f t="shared" si="305"/>
        <v>89.4036</v>
      </c>
      <c r="AG232" s="616">
        <f t="shared" si="306"/>
        <v>34.884</v>
      </c>
      <c r="AH232" s="616">
        <f t="shared" si="307"/>
        <v>24.0228</v>
      </c>
      <c r="AI232" s="616">
        <f t="shared" si="308"/>
        <v>3.5868</v>
      </c>
      <c r="AJ232" s="616">
        <f t="shared" si="309"/>
        <v>0</v>
      </c>
      <c r="AK232" s="616">
        <f t="shared" si="310"/>
        <v>0</v>
      </c>
      <c r="AL232" s="616">
        <f t="shared" si="311"/>
        <v>26.91</v>
      </c>
      <c r="AM232" s="615">
        <f t="shared" si="312"/>
        <v>21.12</v>
      </c>
      <c r="AN232" s="616">
        <f t="shared" si="313"/>
        <v>10.17</v>
      </c>
      <c r="AO232" s="616">
        <f t="shared" si="314"/>
        <v>1.2</v>
      </c>
      <c r="AP232" s="616">
        <f t="shared" si="315"/>
        <v>5.6</v>
      </c>
      <c r="AQ232" s="637">
        <f t="shared" si="316"/>
        <v>4.15</v>
      </c>
      <c r="AR232" s="638">
        <f t="shared" si="317"/>
        <v>32.3765584</v>
      </c>
      <c r="AS232" s="616">
        <f t="shared" si="248"/>
        <v>14.949376</v>
      </c>
      <c r="AT232" s="616">
        <f t="shared" si="249"/>
        <v>5.202144</v>
      </c>
      <c r="AU232" s="616">
        <f t="shared" si="250"/>
        <v>3.901608</v>
      </c>
      <c r="AV232" s="616">
        <f t="shared" si="251"/>
        <v>0.1300536</v>
      </c>
      <c r="AW232" s="616">
        <f t="shared" si="252"/>
        <v>0.3901608</v>
      </c>
      <c r="AX232" s="616">
        <f t="shared" si="253"/>
        <v>7.803216</v>
      </c>
      <c r="AY232" s="616"/>
      <c r="AZ232" s="615">
        <f t="shared" si="254"/>
        <v>-2.28496</v>
      </c>
      <c r="BA232" s="616">
        <f t="shared" si="255"/>
        <v>-0.6448</v>
      </c>
      <c r="BB232" s="616">
        <f t="shared" si="256"/>
        <v>-0.4896</v>
      </c>
      <c r="BC232" s="616">
        <f t="shared" si="257"/>
        <v>-0.3672</v>
      </c>
      <c r="BD232" s="616">
        <f t="shared" si="258"/>
        <v>-0.01224</v>
      </c>
      <c r="BE232" s="616">
        <f t="shared" si="259"/>
        <v>-0.03672</v>
      </c>
      <c r="BF232" s="616">
        <f t="shared" si="260"/>
        <v>-0.7344</v>
      </c>
      <c r="BG232" s="616"/>
      <c r="BH232" s="615">
        <f t="shared" si="261"/>
        <v>30.0915984</v>
      </c>
      <c r="BI232" s="616">
        <f t="shared" si="262"/>
        <v>14.304576</v>
      </c>
      <c r="BJ232" s="616">
        <f t="shared" si="263"/>
        <v>4.712544</v>
      </c>
      <c r="BK232" s="616">
        <f t="shared" si="264"/>
        <v>3.534408</v>
      </c>
      <c r="BL232" s="616">
        <f t="shared" si="265"/>
        <v>0.1178136</v>
      </c>
      <c r="BM232" s="616">
        <f t="shared" si="266"/>
        <v>0.3534408</v>
      </c>
      <c r="BN232" s="616">
        <f t="shared" si="267"/>
        <v>7.068816</v>
      </c>
      <c r="BO232" s="616"/>
      <c r="BP232" s="304" t="s">
        <v>516</v>
      </c>
    </row>
    <row r="233" s="130" customFormat="1" ht="36" spans="1:68">
      <c r="A233" s="497" t="s">
        <v>504</v>
      </c>
      <c r="B233" s="497" t="s">
        <v>206</v>
      </c>
      <c r="C233" s="497" t="s">
        <v>517</v>
      </c>
      <c r="D233" s="497" t="s">
        <v>518</v>
      </c>
      <c r="E233" s="615">
        <f t="shared" ref="E233:E238" si="318">F233+M233</f>
        <v>0</v>
      </c>
      <c r="F233" s="615">
        <f t="shared" si="299"/>
        <v>0</v>
      </c>
      <c r="G233" s="616"/>
      <c r="H233" s="616"/>
      <c r="I233" s="616"/>
      <c r="J233" s="616"/>
      <c r="K233" s="616"/>
      <c r="L233" s="616"/>
      <c r="M233" s="615">
        <f t="shared" ref="M233:M238" si="319">SUM(N233:Q233)</f>
        <v>0</v>
      </c>
      <c r="N233" s="616"/>
      <c r="O233" s="616"/>
      <c r="P233" s="616"/>
      <c r="Q233" s="616"/>
      <c r="R233" s="615">
        <f t="shared" ref="R233:R238" si="320">S233+Z233</f>
        <v>0</v>
      </c>
      <c r="S233" s="615">
        <f t="shared" si="302"/>
        <v>0</v>
      </c>
      <c r="T233" s="396"/>
      <c r="U233" s="396"/>
      <c r="V233" s="396"/>
      <c r="W233" s="616"/>
      <c r="X233" s="616"/>
      <c r="Y233" s="616"/>
      <c r="Z233" s="615">
        <f t="shared" ref="Z233:Z238" si="321">SUM(AA233:AD233)</f>
        <v>0</v>
      </c>
      <c r="AA233" s="396"/>
      <c r="AB233" s="616"/>
      <c r="AC233" s="616"/>
      <c r="AD233" s="616"/>
      <c r="AE233" s="615">
        <f t="shared" si="304"/>
        <v>0</v>
      </c>
      <c r="AF233" s="615">
        <f t="shared" si="305"/>
        <v>0</v>
      </c>
      <c r="AG233" s="616">
        <f t="shared" si="306"/>
        <v>0</v>
      </c>
      <c r="AH233" s="616">
        <f t="shared" si="307"/>
        <v>0</v>
      </c>
      <c r="AI233" s="616">
        <f t="shared" si="308"/>
        <v>0</v>
      </c>
      <c r="AJ233" s="616">
        <f t="shared" si="309"/>
        <v>0</v>
      </c>
      <c r="AK233" s="616">
        <f t="shared" si="310"/>
        <v>0</v>
      </c>
      <c r="AL233" s="616">
        <f t="shared" si="311"/>
        <v>0</v>
      </c>
      <c r="AM233" s="615">
        <f t="shared" si="312"/>
        <v>0</v>
      </c>
      <c r="AN233" s="616">
        <f t="shared" si="313"/>
        <v>0</v>
      </c>
      <c r="AO233" s="616">
        <f t="shared" si="314"/>
        <v>0</v>
      </c>
      <c r="AP233" s="616">
        <f t="shared" si="315"/>
        <v>0</v>
      </c>
      <c r="AQ233" s="637">
        <f t="shared" si="316"/>
        <v>0</v>
      </c>
      <c r="AR233" s="638">
        <f t="shared" ref="AR233:AR238" si="322">SUM(AS233:AY233)</f>
        <v>0</v>
      </c>
      <c r="AS233" s="616">
        <f t="shared" si="248"/>
        <v>0</v>
      </c>
      <c r="AT233" s="616">
        <f t="shared" si="249"/>
        <v>0</v>
      </c>
      <c r="AU233" s="616">
        <f t="shared" si="250"/>
        <v>0</v>
      </c>
      <c r="AV233" s="616">
        <f t="shared" si="251"/>
        <v>0</v>
      </c>
      <c r="AW233" s="616">
        <f t="shared" si="252"/>
        <v>0</v>
      </c>
      <c r="AX233" s="616">
        <f t="shared" si="253"/>
        <v>0</v>
      </c>
      <c r="AY233" s="616"/>
      <c r="AZ233" s="615">
        <f t="shared" si="254"/>
        <v>0</v>
      </c>
      <c r="BA233" s="616">
        <f t="shared" si="255"/>
        <v>0</v>
      </c>
      <c r="BB233" s="616">
        <f t="shared" si="256"/>
        <v>0</v>
      </c>
      <c r="BC233" s="616">
        <f t="shared" si="257"/>
        <v>0</v>
      </c>
      <c r="BD233" s="616">
        <f t="shared" si="258"/>
        <v>0</v>
      </c>
      <c r="BE233" s="616">
        <f t="shared" si="259"/>
        <v>0</v>
      </c>
      <c r="BF233" s="616">
        <f t="shared" si="260"/>
        <v>0</v>
      </c>
      <c r="BG233" s="616"/>
      <c r="BH233" s="615">
        <f t="shared" si="261"/>
        <v>0</v>
      </c>
      <c r="BI233" s="616">
        <f t="shared" si="262"/>
        <v>0</v>
      </c>
      <c r="BJ233" s="616">
        <f t="shared" si="263"/>
        <v>0</v>
      </c>
      <c r="BK233" s="616">
        <f t="shared" si="264"/>
        <v>0</v>
      </c>
      <c r="BL233" s="616">
        <f t="shared" si="265"/>
        <v>0</v>
      </c>
      <c r="BM233" s="616">
        <f t="shared" si="266"/>
        <v>0</v>
      </c>
      <c r="BN233" s="616">
        <f t="shared" si="267"/>
        <v>0</v>
      </c>
      <c r="BO233" s="616"/>
      <c r="BP233" s="304"/>
    </row>
    <row r="234" s="130" customFormat="1" ht="24" spans="1:68">
      <c r="A234" s="497" t="s">
        <v>504</v>
      </c>
      <c r="B234" s="497" t="s">
        <v>203</v>
      </c>
      <c r="C234" s="497" t="s">
        <v>519</v>
      </c>
      <c r="D234" s="497" t="s">
        <v>520</v>
      </c>
      <c r="E234" s="615">
        <f t="shared" si="318"/>
        <v>66.862</v>
      </c>
      <c r="F234" s="615">
        <f t="shared" si="299"/>
        <v>61.612</v>
      </c>
      <c r="G234" s="396">
        <v>25.9824</v>
      </c>
      <c r="H234" s="396">
        <v>15.2244</v>
      </c>
      <c r="I234" s="396">
        <v>2.1652</v>
      </c>
      <c r="J234" s="616"/>
      <c r="K234" s="616"/>
      <c r="L234" s="616">
        <v>18.24</v>
      </c>
      <c r="M234" s="615">
        <f t="shared" si="319"/>
        <v>5.25</v>
      </c>
      <c r="N234" s="396"/>
      <c r="O234" s="396"/>
      <c r="P234" s="616">
        <v>2.75</v>
      </c>
      <c r="Q234" s="616">
        <v>2.5</v>
      </c>
      <c r="R234" s="615">
        <f t="shared" si="320"/>
        <v>0.23</v>
      </c>
      <c r="S234" s="615">
        <f t="shared" si="302"/>
        <v>-0.24</v>
      </c>
      <c r="T234" s="616">
        <v>-0.34</v>
      </c>
      <c r="U234" s="616">
        <v>0.02</v>
      </c>
      <c r="V234" s="616">
        <v>-0.1</v>
      </c>
      <c r="W234" s="616"/>
      <c r="X234" s="616"/>
      <c r="Y234" s="616">
        <v>0.18</v>
      </c>
      <c r="Z234" s="615">
        <f t="shared" si="321"/>
        <v>0.47</v>
      </c>
      <c r="AA234" s="616"/>
      <c r="AB234" s="616">
        <v>0.15</v>
      </c>
      <c r="AC234" s="616">
        <v>0.32</v>
      </c>
      <c r="AD234" s="616"/>
      <c r="AE234" s="615">
        <f t="shared" si="304"/>
        <v>67.092</v>
      </c>
      <c r="AF234" s="615">
        <f t="shared" si="305"/>
        <v>61.372</v>
      </c>
      <c r="AG234" s="616">
        <f t="shared" si="306"/>
        <v>25.6424</v>
      </c>
      <c r="AH234" s="616">
        <f t="shared" si="307"/>
        <v>15.2444</v>
      </c>
      <c r="AI234" s="616">
        <f t="shared" si="308"/>
        <v>2.0652</v>
      </c>
      <c r="AJ234" s="616">
        <f t="shared" si="309"/>
        <v>0</v>
      </c>
      <c r="AK234" s="616">
        <f t="shared" si="310"/>
        <v>0</v>
      </c>
      <c r="AL234" s="616">
        <f t="shared" si="311"/>
        <v>18.42</v>
      </c>
      <c r="AM234" s="615">
        <f t="shared" si="312"/>
        <v>5.72</v>
      </c>
      <c r="AN234" s="616">
        <f t="shared" si="313"/>
        <v>0</v>
      </c>
      <c r="AO234" s="616">
        <f t="shared" si="314"/>
        <v>0.15</v>
      </c>
      <c r="AP234" s="616">
        <f t="shared" si="315"/>
        <v>3.07</v>
      </c>
      <c r="AQ234" s="637">
        <f t="shared" si="316"/>
        <v>2.5</v>
      </c>
      <c r="AR234" s="638">
        <f t="shared" si="322"/>
        <v>20.9013424</v>
      </c>
      <c r="AS234" s="616">
        <f t="shared" si="248"/>
        <v>9.85792</v>
      </c>
      <c r="AT234" s="616">
        <f t="shared" si="249"/>
        <v>3.296544</v>
      </c>
      <c r="AU234" s="616">
        <f t="shared" si="250"/>
        <v>2.472408</v>
      </c>
      <c r="AV234" s="616">
        <f t="shared" si="251"/>
        <v>0.0824136</v>
      </c>
      <c r="AW234" s="616">
        <f t="shared" si="252"/>
        <v>0.2472408</v>
      </c>
      <c r="AX234" s="616">
        <f t="shared" si="253"/>
        <v>4.944816</v>
      </c>
      <c r="AY234" s="616"/>
      <c r="AZ234" s="615">
        <f t="shared" si="254"/>
        <v>-0.12416</v>
      </c>
      <c r="BA234" s="616">
        <f t="shared" si="255"/>
        <v>-0.0384</v>
      </c>
      <c r="BB234" s="616">
        <f t="shared" si="256"/>
        <v>-0.0256</v>
      </c>
      <c r="BC234" s="616">
        <f t="shared" si="257"/>
        <v>-0.0192</v>
      </c>
      <c r="BD234" s="616">
        <f t="shared" si="258"/>
        <v>-0.00064</v>
      </c>
      <c r="BE234" s="616">
        <f t="shared" si="259"/>
        <v>-0.00192</v>
      </c>
      <c r="BF234" s="616">
        <f t="shared" si="260"/>
        <v>-0.0384</v>
      </c>
      <c r="BG234" s="616"/>
      <c r="BH234" s="615">
        <f t="shared" si="261"/>
        <v>20.7771824</v>
      </c>
      <c r="BI234" s="616">
        <f t="shared" si="262"/>
        <v>9.81952</v>
      </c>
      <c r="BJ234" s="616">
        <f t="shared" si="263"/>
        <v>3.270944</v>
      </c>
      <c r="BK234" s="616">
        <f t="shared" si="264"/>
        <v>2.453208</v>
      </c>
      <c r="BL234" s="616">
        <f t="shared" si="265"/>
        <v>0.0817736</v>
      </c>
      <c r="BM234" s="616">
        <f t="shared" si="266"/>
        <v>0.2453208</v>
      </c>
      <c r="BN234" s="616">
        <f t="shared" si="267"/>
        <v>4.906416</v>
      </c>
      <c r="BO234" s="616"/>
      <c r="BP234" s="304"/>
    </row>
    <row r="235" s="130" customFormat="1" ht="36" spans="1:68">
      <c r="A235" s="497" t="s">
        <v>504</v>
      </c>
      <c r="B235" s="497" t="s">
        <v>206</v>
      </c>
      <c r="C235" s="497" t="s">
        <v>521</v>
      </c>
      <c r="D235" s="497" t="s">
        <v>522</v>
      </c>
      <c r="E235" s="615">
        <f t="shared" si="318"/>
        <v>0</v>
      </c>
      <c r="F235" s="615">
        <f t="shared" si="299"/>
        <v>0</v>
      </c>
      <c r="G235" s="616"/>
      <c r="H235" s="616"/>
      <c r="I235" s="616"/>
      <c r="J235" s="616"/>
      <c r="K235" s="616"/>
      <c r="L235" s="616"/>
      <c r="M235" s="615">
        <f t="shared" si="319"/>
        <v>0</v>
      </c>
      <c r="N235" s="396"/>
      <c r="O235" s="396"/>
      <c r="P235" s="616"/>
      <c r="Q235" s="616"/>
      <c r="R235" s="615">
        <f t="shared" si="320"/>
        <v>0</v>
      </c>
      <c r="S235" s="615">
        <f t="shared" si="302"/>
        <v>0</v>
      </c>
      <c r="T235" s="396"/>
      <c r="U235" s="396"/>
      <c r="V235" s="616"/>
      <c r="W235" s="616"/>
      <c r="X235" s="616"/>
      <c r="Y235" s="616"/>
      <c r="Z235" s="615">
        <f t="shared" si="321"/>
        <v>0</v>
      </c>
      <c r="AA235" s="396"/>
      <c r="AB235" s="616"/>
      <c r="AC235" s="616"/>
      <c r="AD235" s="616"/>
      <c r="AE235" s="615">
        <f t="shared" si="304"/>
        <v>0</v>
      </c>
      <c r="AF235" s="615">
        <f t="shared" si="305"/>
        <v>0</v>
      </c>
      <c r="AG235" s="616">
        <f t="shared" si="306"/>
        <v>0</v>
      </c>
      <c r="AH235" s="616">
        <f t="shared" si="307"/>
        <v>0</v>
      </c>
      <c r="AI235" s="616">
        <f t="shared" si="308"/>
        <v>0</v>
      </c>
      <c r="AJ235" s="616">
        <f t="shared" si="309"/>
        <v>0</v>
      </c>
      <c r="AK235" s="616">
        <f t="shared" si="310"/>
        <v>0</v>
      </c>
      <c r="AL235" s="616">
        <f t="shared" si="311"/>
        <v>0</v>
      </c>
      <c r="AM235" s="615">
        <f t="shared" si="312"/>
        <v>0</v>
      </c>
      <c r="AN235" s="616">
        <f t="shared" si="313"/>
        <v>0</v>
      </c>
      <c r="AO235" s="616">
        <f t="shared" si="314"/>
        <v>0</v>
      </c>
      <c r="AP235" s="616">
        <f t="shared" si="315"/>
        <v>0</v>
      </c>
      <c r="AQ235" s="637">
        <f t="shared" si="316"/>
        <v>0</v>
      </c>
      <c r="AR235" s="638">
        <f t="shared" si="322"/>
        <v>0</v>
      </c>
      <c r="AS235" s="616">
        <f t="shared" si="248"/>
        <v>0</v>
      </c>
      <c r="AT235" s="616">
        <f t="shared" si="249"/>
        <v>0</v>
      </c>
      <c r="AU235" s="616">
        <f t="shared" si="250"/>
        <v>0</v>
      </c>
      <c r="AV235" s="616">
        <f t="shared" si="251"/>
        <v>0</v>
      </c>
      <c r="AW235" s="616">
        <f t="shared" si="252"/>
        <v>0</v>
      </c>
      <c r="AX235" s="616">
        <f t="shared" si="253"/>
        <v>0</v>
      </c>
      <c r="AY235" s="616"/>
      <c r="AZ235" s="615">
        <f t="shared" si="254"/>
        <v>0</v>
      </c>
      <c r="BA235" s="616">
        <f t="shared" si="255"/>
        <v>0</v>
      </c>
      <c r="BB235" s="616">
        <f t="shared" si="256"/>
        <v>0</v>
      </c>
      <c r="BC235" s="616">
        <f t="shared" si="257"/>
        <v>0</v>
      </c>
      <c r="BD235" s="616">
        <f t="shared" si="258"/>
        <v>0</v>
      </c>
      <c r="BE235" s="616">
        <f t="shared" si="259"/>
        <v>0</v>
      </c>
      <c r="BF235" s="616">
        <f t="shared" si="260"/>
        <v>0</v>
      </c>
      <c r="BG235" s="616"/>
      <c r="BH235" s="615">
        <f t="shared" si="261"/>
        <v>0</v>
      </c>
      <c r="BI235" s="616">
        <f t="shared" si="262"/>
        <v>0</v>
      </c>
      <c r="BJ235" s="616">
        <f t="shared" si="263"/>
        <v>0</v>
      </c>
      <c r="BK235" s="616">
        <f t="shared" si="264"/>
        <v>0</v>
      </c>
      <c r="BL235" s="616">
        <f t="shared" si="265"/>
        <v>0</v>
      </c>
      <c r="BM235" s="616">
        <f t="shared" si="266"/>
        <v>0</v>
      </c>
      <c r="BN235" s="616">
        <f t="shared" si="267"/>
        <v>0</v>
      </c>
      <c r="BO235" s="616"/>
      <c r="BP235" s="304"/>
    </row>
    <row r="236" s="130" customFormat="1" ht="24" spans="1:68">
      <c r="A236" s="497" t="s">
        <v>504</v>
      </c>
      <c r="B236" s="497" t="s">
        <v>203</v>
      </c>
      <c r="C236" s="497" t="s">
        <v>523</v>
      </c>
      <c r="D236" s="497" t="s">
        <v>524</v>
      </c>
      <c r="E236" s="615">
        <f t="shared" si="318"/>
        <v>21.31</v>
      </c>
      <c r="F236" s="615">
        <f t="shared" si="299"/>
        <v>21.31</v>
      </c>
      <c r="G236" s="396">
        <v>12.21</v>
      </c>
      <c r="H236" s="396">
        <v>8.08</v>
      </c>
      <c r="I236" s="396">
        <v>1.02</v>
      </c>
      <c r="J236" s="396"/>
      <c r="K236" s="616"/>
      <c r="L236" s="616"/>
      <c r="M236" s="615">
        <f t="shared" si="319"/>
        <v>0</v>
      </c>
      <c r="N236" s="616"/>
      <c r="O236" s="616"/>
      <c r="P236" s="616"/>
      <c r="Q236" s="616"/>
      <c r="R236" s="615">
        <f t="shared" si="320"/>
        <v>13.57</v>
      </c>
      <c r="S236" s="615">
        <f t="shared" si="302"/>
        <v>10.42</v>
      </c>
      <c r="T236" s="616"/>
      <c r="U236" s="616"/>
      <c r="V236" s="616"/>
      <c r="W236" s="616"/>
      <c r="X236" s="616"/>
      <c r="Y236" s="616">
        <v>10.42</v>
      </c>
      <c r="Z236" s="615">
        <f t="shared" si="321"/>
        <v>3.15</v>
      </c>
      <c r="AA236" s="616"/>
      <c r="AB236" s="616"/>
      <c r="AC236" s="616">
        <v>1.65</v>
      </c>
      <c r="AD236" s="616">
        <v>1.5</v>
      </c>
      <c r="AE236" s="615">
        <f t="shared" si="304"/>
        <v>34.88</v>
      </c>
      <c r="AF236" s="615">
        <f t="shared" si="305"/>
        <v>31.73</v>
      </c>
      <c r="AG236" s="616">
        <f t="shared" si="306"/>
        <v>12.21</v>
      </c>
      <c r="AH236" s="616">
        <f t="shared" si="307"/>
        <v>8.08</v>
      </c>
      <c r="AI236" s="616">
        <f t="shared" si="308"/>
        <v>1.02</v>
      </c>
      <c r="AJ236" s="616">
        <f t="shared" si="309"/>
        <v>0</v>
      </c>
      <c r="AK236" s="616">
        <f t="shared" si="310"/>
        <v>0</v>
      </c>
      <c r="AL236" s="616">
        <f t="shared" si="311"/>
        <v>10.42</v>
      </c>
      <c r="AM236" s="615">
        <f t="shared" si="312"/>
        <v>3.15</v>
      </c>
      <c r="AN236" s="616">
        <f t="shared" si="313"/>
        <v>0</v>
      </c>
      <c r="AO236" s="616">
        <f t="shared" si="314"/>
        <v>0</v>
      </c>
      <c r="AP236" s="616">
        <f t="shared" si="315"/>
        <v>1.65</v>
      </c>
      <c r="AQ236" s="637">
        <f t="shared" si="316"/>
        <v>1.5</v>
      </c>
      <c r="AR236" s="638">
        <f t="shared" si="322"/>
        <v>8.84732</v>
      </c>
      <c r="AS236" s="616">
        <f t="shared" si="248"/>
        <v>3.4096</v>
      </c>
      <c r="AT236" s="616">
        <f t="shared" si="249"/>
        <v>1.6232</v>
      </c>
      <c r="AU236" s="616">
        <f t="shared" si="250"/>
        <v>1.2174</v>
      </c>
      <c r="AV236" s="616">
        <f t="shared" si="251"/>
        <v>0.04058</v>
      </c>
      <c r="AW236" s="616">
        <f t="shared" si="252"/>
        <v>0.12174</v>
      </c>
      <c r="AX236" s="616">
        <f t="shared" si="253"/>
        <v>2.4348</v>
      </c>
      <c r="AY236" s="616"/>
      <c r="AZ236" s="615">
        <f t="shared" si="254"/>
        <v>1.6672</v>
      </c>
      <c r="BA236" s="616">
        <f t="shared" si="255"/>
        <v>1.6672</v>
      </c>
      <c r="BB236" s="616">
        <f t="shared" si="256"/>
        <v>0</v>
      </c>
      <c r="BC236" s="616">
        <f t="shared" si="257"/>
        <v>0</v>
      </c>
      <c r="BD236" s="616">
        <f t="shared" si="258"/>
        <v>0</v>
      </c>
      <c r="BE236" s="616">
        <f t="shared" si="259"/>
        <v>0</v>
      </c>
      <c r="BF236" s="616">
        <f t="shared" si="260"/>
        <v>0</v>
      </c>
      <c r="BG236" s="616"/>
      <c r="BH236" s="615">
        <f t="shared" si="261"/>
        <v>10.51452</v>
      </c>
      <c r="BI236" s="616">
        <f t="shared" si="262"/>
        <v>5.0768</v>
      </c>
      <c r="BJ236" s="616">
        <f t="shared" si="263"/>
        <v>1.6232</v>
      </c>
      <c r="BK236" s="616">
        <f t="shared" si="264"/>
        <v>1.2174</v>
      </c>
      <c r="BL236" s="616">
        <f t="shared" si="265"/>
        <v>0.04058</v>
      </c>
      <c r="BM236" s="616">
        <f t="shared" si="266"/>
        <v>0.12174</v>
      </c>
      <c r="BN236" s="616">
        <f t="shared" si="267"/>
        <v>2.4348</v>
      </c>
      <c r="BO236" s="616"/>
      <c r="BP236" s="304"/>
    </row>
    <row r="237" s="130" customFormat="1" ht="24" spans="1:68">
      <c r="A237" s="497" t="s">
        <v>504</v>
      </c>
      <c r="B237" s="497" t="s">
        <v>203</v>
      </c>
      <c r="C237" s="497" t="s">
        <v>525</v>
      </c>
      <c r="D237" s="497" t="s">
        <v>526</v>
      </c>
      <c r="E237" s="615">
        <f t="shared" si="318"/>
        <v>65.7768</v>
      </c>
      <c r="F237" s="615">
        <f t="shared" si="299"/>
        <v>60.5268</v>
      </c>
      <c r="G237" s="396">
        <v>24.336</v>
      </c>
      <c r="H237" s="655">
        <v>15.4128</v>
      </c>
      <c r="I237" s="655">
        <v>2.028</v>
      </c>
      <c r="J237" s="616"/>
      <c r="K237" s="616"/>
      <c r="L237" s="616">
        <v>18.75</v>
      </c>
      <c r="M237" s="615">
        <f t="shared" si="319"/>
        <v>5.25</v>
      </c>
      <c r="N237" s="616"/>
      <c r="O237" s="616"/>
      <c r="P237" s="616">
        <v>2.75</v>
      </c>
      <c r="Q237" s="616">
        <v>2.5</v>
      </c>
      <c r="R237" s="615">
        <f t="shared" si="320"/>
        <v>-5.29172</v>
      </c>
      <c r="S237" s="615">
        <f t="shared" si="302"/>
        <v>-5.96172</v>
      </c>
      <c r="T237" s="616">
        <v>-2.3568</v>
      </c>
      <c r="U237" s="616">
        <v>-1.6182</v>
      </c>
      <c r="V237" s="616"/>
      <c r="W237" s="616"/>
      <c r="X237" s="616"/>
      <c r="Y237" s="616">
        <v>-1.98672</v>
      </c>
      <c r="Z237" s="615">
        <f t="shared" si="321"/>
        <v>0.67</v>
      </c>
      <c r="AA237" s="616"/>
      <c r="AB237" s="616">
        <v>0.3</v>
      </c>
      <c r="AC237" s="616">
        <v>0.37</v>
      </c>
      <c r="AD237" s="616"/>
      <c r="AE237" s="615">
        <f t="shared" si="304"/>
        <v>60.48508</v>
      </c>
      <c r="AF237" s="615">
        <f t="shared" si="305"/>
        <v>54.56508</v>
      </c>
      <c r="AG237" s="616">
        <f t="shared" si="306"/>
        <v>21.9792</v>
      </c>
      <c r="AH237" s="616">
        <f t="shared" si="307"/>
        <v>13.7946</v>
      </c>
      <c r="AI237" s="616">
        <f t="shared" si="308"/>
        <v>2.028</v>
      </c>
      <c r="AJ237" s="616">
        <f t="shared" si="309"/>
        <v>0</v>
      </c>
      <c r="AK237" s="616">
        <f t="shared" si="310"/>
        <v>0</v>
      </c>
      <c r="AL237" s="616">
        <f t="shared" si="311"/>
        <v>16.76328</v>
      </c>
      <c r="AM237" s="615">
        <f t="shared" si="312"/>
        <v>5.92</v>
      </c>
      <c r="AN237" s="616">
        <f t="shared" si="313"/>
        <v>0</v>
      </c>
      <c r="AO237" s="616">
        <f t="shared" si="314"/>
        <v>0.3</v>
      </c>
      <c r="AP237" s="616">
        <f t="shared" si="315"/>
        <v>3.12</v>
      </c>
      <c r="AQ237" s="637">
        <f t="shared" si="316"/>
        <v>2.5</v>
      </c>
      <c r="AR237" s="638">
        <f t="shared" si="322"/>
        <v>20.3369664</v>
      </c>
      <c r="AS237" s="616">
        <f t="shared" si="248"/>
        <v>9.684288</v>
      </c>
      <c r="AT237" s="616">
        <f t="shared" si="249"/>
        <v>3.179904</v>
      </c>
      <c r="AU237" s="616">
        <f t="shared" si="250"/>
        <v>2.384928</v>
      </c>
      <c r="AV237" s="616">
        <f t="shared" si="251"/>
        <v>0.0794976</v>
      </c>
      <c r="AW237" s="616">
        <f t="shared" si="252"/>
        <v>0.2384928</v>
      </c>
      <c r="AX237" s="616">
        <f t="shared" si="253"/>
        <v>4.769856</v>
      </c>
      <c r="AY237" s="616"/>
      <c r="AZ237" s="615">
        <f t="shared" si="254"/>
        <v>-2.0191752</v>
      </c>
      <c r="BA237" s="616">
        <f t="shared" si="255"/>
        <v>-0.9538752</v>
      </c>
      <c r="BB237" s="616">
        <f t="shared" si="256"/>
        <v>-0.318</v>
      </c>
      <c r="BC237" s="616">
        <f t="shared" si="257"/>
        <v>-0.2385</v>
      </c>
      <c r="BD237" s="616">
        <f t="shared" si="258"/>
        <v>-0.00795</v>
      </c>
      <c r="BE237" s="616">
        <f t="shared" si="259"/>
        <v>-0.02385</v>
      </c>
      <c r="BF237" s="616">
        <f t="shared" si="260"/>
        <v>-0.477</v>
      </c>
      <c r="BG237" s="616"/>
      <c r="BH237" s="615">
        <f t="shared" si="261"/>
        <v>18.3177912</v>
      </c>
      <c r="BI237" s="616">
        <f t="shared" si="262"/>
        <v>8.7304128</v>
      </c>
      <c r="BJ237" s="616">
        <f t="shared" si="263"/>
        <v>2.861904</v>
      </c>
      <c r="BK237" s="616">
        <f t="shared" si="264"/>
        <v>2.146428</v>
      </c>
      <c r="BL237" s="616">
        <f t="shared" si="265"/>
        <v>0.0715476</v>
      </c>
      <c r="BM237" s="616">
        <f t="shared" si="266"/>
        <v>0.2146428</v>
      </c>
      <c r="BN237" s="616">
        <f t="shared" si="267"/>
        <v>4.292856</v>
      </c>
      <c r="BO237" s="616"/>
      <c r="BP237" s="304"/>
    </row>
    <row r="238" s="130" customFormat="1" ht="24" spans="1:68">
      <c r="A238" s="497" t="s">
        <v>504</v>
      </c>
      <c r="B238" s="497" t="s">
        <v>206</v>
      </c>
      <c r="C238" s="497" t="s">
        <v>527</v>
      </c>
      <c r="D238" s="497" t="s">
        <v>528</v>
      </c>
      <c r="E238" s="615">
        <f t="shared" si="318"/>
        <v>0</v>
      </c>
      <c r="F238" s="615">
        <f t="shared" si="299"/>
        <v>0</v>
      </c>
      <c r="G238" s="616"/>
      <c r="H238" s="616"/>
      <c r="I238" s="616"/>
      <c r="J238" s="616"/>
      <c r="K238" s="616"/>
      <c r="L238" s="616"/>
      <c r="M238" s="615">
        <f t="shared" si="319"/>
        <v>0</v>
      </c>
      <c r="N238" s="616"/>
      <c r="O238" s="618"/>
      <c r="P238" s="616"/>
      <c r="Q238" s="616"/>
      <c r="R238" s="615">
        <f t="shared" si="320"/>
        <v>0</v>
      </c>
      <c r="S238" s="615">
        <f t="shared" si="302"/>
        <v>0</v>
      </c>
      <c r="T238" s="655"/>
      <c r="U238" s="655"/>
      <c r="V238" s="616"/>
      <c r="W238" s="616"/>
      <c r="X238" s="616"/>
      <c r="Y238" s="616"/>
      <c r="Z238" s="615">
        <f t="shared" si="321"/>
        <v>0</v>
      </c>
      <c r="AA238" s="657"/>
      <c r="AB238" s="616"/>
      <c r="AC238" s="650"/>
      <c r="AD238" s="616"/>
      <c r="AE238" s="615">
        <f t="shared" si="304"/>
        <v>0</v>
      </c>
      <c r="AF238" s="615">
        <f t="shared" si="305"/>
        <v>0</v>
      </c>
      <c r="AG238" s="616">
        <f t="shared" si="306"/>
        <v>0</v>
      </c>
      <c r="AH238" s="616">
        <f t="shared" si="307"/>
        <v>0</v>
      </c>
      <c r="AI238" s="616">
        <f t="shared" si="308"/>
        <v>0</v>
      </c>
      <c r="AJ238" s="616">
        <f t="shared" si="309"/>
        <v>0</v>
      </c>
      <c r="AK238" s="616">
        <f t="shared" si="310"/>
        <v>0</v>
      </c>
      <c r="AL238" s="616">
        <f t="shared" si="311"/>
        <v>0</v>
      </c>
      <c r="AM238" s="615">
        <f t="shared" si="312"/>
        <v>0</v>
      </c>
      <c r="AN238" s="616">
        <f t="shared" si="313"/>
        <v>0</v>
      </c>
      <c r="AO238" s="616">
        <f t="shared" si="314"/>
        <v>0</v>
      </c>
      <c r="AP238" s="616">
        <f t="shared" si="315"/>
        <v>0</v>
      </c>
      <c r="AQ238" s="637">
        <f t="shared" si="316"/>
        <v>0</v>
      </c>
      <c r="AR238" s="638">
        <f t="shared" si="322"/>
        <v>0</v>
      </c>
      <c r="AS238" s="616">
        <f t="shared" si="248"/>
        <v>0</v>
      </c>
      <c r="AT238" s="616">
        <f t="shared" si="249"/>
        <v>0</v>
      </c>
      <c r="AU238" s="616">
        <f t="shared" si="250"/>
        <v>0</v>
      </c>
      <c r="AV238" s="616">
        <f t="shared" si="251"/>
        <v>0</v>
      </c>
      <c r="AW238" s="616">
        <f t="shared" si="252"/>
        <v>0</v>
      </c>
      <c r="AX238" s="616">
        <f t="shared" si="253"/>
        <v>0</v>
      </c>
      <c r="AY238" s="616"/>
      <c r="AZ238" s="615">
        <f t="shared" si="254"/>
        <v>0</v>
      </c>
      <c r="BA238" s="616">
        <f t="shared" si="255"/>
        <v>0</v>
      </c>
      <c r="BB238" s="616">
        <f t="shared" si="256"/>
        <v>0</v>
      </c>
      <c r="BC238" s="616">
        <f t="shared" si="257"/>
        <v>0</v>
      </c>
      <c r="BD238" s="616">
        <f t="shared" si="258"/>
        <v>0</v>
      </c>
      <c r="BE238" s="616">
        <f t="shared" si="259"/>
        <v>0</v>
      </c>
      <c r="BF238" s="616">
        <f t="shared" si="260"/>
        <v>0</v>
      </c>
      <c r="BG238" s="616"/>
      <c r="BH238" s="615">
        <f t="shared" si="261"/>
        <v>0</v>
      </c>
      <c r="BI238" s="616">
        <f t="shared" si="262"/>
        <v>0</v>
      </c>
      <c r="BJ238" s="616">
        <f t="shared" si="263"/>
        <v>0</v>
      </c>
      <c r="BK238" s="616">
        <f t="shared" si="264"/>
        <v>0</v>
      </c>
      <c r="BL238" s="616">
        <f t="shared" si="265"/>
        <v>0</v>
      </c>
      <c r="BM238" s="616">
        <f t="shared" si="266"/>
        <v>0</v>
      </c>
      <c r="BN238" s="616">
        <f t="shared" si="267"/>
        <v>0</v>
      </c>
      <c r="BO238" s="616"/>
      <c r="BP238" s="304"/>
    </row>
    <row r="239" s="508" customFormat="1" ht="16" customHeight="1" spans="1:69">
      <c r="A239" s="647"/>
      <c r="B239" s="647"/>
      <c r="C239" s="647" t="s">
        <v>133</v>
      </c>
      <c r="D239" s="648">
        <v>210</v>
      </c>
      <c r="E239" s="612">
        <f t="shared" ref="E239:P239" si="323">SUM(E240:E264)</f>
        <v>402.8124</v>
      </c>
      <c r="F239" s="612">
        <f t="shared" si="323"/>
        <v>364.5724</v>
      </c>
      <c r="G239" s="612">
        <f t="shared" si="323"/>
        <v>145.0552</v>
      </c>
      <c r="H239" s="612">
        <f t="shared" si="323"/>
        <v>88.1076</v>
      </c>
      <c r="I239" s="612">
        <f t="shared" si="323"/>
        <v>12.3696</v>
      </c>
      <c r="J239" s="612">
        <f t="shared" si="323"/>
        <v>0</v>
      </c>
      <c r="K239" s="612">
        <f t="shared" si="323"/>
        <v>0</v>
      </c>
      <c r="L239" s="612">
        <f t="shared" si="323"/>
        <v>119.04</v>
      </c>
      <c r="M239" s="612">
        <f t="shared" si="323"/>
        <v>38.24</v>
      </c>
      <c r="N239" s="612">
        <f t="shared" si="323"/>
        <v>2.54</v>
      </c>
      <c r="O239" s="612">
        <f t="shared" si="323"/>
        <v>0</v>
      </c>
      <c r="P239" s="612">
        <f t="shared" si="323"/>
        <v>18.7</v>
      </c>
      <c r="Q239" s="612">
        <f t="shared" ref="Q239:AE239" si="324">SUM(Q240:Q264)</f>
        <v>17</v>
      </c>
      <c r="R239" s="612">
        <f t="shared" si="324"/>
        <v>-39.74098</v>
      </c>
      <c r="S239" s="612">
        <f t="shared" si="324"/>
        <v>-41.50458</v>
      </c>
      <c r="T239" s="612">
        <f t="shared" si="324"/>
        <v>-12.21</v>
      </c>
      <c r="U239" s="612">
        <f t="shared" si="324"/>
        <v>-6.7983</v>
      </c>
      <c r="V239" s="612">
        <f t="shared" si="324"/>
        <v>-1.4878</v>
      </c>
      <c r="W239" s="612">
        <f t="shared" si="324"/>
        <v>0</v>
      </c>
      <c r="X239" s="612">
        <f t="shared" si="324"/>
        <v>0</v>
      </c>
      <c r="Y239" s="612">
        <f t="shared" si="324"/>
        <v>-21.00848</v>
      </c>
      <c r="Z239" s="612">
        <f t="shared" si="324"/>
        <v>1.7636</v>
      </c>
      <c r="AA239" s="612">
        <f t="shared" si="324"/>
        <v>0</v>
      </c>
      <c r="AB239" s="612">
        <f t="shared" si="324"/>
        <v>2.55</v>
      </c>
      <c r="AC239" s="612">
        <f t="shared" si="324"/>
        <v>-0.786399999999999</v>
      </c>
      <c r="AD239" s="612">
        <f t="shared" si="324"/>
        <v>0</v>
      </c>
      <c r="AE239" s="612">
        <f t="shared" ref="AE239:AQ239" si="325">SUM(AE240:AE264)</f>
        <v>363.07142</v>
      </c>
      <c r="AF239" s="612">
        <f t="shared" si="325"/>
        <v>323.06782</v>
      </c>
      <c r="AG239" s="612">
        <f t="shared" si="325"/>
        <v>132.8452</v>
      </c>
      <c r="AH239" s="612">
        <f t="shared" si="325"/>
        <v>81.3093</v>
      </c>
      <c r="AI239" s="612">
        <f t="shared" si="325"/>
        <v>10.8818</v>
      </c>
      <c r="AJ239" s="612">
        <f t="shared" si="325"/>
        <v>0</v>
      </c>
      <c r="AK239" s="612">
        <f t="shared" si="325"/>
        <v>0</v>
      </c>
      <c r="AL239" s="612">
        <f t="shared" si="325"/>
        <v>98.03152</v>
      </c>
      <c r="AM239" s="612">
        <f t="shared" si="325"/>
        <v>40.0036</v>
      </c>
      <c r="AN239" s="612">
        <f t="shared" si="325"/>
        <v>2.54</v>
      </c>
      <c r="AO239" s="612">
        <f t="shared" si="325"/>
        <v>2.55</v>
      </c>
      <c r="AP239" s="612">
        <f t="shared" si="325"/>
        <v>17.9136</v>
      </c>
      <c r="AQ239" s="635">
        <f t="shared" si="325"/>
        <v>17</v>
      </c>
      <c r="AR239" s="636">
        <f t="shared" ref="AR239:AY239" si="326">SUM(AR240:AR264)</f>
        <v>120.8192144</v>
      </c>
      <c r="AS239" s="612">
        <f t="shared" si="326"/>
        <v>58.331584</v>
      </c>
      <c r="AT239" s="612">
        <f t="shared" si="326"/>
        <v>18.653024</v>
      </c>
      <c r="AU239" s="612">
        <f t="shared" si="326"/>
        <v>13.989768</v>
      </c>
      <c r="AV239" s="612">
        <f t="shared" si="326"/>
        <v>0.4663256</v>
      </c>
      <c r="AW239" s="612">
        <f t="shared" si="326"/>
        <v>1.3989768</v>
      </c>
      <c r="AX239" s="612">
        <f t="shared" si="326"/>
        <v>27.979536</v>
      </c>
      <c r="AY239" s="612">
        <f t="shared" si="326"/>
        <v>0</v>
      </c>
      <c r="AZ239" s="612">
        <f t="shared" ref="AZ239:BO239" si="327">SUM(AZ240:AZ264)</f>
        <v>-11.7349572</v>
      </c>
      <c r="BA239" s="612">
        <f t="shared" si="327"/>
        <v>-6.6407328</v>
      </c>
      <c r="BB239" s="612">
        <f t="shared" si="327"/>
        <v>-1.520664</v>
      </c>
      <c r="BC239" s="612">
        <f t="shared" si="327"/>
        <v>-1.140498</v>
      </c>
      <c r="BD239" s="612">
        <f t="shared" si="327"/>
        <v>-0.0380166</v>
      </c>
      <c r="BE239" s="612">
        <f t="shared" si="327"/>
        <v>-0.1140498</v>
      </c>
      <c r="BF239" s="612">
        <f t="shared" si="327"/>
        <v>-2.280996</v>
      </c>
      <c r="BG239" s="612">
        <f t="shared" si="327"/>
        <v>0</v>
      </c>
      <c r="BH239" s="612">
        <f t="shared" si="327"/>
        <v>109.0842572</v>
      </c>
      <c r="BI239" s="612">
        <f t="shared" si="327"/>
        <v>51.6908512</v>
      </c>
      <c r="BJ239" s="612">
        <f t="shared" si="327"/>
        <v>17.13236</v>
      </c>
      <c r="BK239" s="612">
        <f t="shared" si="327"/>
        <v>12.84927</v>
      </c>
      <c r="BL239" s="612">
        <f t="shared" si="327"/>
        <v>0.428309</v>
      </c>
      <c r="BM239" s="612">
        <f t="shared" si="327"/>
        <v>1.284927</v>
      </c>
      <c r="BN239" s="612">
        <f t="shared" si="327"/>
        <v>25.69854</v>
      </c>
      <c r="BO239" s="612">
        <f t="shared" si="327"/>
        <v>0</v>
      </c>
      <c r="BP239" s="334"/>
      <c r="BQ239" s="580"/>
    </row>
    <row r="240" s="130" customFormat="1" ht="24" spans="1:68">
      <c r="A240" s="497" t="s">
        <v>504</v>
      </c>
      <c r="B240" s="497" t="s">
        <v>203</v>
      </c>
      <c r="C240" s="497" t="s">
        <v>529</v>
      </c>
      <c r="D240" s="497" t="s">
        <v>530</v>
      </c>
      <c r="E240" s="615">
        <f>F240+M240</f>
        <v>224.13</v>
      </c>
      <c r="F240" s="615">
        <f t="shared" ref="F240:F264" si="328">SUM(G240:L240)</f>
        <v>204.18</v>
      </c>
      <c r="G240" s="396">
        <v>80.96</v>
      </c>
      <c r="H240" s="396">
        <v>47.92</v>
      </c>
      <c r="I240" s="396">
        <v>7.03</v>
      </c>
      <c r="J240" s="616"/>
      <c r="K240" s="616"/>
      <c r="L240" s="616">
        <v>68.27</v>
      </c>
      <c r="M240" s="615">
        <f>SUM(N240:Q240)</f>
        <v>19.95</v>
      </c>
      <c r="N240" s="616"/>
      <c r="O240" s="616"/>
      <c r="P240" s="616">
        <v>10.45</v>
      </c>
      <c r="Q240" s="616">
        <v>9.5</v>
      </c>
      <c r="R240" s="615">
        <f>S240+Z240</f>
        <v>-35.46</v>
      </c>
      <c r="S240" s="615">
        <f t="shared" ref="S240:S264" si="329">SUM(T240:Y240)</f>
        <v>-37.09</v>
      </c>
      <c r="T240" s="616">
        <v>-11.38</v>
      </c>
      <c r="U240" s="616">
        <v>-6.68</v>
      </c>
      <c r="V240" s="616">
        <v>-0.58</v>
      </c>
      <c r="W240" s="616"/>
      <c r="X240" s="616"/>
      <c r="Y240" s="616">
        <v>-18.45</v>
      </c>
      <c r="Z240" s="615">
        <f>SUM(AA240:AD240)</f>
        <v>1.63</v>
      </c>
      <c r="AA240" s="616"/>
      <c r="AB240" s="616">
        <f>1.35+0.75</f>
        <v>2.1</v>
      </c>
      <c r="AC240" s="616">
        <v>-0.469999999999999</v>
      </c>
      <c r="AD240" s="616"/>
      <c r="AE240" s="615">
        <f t="shared" ref="AE240:AE264" si="330">AF240+AM240</f>
        <v>188.67</v>
      </c>
      <c r="AF240" s="615">
        <f t="shared" ref="AF240:AF264" si="331">SUM(AG240:AL240)</f>
        <v>167.09</v>
      </c>
      <c r="AG240" s="616">
        <f t="shared" ref="AG240:AG264" si="332">G240+T240</f>
        <v>69.58</v>
      </c>
      <c r="AH240" s="616">
        <f t="shared" ref="AH240:AH264" si="333">H240+U240</f>
        <v>41.24</v>
      </c>
      <c r="AI240" s="616">
        <f t="shared" ref="AI240:AI264" si="334">I240+V240</f>
        <v>6.45</v>
      </c>
      <c r="AJ240" s="616">
        <f t="shared" ref="AJ240:AJ264" si="335">J240+W240</f>
        <v>0</v>
      </c>
      <c r="AK240" s="616">
        <f t="shared" ref="AK240:AK264" si="336">K240+X240</f>
        <v>0</v>
      </c>
      <c r="AL240" s="616">
        <f t="shared" ref="AL240:AL264" si="337">L240+Y240</f>
        <v>49.82</v>
      </c>
      <c r="AM240" s="615">
        <f t="shared" ref="AM240:AM264" si="338">SUM(AN240:AQ240)</f>
        <v>21.58</v>
      </c>
      <c r="AN240" s="616">
        <f t="shared" ref="AN240:AN264" si="339">N240+AA240</f>
        <v>0</v>
      </c>
      <c r="AO240" s="616">
        <f t="shared" ref="AO240:AO264" si="340">O240+AB240</f>
        <v>2.1</v>
      </c>
      <c r="AP240" s="616">
        <f t="shared" ref="AP240:AP264" si="341">P240+AC240</f>
        <v>9.98</v>
      </c>
      <c r="AQ240" s="637">
        <f t="shared" ref="AQ240:AQ264" si="342">Q240+AD240</f>
        <v>9.5</v>
      </c>
      <c r="AR240" s="638">
        <f>SUM(AS240:AY240)</f>
        <v>67.20864</v>
      </c>
      <c r="AS240" s="616">
        <f t="shared" si="248"/>
        <v>32.6688</v>
      </c>
      <c r="AT240" s="616">
        <f t="shared" si="249"/>
        <v>10.3104</v>
      </c>
      <c r="AU240" s="616">
        <f t="shared" si="250"/>
        <v>7.7328</v>
      </c>
      <c r="AV240" s="616">
        <f t="shared" si="251"/>
        <v>0.25776</v>
      </c>
      <c r="AW240" s="616">
        <f t="shared" si="252"/>
        <v>0.77328</v>
      </c>
      <c r="AX240" s="616">
        <f t="shared" si="253"/>
        <v>15.4656</v>
      </c>
      <c r="AY240" s="616"/>
      <c r="AZ240" s="615">
        <f t="shared" si="254"/>
        <v>-10.77448</v>
      </c>
      <c r="BA240" s="616">
        <f t="shared" si="255"/>
        <v>-5.9344</v>
      </c>
      <c r="BB240" s="616">
        <f t="shared" si="256"/>
        <v>-1.4448</v>
      </c>
      <c r="BC240" s="616">
        <f t="shared" si="257"/>
        <v>-1.0836</v>
      </c>
      <c r="BD240" s="616">
        <f t="shared" si="258"/>
        <v>-0.03612</v>
      </c>
      <c r="BE240" s="616">
        <f t="shared" si="259"/>
        <v>-0.10836</v>
      </c>
      <c r="BF240" s="616">
        <f t="shared" si="260"/>
        <v>-2.1672</v>
      </c>
      <c r="BG240" s="616"/>
      <c r="BH240" s="615">
        <f t="shared" si="261"/>
        <v>56.43416</v>
      </c>
      <c r="BI240" s="616">
        <f t="shared" si="262"/>
        <v>26.7344</v>
      </c>
      <c r="BJ240" s="616">
        <f t="shared" si="263"/>
        <v>8.8656</v>
      </c>
      <c r="BK240" s="616">
        <f t="shared" si="264"/>
        <v>6.6492</v>
      </c>
      <c r="BL240" s="616">
        <f t="shared" si="265"/>
        <v>0.22164</v>
      </c>
      <c r="BM240" s="616">
        <f t="shared" si="266"/>
        <v>0.66492</v>
      </c>
      <c r="BN240" s="616">
        <f t="shared" si="267"/>
        <v>13.2984</v>
      </c>
      <c r="BO240" s="616"/>
      <c r="BP240" s="304"/>
    </row>
    <row r="241" s="130" customFormat="1" ht="24" spans="1:68">
      <c r="A241" s="497" t="s">
        <v>504</v>
      </c>
      <c r="B241" s="497" t="s">
        <v>206</v>
      </c>
      <c r="C241" s="497" t="s">
        <v>531</v>
      </c>
      <c r="D241" s="497" t="s">
        <v>532</v>
      </c>
      <c r="E241" s="615">
        <f t="shared" ref="E241:E264" si="343">F241+M241</f>
        <v>0</v>
      </c>
      <c r="F241" s="615">
        <f t="shared" si="328"/>
        <v>0</v>
      </c>
      <c r="G241" s="616"/>
      <c r="H241" s="616"/>
      <c r="I241" s="616"/>
      <c r="J241" s="616"/>
      <c r="K241" s="616"/>
      <c r="L241" s="616"/>
      <c r="M241" s="615">
        <f t="shared" ref="M241:M264" si="344">SUM(N241:Q241)</f>
        <v>0</v>
      </c>
      <c r="N241" s="616"/>
      <c r="O241" s="618"/>
      <c r="P241" s="616"/>
      <c r="Q241" s="616"/>
      <c r="R241" s="615">
        <f t="shared" ref="R241:R264" si="345">S241+Z241</f>
        <v>0</v>
      </c>
      <c r="S241" s="615">
        <f t="shared" si="329"/>
        <v>0</v>
      </c>
      <c r="T241" s="396"/>
      <c r="U241" s="396"/>
      <c r="V241" s="396"/>
      <c r="W241" s="396"/>
      <c r="X241" s="396"/>
      <c r="Y241" s="616"/>
      <c r="Z241" s="615">
        <f t="shared" ref="Z241:Z264" si="346">SUM(AA241:AD241)</f>
        <v>0</v>
      </c>
      <c r="AA241" s="396"/>
      <c r="AB241" s="616"/>
      <c r="AC241" s="650"/>
      <c r="AD241" s="616"/>
      <c r="AE241" s="615">
        <f t="shared" si="330"/>
        <v>0</v>
      </c>
      <c r="AF241" s="615">
        <f t="shared" si="331"/>
        <v>0</v>
      </c>
      <c r="AG241" s="616">
        <f t="shared" si="332"/>
        <v>0</v>
      </c>
      <c r="AH241" s="616">
        <f t="shared" si="333"/>
        <v>0</v>
      </c>
      <c r="AI241" s="616">
        <f t="shared" si="334"/>
        <v>0</v>
      </c>
      <c r="AJ241" s="616">
        <f t="shared" si="335"/>
        <v>0</v>
      </c>
      <c r="AK241" s="616">
        <f t="shared" si="336"/>
        <v>0</v>
      </c>
      <c r="AL241" s="616">
        <f t="shared" si="337"/>
        <v>0</v>
      </c>
      <c r="AM241" s="615">
        <f t="shared" si="338"/>
        <v>0</v>
      </c>
      <c r="AN241" s="616">
        <f t="shared" si="339"/>
        <v>0</v>
      </c>
      <c r="AO241" s="616">
        <f t="shared" si="340"/>
        <v>0</v>
      </c>
      <c r="AP241" s="616">
        <f t="shared" si="341"/>
        <v>0</v>
      </c>
      <c r="AQ241" s="637">
        <f t="shared" si="342"/>
        <v>0</v>
      </c>
      <c r="AR241" s="638">
        <f t="shared" ref="AR241:AR264" si="347">SUM(AS241:AY241)</f>
        <v>0</v>
      </c>
      <c r="AS241" s="616">
        <f t="shared" si="248"/>
        <v>0</v>
      </c>
      <c r="AT241" s="616">
        <f t="shared" si="249"/>
        <v>0</v>
      </c>
      <c r="AU241" s="616">
        <f t="shared" si="250"/>
        <v>0</v>
      </c>
      <c r="AV241" s="616">
        <f t="shared" si="251"/>
        <v>0</v>
      </c>
      <c r="AW241" s="616">
        <f t="shared" si="252"/>
        <v>0</v>
      </c>
      <c r="AX241" s="616">
        <f t="shared" si="253"/>
        <v>0</v>
      </c>
      <c r="AY241" s="616"/>
      <c r="AZ241" s="615">
        <f t="shared" si="254"/>
        <v>0</v>
      </c>
      <c r="BA241" s="616">
        <f t="shared" si="255"/>
        <v>0</v>
      </c>
      <c r="BB241" s="616">
        <f t="shared" si="256"/>
        <v>0</v>
      </c>
      <c r="BC241" s="616">
        <f t="shared" si="257"/>
        <v>0</v>
      </c>
      <c r="BD241" s="616">
        <f t="shared" si="258"/>
        <v>0</v>
      </c>
      <c r="BE241" s="616">
        <f t="shared" si="259"/>
        <v>0</v>
      </c>
      <c r="BF241" s="616">
        <f t="shared" si="260"/>
        <v>0</v>
      </c>
      <c r="BG241" s="616"/>
      <c r="BH241" s="615">
        <f t="shared" si="261"/>
        <v>0</v>
      </c>
      <c r="BI241" s="616">
        <f t="shared" si="262"/>
        <v>0</v>
      </c>
      <c r="BJ241" s="616">
        <f t="shared" si="263"/>
        <v>0</v>
      </c>
      <c r="BK241" s="616">
        <f t="shared" si="264"/>
        <v>0</v>
      </c>
      <c r="BL241" s="616">
        <f t="shared" si="265"/>
        <v>0</v>
      </c>
      <c r="BM241" s="616">
        <f t="shared" si="266"/>
        <v>0</v>
      </c>
      <c r="BN241" s="616">
        <f t="shared" si="267"/>
        <v>0</v>
      </c>
      <c r="BO241" s="616"/>
      <c r="BP241" s="304"/>
    </row>
    <row r="242" s="130" customFormat="1" ht="24" spans="1:68">
      <c r="A242" s="497" t="s">
        <v>504</v>
      </c>
      <c r="B242" s="497" t="s">
        <v>483</v>
      </c>
      <c r="C242" s="497" t="s">
        <v>533</v>
      </c>
      <c r="D242" s="497" t="s">
        <v>534</v>
      </c>
      <c r="E242" s="615">
        <f t="shared" si="343"/>
        <v>0</v>
      </c>
      <c r="F242" s="615">
        <f t="shared" si="328"/>
        <v>0</v>
      </c>
      <c r="G242" s="616"/>
      <c r="H242" s="616"/>
      <c r="I242" s="616"/>
      <c r="J242" s="616"/>
      <c r="K242" s="616"/>
      <c r="L242" s="616"/>
      <c r="M242" s="615">
        <f t="shared" si="344"/>
        <v>0</v>
      </c>
      <c r="N242" s="616"/>
      <c r="O242" s="616"/>
      <c r="P242" s="616"/>
      <c r="Q242" s="616"/>
      <c r="R242" s="615">
        <f t="shared" si="345"/>
        <v>0</v>
      </c>
      <c r="S242" s="615">
        <f t="shared" si="329"/>
        <v>0</v>
      </c>
      <c r="T242" s="616"/>
      <c r="U242" s="616"/>
      <c r="V242" s="616"/>
      <c r="W242" s="616"/>
      <c r="X242" s="616"/>
      <c r="Y242" s="616"/>
      <c r="Z242" s="615">
        <f t="shared" si="346"/>
        <v>0</v>
      </c>
      <c r="AA242" s="616"/>
      <c r="AB242" s="616"/>
      <c r="AC242" s="616"/>
      <c r="AD242" s="616"/>
      <c r="AE242" s="615">
        <f t="shared" si="330"/>
        <v>0</v>
      </c>
      <c r="AF242" s="615">
        <f t="shared" si="331"/>
        <v>0</v>
      </c>
      <c r="AG242" s="616">
        <f t="shared" si="332"/>
        <v>0</v>
      </c>
      <c r="AH242" s="616">
        <f t="shared" si="333"/>
        <v>0</v>
      </c>
      <c r="AI242" s="616">
        <f t="shared" si="334"/>
        <v>0</v>
      </c>
      <c r="AJ242" s="616">
        <f t="shared" si="335"/>
        <v>0</v>
      </c>
      <c r="AK242" s="616">
        <f t="shared" si="336"/>
        <v>0</v>
      </c>
      <c r="AL242" s="616">
        <f t="shared" si="337"/>
        <v>0</v>
      </c>
      <c r="AM242" s="615">
        <f t="shared" si="338"/>
        <v>0</v>
      </c>
      <c r="AN242" s="616">
        <f t="shared" si="339"/>
        <v>0</v>
      </c>
      <c r="AO242" s="616">
        <f t="shared" si="340"/>
        <v>0</v>
      </c>
      <c r="AP242" s="616">
        <f t="shared" si="341"/>
        <v>0</v>
      </c>
      <c r="AQ242" s="637">
        <f t="shared" si="342"/>
        <v>0</v>
      </c>
      <c r="AR242" s="638">
        <f t="shared" si="347"/>
        <v>0</v>
      </c>
      <c r="AS242" s="616">
        <f t="shared" si="248"/>
        <v>0</v>
      </c>
      <c r="AT242" s="616">
        <f t="shared" si="249"/>
        <v>0</v>
      </c>
      <c r="AU242" s="616">
        <f t="shared" si="250"/>
        <v>0</v>
      </c>
      <c r="AV242" s="616">
        <f t="shared" si="251"/>
        <v>0</v>
      </c>
      <c r="AW242" s="616">
        <f t="shared" si="252"/>
        <v>0</v>
      </c>
      <c r="AX242" s="616">
        <f t="shared" si="253"/>
        <v>0</v>
      </c>
      <c r="AY242" s="616"/>
      <c r="AZ242" s="615">
        <f t="shared" si="254"/>
        <v>0</v>
      </c>
      <c r="BA242" s="616">
        <f t="shared" si="255"/>
        <v>0</v>
      </c>
      <c r="BB242" s="616">
        <f t="shared" si="256"/>
        <v>0</v>
      </c>
      <c r="BC242" s="616">
        <f t="shared" si="257"/>
        <v>0</v>
      </c>
      <c r="BD242" s="616">
        <f t="shared" si="258"/>
        <v>0</v>
      </c>
      <c r="BE242" s="616">
        <f t="shared" si="259"/>
        <v>0</v>
      </c>
      <c r="BF242" s="616">
        <f t="shared" si="260"/>
        <v>0</v>
      </c>
      <c r="BG242" s="616"/>
      <c r="BH242" s="615">
        <f t="shared" si="261"/>
        <v>0</v>
      </c>
      <c r="BI242" s="616">
        <f t="shared" si="262"/>
        <v>0</v>
      </c>
      <c r="BJ242" s="616">
        <f t="shared" si="263"/>
        <v>0</v>
      </c>
      <c r="BK242" s="616">
        <f t="shared" si="264"/>
        <v>0</v>
      </c>
      <c r="BL242" s="616">
        <f t="shared" si="265"/>
        <v>0</v>
      </c>
      <c r="BM242" s="616">
        <f t="shared" si="266"/>
        <v>0</v>
      </c>
      <c r="BN242" s="616">
        <f t="shared" si="267"/>
        <v>0</v>
      </c>
      <c r="BO242" s="616"/>
      <c r="BP242" s="304"/>
    </row>
    <row r="243" s="130" customFormat="1" ht="36" spans="1:68">
      <c r="A243" s="497" t="s">
        <v>504</v>
      </c>
      <c r="B243" s="497" t="s">
        <v>483</v>
      </c>
      <c r="C243" s="497" t="s">
        <v>535</v>
      </c>
      <c r="D243" s="497" t="s">
        <v>536</v>
      </c>
      <c r="E243" s="615">
        <f t="shared" si="343"/>
        <v>0</v>
      </c>
      <c r="F243" s="615">
        <f t="shared" si="328"/>
        <v>0</v>
      </c>
      <c r="G243" s="616"/>
      <c r="H243" s="616"/>
      <c r="I243" s="616"/>
      <c r="J243" s="616"/>
      <c r="K243" s="616"/>
      <c r="L243" s="616"/>
      <c r="M243" s="615">
        <f t="shared" si="344"/>
        <v>0</v>
      </c>
      <c r="N243" s="616"/>
      <c r="O243" s="616"/>
      <c r="P243" s="616"/>
      <c r="Q243" s="616"/>
      <c r="R243" s="615">
        <f t="shared" si="345"/>
        <v>0</v>
      </c>
      <c r="S243" s="615">
        <f t="shared" si="329"/>
        <v>0</v>
      </c>
      <c r="T243" s="616"/>
      <c r="U243" s="616"/>
      <c r="V243" s="616"/>
      <c r="W243" s="616"/>
      <c r="X243" s="616"/>
      <c r="Y243" s="616"/>
      <c r="Z243" s="615">
        <f t="shared" si="346"/>
        <v>0</v>
      </c>
      <c r="AA243" s="616"/>
      <c r="AB243" s="616"/>
      <c r="AC243" s="616"/>
      <c r="AD243" s="616"/>
      <c r="AE243" s="615">
        <f t="shared" si="330"/>
        <v>0</v>
      </c>
      <c r="AF243" s="615">
        <f t="shared" si="331"/>
        <v>0</v>
      </c>
      <c r="AG243" s="616">
        <f t="shared" si="332"/>
        <v>0</v>
      </c>
      <c r="AH243" s="616">
        <f t="shared" si="333"/>
        <v>0</v>
      </c>
      <c r="AI243" s="616">
        <f t="shared" si="334"/>
        <v>0</v>
      </c>
      <c r="AJ243" s="616">
        <f t="shared" si="335"/>
        <v>0</v>
      </c>
      <c r="AK243" s="616">
        <f t="shared" si="336"/>
        <v>0</v>
      </c>
      <c r="AL243" s="616">
        <f t="shared" si="337"/>
        <v>0</v>
      </c>
      <c r="AM243" s="615">
        <f t="shared" si="338"/>
        <v>0</v>
      </c>
      <c r="AN243" s="616">
        <f t="shared" si="339"/>
        <v>0</v>
      </c>
      <c r="AO243" s="616">
        <f t="shared" si="340"/>
        <v>0</v>
      </c>
      <c r="AP243" s="616">
        <f t="shared" si="341"/>
        <v>0</v>
      </c>
      <c r="AQ243" s="637">
        <f t="shared" si="342"/>
        <v>0</v>
      </c>
      <c r="AR243" s="638">
        <f t="shared" si="347"/>
        <v>0</v>
      </c>
      <c r="AS243" s="616">
        <f t="shared" si="248"/>
        <v>0</v>
      </c>
      <c r="AT243" s="616">
        <f t="shared" si="249"/>
        <v>0</v>
      </c>
      <c r="AU243" s="616">
        <f t="shared" si="250"/>
        <v>0</v>
      </c>
      <c r="AV243" s="616">
        <f t="shared" si="251"/>
        <v>0</v>
      </c>
      <c r="AW243" s="616">
        <f t="shared" si="252"/>
        <v>0</v>
      </c>
      <c r="AX243" s="616">
        <f t="shared" si="253"/>
        <v>0</v>
      </c>
      <c r="AY243" s="616"/>
      <c r="AZ243" s="615">
        <f t="shared" si="254"/>
        <v>0</v>
      </c>
      <c r="BA243" s="616">
        <f t="shared" si="255"/>
        <v>0</v>
      </c>
      <c r="BB243" s="616">
        <f t="shared" si="256"/>
        <v>0</v>
      </c>
      <c r="BC243" s="616">
        <f t="shared" si="257"/>
        <v>0</v>
      </c>
      <c r="BD243" s="616">
        <f t="shared" si="258"/>
        <v>0</v>
      </c>
      <c r="BE243" s="616">
        <f t="shared" si="259"/>
        <v>0</v>
      </c>
      <c r="BF243" s="616">
        <f t="shared" si="260"/>
        <v>0</v>
      </c>
      <c r="BG243" s="616"/>
      <c r="BH243" s="615">
        <f t="shared" si="261"/>
        <v>0</v>
      </c>
      <c r="BI243" s="616">
        <f t="shared" si="262"/>
        <v>0</v>
      </c>
      <c r="BJ243" s="616">
        <f t="shared" si="263"/>
        <v>0</v>
      </c>
      <c r="BK243" s="616">
        <f t="shared" si="264"/>
        <v>0</v>
      </c>
      <c r="BL243" s="616">
        <f t="shared" si="265"/>
        <v>0</v>
      </c>
      <c r="BM243" s="616">
        <f t="shared" si="266"/>
        <v>0</v>
      </c>
      <c r="BN243" s="616">
        <f t="shared" si="267"/>
        <v>0</v>
      </c>
      <c r="BO243" s="616"/>
      <c r="BP243" s="304"/>
    </row>
    <row r="244" s="130" customFormat="1" ht="36" spans="1:68">
      <c r="A244" s="497" t="s">
        <v>504</v>
      </c>
      <c r="B244" s="497" t="s">
        <v>203</v>
      </c>
      <c r="C244" s="497" t="s">
        <v>537</v>
      </c>
      <c r="D244" s="497" t="s">
        <v>538</v>
      </c>
      <c r="E244" s="615">
        <f t="shared" si="343"/>
        <v>0</v>
      </c>
      <c r="F244" s="615">
        <f t="shared" si="328"/>
        <v>0</v>
      </c>
      <c r="G244" s="616"/>
      <c r="H244" s="616"/>
      <c r="I244" s="616"/>
      <c r="J244" s="616"/>
      <c r="K244" s="616"/>
      <c r="L244" s="616"/>
      <c r="M244" s="615">
        <f t="shared" si="344"/>
        <v>0</v>
      </c>
      <c r="N244" s="616"/>
      <c r="O244" s="616"/>
      <c r="P244" s="616"/>
      <c r="Q244" s="616"/>
      <c r="R244" s="615">
        <f t="shared" si="345"/>
        <v>0</v>
      </c>
      <c r="S244" s="615">
        <f t="shared" si="329"/>
        <v>0</v>
      </c>
      <c r="T244" s="616"/>
      <c r="U244" s="616"/>
      <c r="V244" s="616"/>
      <c r="W244" s="616"/>
      <c r="X244" s="616"/>
      <c r="Y244" s="616"/>
      <c r="Z244" s="615">
        <f t="shared" si="346"/>
        <v>0</v>
      </c>
      <c r="AA244" s="616"/>
      <c r="AB244" s="616"/>
      <c r="AC244" s="396"/>
      <c r="AD244" s="616"/>
      <c r="AE244" s="615">
        <f t="shared" si="330"/>
        <v>0</v>
      </c>
      <c r="AF244" s="615">
        <f t="shared" si="331"/>
        <v>0</v>
      </c>
      <c r="AG244" s="616">
        <f t="shared" si="332"/>
        <v>0</v>
      </c>
      <c r="AH244" s="616">
        <f t="shared" si="333"/>
        <v>0</v>
      </c>
      <c r="AI244" s="616">
        <f t="shared" si="334"/>
        <v>0</v>
      </c>
      <c r="AJ244" s="616">
        <f t="shared" si="335"/>
        <v>0</v>
      </c>
      <c r="AK244" s="616">
        <f t="shared" si="336"/>
        <v>0</v>
      </c>
      <c r="AL244" s="616">
        <f t="shared" si="337"/>
        <v>0</v>
      </c>
      <c r="AM244" s="615">
        <f t="shared" si="338"/>
        <v>0</v>
      </c>
      <c r="AN244" s="616">
        <f t="shared" si="339"/>
        <v>0</v>
      </c>
      <c r="AO244" s="616">
        <f t="shared" si="340"/>
        <v>0</v>
      </c>
      <c r="AP244" s="616">
        <f t="shared" si="341"/>
        <v>0</v>
      </c>
      <c r="AQ244" s="637">
        <f t="shared" si="342"/>
        <v>0</v>
      </c>
      <c r="AR244" s="638">
        <f t="shared" si="347"/>
        <v>0</v>
      </c>
      <c r="AS244" s="616">
        <f t="shared" si="248"/>
        <v>0</v>
      </c>
      <c r="AT244" s="616">
        <f t="shared" si="249"/>
        <v>0</v>
      </c>
      <c r="AU244" s="616">
        <f t="shared" si="250"/>
        <v>0</v>
      </c>
      <c r="AV244" s="616">
        <f t="shared" si="251"/>
        <v>0</v>
      </c>
      <c r="AW244" s="616">
        <f t="shared" si="252"/>
        <v>0</v>
      </c>
      <c r="AX244" s="616">
        <f t="shared" si="253"/>
        <v>0</v>
      </c>
      <c r="AY244" s="616"/>
      <c r="AZ244" s="615">
        <f t="shared" si="254"/>
        <v>0</v>
      </c>
      <c r="BA244" s="616">
        <f t="shared" si="255"/>
        <v>0</v>
      </c>
      <c r="BB244" s="616">
        <f t="shared" si="256"/>
        <v>0</v>
      </c>
      <c r="BC244" s="616">
        <f t="shared" si="257"/>
        <v>0</v>
      </c>
      <c r="BD244" s="616">
        <f t="shared" si="258"/>
        <v>0</v>
      </c>
      <c r="BE244" s="616">
        <f t="shared" si="259"/>
        <v>0</v>
      </c>
      <c r="BF244" s="616">
        <f t="shared" si="260"/>
        <v>0</v>
      </c>
      <c r="BG244" s="616"/>
      <c r="BH244" s="615">
        <f t="shared" si="261"/>
        <v>0</v>
      </c>
      <c r="BI244" s="616">
        <f t="shared" si="262"/>
        <v>0</v>
      </c>
      <c r="BJ244" s="616">
        <f t="shared" si="263"/>
        <v>0</v>
      </c>
      <c r="BK244" s="616">
        <f t="shared" si="264"/>
        <v>0</v>
      </c>
      <c r="BL244" s="616">
        <f t="shared" si="265"/>
        <v>0</v>
      </c>
      <c r="BM244" s="616">
        <f t="shared" si="266"/>
        <v>0</v>
      </c>
      <c r="BN244" s="616">
        <f t="shared" si="267"/>
        <v>0</v>
      </c>
      <c r="BO244" s="616"/>
      <c r="BP244" s="304"/>
    </row>
    <row r="245" s="130" customFormat="1" ht="24" spans="1:68">
      <c r="A245" s="497" t="s">
        <v>504</v>
      </c>
      <c r="B245" s="497" t="s">
        <v>206</v>
      </c>
      <c r="C245" s="497" t="s">
        <v>539</v>
      </c>
      <c r="D245" s="497" t="s">
        <v>540</v>
      </c>
      <c r="E245" s="615">
        <f t="shared" si="343"/>
        <v>0</v>
      </c>
      <c r="F245" s="615">
        <f t="shared" si="328"/>
        <v>0</v>
      </c>
      <c r="G245" s="616"/>
      <c r="H245" s="616"/>
      <c r="I245" s="616"/>
      <c r="J245" s="616"/>
      <c r="K245" s="616"/>
      <c r="L245" s="616"/>
      <c r="M245" s="615">
        <f t="shared" si="344"/>
        <v>0</v>
      </c>
      <c r="N245" s="616"/>
      <c r="O245" s="618"/>
      <c r="P245" s="616"/>
      <c r="Q245" s="616"/>
      <c r="R245" s="615">
        <f t="shared" si="345"/>
        <v>0</v>
      </c>
      <c r="S245" s="615">
        <f t="shared" si="329"/>
        <v>0</v>
      </c>
      <c r="T245" s="616"/>
      <c r="U245" s="616"/>
      <c r="V245" s="616"/>
      <c r="W245" s="616"/>
      <c r="X245" s="616"/>
      <c r="Y245" s="616"/>
      <c r="Z245" s="615">
        <f t="shared" si="346"/>
        <v>0</v>
      </c>
      <c r="AA245" s="616"/>
      <c r="AB245" s="616"/>
      <c r="AC245" s="618"/>
      <c r="AD245" s="616"/>
      <c r="AE245" s="615">
        <f t="shared" si="330"/>
        <v>0</v>
      </c>
      <c r="AF245" s="615">
        <f t="shared" si="331"/>
        <v>0</v>
      </c>
      <c r="AG245" s="616">
        <f t="shared" si="332"/>
        <v>0</v>
      </c>
      <c r="AH245" s="616">
        <f t="shared" si="333"/>
        <v>0</v>
      </c>
      <c r="AI245" s="616">
        <f t="shared" si="334"/>
        <v>0</v>
      </c>
      <c r="AJ245" s="616">
        <f t="shared" si="335"/>
        <v>0</v>
      </c>
      <c r="AK245" s="616">
        <f t="shared" si="336"/>
        <v>0</v>
      </c>
      <c r="AL245" s="616">
        <f t="shared" si="337"/>
        <v>0</v>
      </c>
      <c r="AM245" s="615">
        <f t="shared" si="338"/>
        <v>0</v>
      </c>
      <c r="AN245" s="616">
        <f t="shared" si="339"/>
        <v>0</v>
      </c>
      <c r="AO245" s="616">
        <f t="shared" si="340"/>
        <v>0</v>
      </c>
      <c r="AP245" s="616">
        <f t="shared" si="341"/>
        <v>0</v>
      </c>
      <c r="AQ245" s="637">
        <f t="shared" si="342"/>
        <v>0</v>
      </c>
      <c r="AR245" s="638">
        <f t="shared" si="347"/>
        <v>0</v>
      </c>
      <c r="AS245" s="616">
        <f t="shared" si="248"/>
        <v>0</v>
      </c>
      <c r="AT245" s="616">
        <f t="shared" si="249"/>
        <v>0</v>
      </c>
      <c r="AU245" s="616">
        <f t="shared" si="250"/>
        <v>0</v>
      </c>
      <c r="AV245" s="616">
        <f t="shared" si="251"/>
        <v>0</v>
      </c>
      <c r="AW245" s="616">
        <f t="shared" si="252"/>
        <v>0</v>
      </c>
      <c r="AX245" s="616">
        <f t="shared" si="253"/>
        <v>0</v>
      </c>
      <c r="AY245" s="616"/>
      <c r="AZ245" s="615">
        <f t="shared" si="254"/>
        <v>0</v>
      </c>
      <c r="BA245" s="616">
        <f t="shared" si="255"/>
        <v>0</v>
      </c>
      <c r="BB245" s="616">
        <f t="shared" si="256"/>
        <v>0</v>
      </c>
      <c r="BC245" s="616">
        <f t="shared" si="257"/>
        <v>0</v>
      </c>
      <c r="BD245" s="616">
        <f t="shared" si="258"/>
        <v>0</v>
      </c>
      <c r="BE245" s="616">
        <f t="shared" si="259"/>
        <v>0</v>
      </c>
      <c r="BF245" s="616">
        <f t="shared" si="260"/>
        <v>0</v>
      </c>
      <c r="BG245" s="616"/>
      <c r="BH245" s="615">
        <f t="shared" si="261"/>
        <v>0</v>
      </c>
      <c r="BI245" s="616">
        <f t="shared" si="262"/>
        <v>0</v>
      </c>
      <c r="BJ245" s="616">
        <f t="shared" si="263"/>
        <v>0</v>
      </c>
      <c r="BK245" s="616">
        <f t="shared" si="264"/>
        <v>0</v>
      </c>
      <c r="BL245" s="616">
        <f t="shared" si="265"/>
        <v>0</v>
      </c>
      <c r="BM245" s="616">
        <f t="shared" si="266"/>
        <v>0</v>
      </c>
      <c r="BN245" s="616">
        <f t="shared" si="267"/>
        <v>0</v>
      </c>
      <c r="BO245" s="616"/>
      <c r="BP245" s="304"/>
    </row>
    <row r="246" s="130" customFormat="1" ht="24" spans="1:68">
      <c r="A246" s="497" t="s">
        <v>504</v>
      </c>
      <c r="B246" s="497" t="s">
        <v>206</v>
      </c>
      <c r="C246" s="497" t="s">
        <v>541</v>
      </c>
      <c r="D246" s="497" t="s">
        <v>540</v>
      </c>
      <c r="E246" s="615">
        <f t="shared" si="343"/>
        <v>0</v>
      </c>
      <c r="F246" s="615">
        <f t="shared" si="328"/>
        <v>0</v>
      </c>
      <c r="G246" s="616"/>
      <c r="H246" s="616"/>
      <c r="I246" s="616"/>
      <c r="J246" s="616"/>
      <c r="K246" s="616"/>
      <c r="L246" s="616"/>
      <c r="M246" s="615">
        <f t="shared" si="344"/>
        <v>0</v>
      </c>
      <c r="N246" s="616"/>
      <c r="O246" s="616"/>
      <c r="P246" s="616"/>
      <c r="Q246" s="616"/>
      <c r="R246" s="615">
        <f t="shared" si="345"/>
        <v>0</v>
      </c>
      <c r="S246" s="615">
        <f t="shared" si="329"/>
        <v>0</v>
      </c>
      <c r="T246" s="616"/>
      <c r="U246" s="616"/>
      <c r="V246" s="616"/>
      <c r="W246" s="616"/>
      <c r="X246" s="650"/>
      <c r="Y246" s="616"/>
      <c r="Z246" s="615">
        <f t="shared" si="346"/>
        <v>0</v>
      </c>
      <c r="AA246" s="616"/>
      <c r="AB246" s="616"/>
      <c r="AC246" s="616"/>
      <c r="AD246" s="616"/>
      <c r="AE246" s="615">
        <f t="shared" si="330"/>
        <v>0</v>
      </c>
      <c r="AF246" s="615">
        <f t="shared" si="331"/>
        <v>0</v>
      </c>
      <c r="AG246" s="616">
        <f t="shared" si="332"/>
        <v>0</v>
      </c>
      <c r="AH246" s="616">
        <f t="shared" si="333"/>
        <v>0</v>
      </c>
      <c r="AI246" s="616">
        <f t="shared" si="334"/>
        <v>0</v>
      </c>
      <c r="AJ246" s="616">
        <f t="shared" si="335"/>
        <v>0</v>
      </c>
      <c r="AK246" s="616">
        <f t="shared" si="336"/>
        <v>0</v>
      </c>
      <c r="AL246" s="616">
        <f t="shared" si="337"/>
        <v>0</v>
      </c>
      <c r="AM246" s="615">
        <f t="shared" si="338"/>
        <v>0</v>
      </c>
      <c r="AN246" s="616">
        <f t="shared" si="339"/>
        <v>0</v>
      </c>
      <c r="AO246" s="616">
        <f t="shared" si="340"/>
        <v>0</v>
      </c>
      <c r="AP246" s="616">
        <f t="shared" si="341"/>
        <v>0</v>
      </c>
      <c r="AQ246" s="637">
        <f t="shared" si="342"/>
        <v>0</v>
      </c>
      <c r="AR246" s="638">
        <f t="shared" si="347"/>
        <v>0</v>
      </c>
      <c r="AS246" s="616">
        <f t="shared" si="248"/>
        <v>0</v>
      </c>
      <c r="AT246" s="616">
        <f t="shared" si="249"/>
        <v>0</v>
      </c>
      <c r="AU246" s="616">
        <f t="shared" si="250"/>
        <v>0</v>
      </c>
      <c r="AV246" s="616">
        <f t="shared" si="251"/>
        <v>0</v>
      </c>
      <c r="AW246" s="616">
        <f t="shared" si="252"/>
        <v>0</v>
      </c>
      <c r="AX246" s="616">
        <f t="shared" si="253"/>
        <v>0</v>
      </c>
      <c r="AY246" s="616"/>
      <c r="AZ246" s="615">
        <f t="shared" si="254"/>
        <v>0</v>
      </c>
      <c r="BA246" s="616">
        <f t="shared" si="255"/>
        <v>0</v>
      </c>
      <c r="BB246" s="616">
        <f t="shared" si="256"/>
        <v>0</v>
      </c>
      <c r="BC246" s="616">
        <f t="shared" si="257"/>
        <v>0</v>
      </c>
      <c r="BD246" s="616">
        <f t="shared" si="258"/>
        <v>0</v>
      </c>
      <c r="BE246" s="616">
        <f t="shared" si="259"/>
        <v>0</v>
      </c>
      <c r="BF246" s="616">
        <f t="shared" si="260"/>
        <v>0</v>
      </c>
      <c r="BG246" s="616"/>
      <c r="BH246" s="615">
        <f t="shared" si="261"/>
        <v>0</v>
      </c>
      <c r="BI246" s="616">
        <f t="shared" si="262"/>
        <v>0</v>
      </c>
      <c r="BJ246" s="616">
        <f t="shared" si="263"/>
        <v>0</v>
      </c>
      <c r="BK246" s="616">
        <f t="shared" si="264"/>
        <v>0</v>
      </c>
      <c r="BL246" s="616">
        <f t="shared" si="265"/>
        <v>0</v>
      </c>
      <c r="BM246" s="616">
        <f t="shared" si="266"/>
        <v>0</v>
      </c>
      <c r="BN246" s="616">
        <f t="shared" si="267"/>
        <v>0</v>
      </c>
      <c r="BO246" s="616"/>
      <c r="BP246" s="304"/>
    </row>
    <row r="247" s="130" customFormat="1" ht="24" spans="1:68">
      <c r="A247" s="497" t="s">
        <v>504</v>
      </c>
      <c r="B247" s="497" t="s">
        <v>206</v>
      </c>
      <c r="C247" s="497" t="s">
        <v>542</v>
      </c>
      <c r="D247" s="497" t="s">
        <v>540</v>
      </c>
      <c r="E247" s="615">
        <f t="shared" si="343"/>
        <v>0</v>
      </c>
      <c r="F247" s="615">
        <f t="shared" si="328"/>
        <v>0</v>
      </c>
      <c r="G247" s="616"/>
      <c r="H247" s="616"/>
      <c r="I247" s="616"/>
      <c r="J247" s="616"/>
      <c r="K247" s="616"/>
      <c r="L247" s="616"/>
      <c r="M247" s="615">
        <f t="shared" si="344"/>
        <v>0</v>
      </c>
      <c r="N247" s="616"/>
      <c r="O247" s="616"/>
      <c r="P247" s="616"/>
      <c r="Q247" s="616"/>
      <c r="R247" s="615">
        <f t="shared" si="345"/>
        <v>0</v>
      </c>
      <c r="S247" s="615">
        <f t="shared" si="329"/>
        <v>0</v>
      </c>
      <c r="T247" s="616"/>
      <c r="U247" s="616"/>
      <c r="V247" s="616"/>
      <c r="W247" s="616"/>
      <c r="X247" s="650"/>
      <c r="Y247" s="616"/>
      <c r="Z247" s="615">
        <f t="shared" si="346"/>
        <v>0</v>
      </c>
      <c r="AA247" s="616"/>
      <c r="AB247" s="616"/>
      <c r="AC247" s="616"/>
      <c r="AD247" s="616"/>
      <c r="AE247" s="615">
        <f t="shared" si="330"/>
        <v>0</v>
      </c>
      <c r="AF247" s="615">
        <f t="shared" si="331"/>
        <v>0</v>
      </c>
      <c r="AG247" s="616">
        <f t="shared" si="332"/>
        <v>0</v>
      </c>
      <c r="AH247" s="616">
        <f t="shared" si="333"/>
        <v>0</v>
      </c>
      <c r="AI247" s="616">
        <f t="shared" si="334"/>
        <v>0</v>
      </c>
      <c r="AJ247" s="616">
        <f t="shared" si="335"/>
        <v>0</v>
      </c>
      <c r="AK247" s="616">
        <f t="shared" si="336"/>
        <v>0</v>
      </c>
      <c r="AL247" s="616">
        <f t="shared" si="337"/>
        <v>0</v>
      </c>
      <c r="AM247" s="615">
        <f t="shared" si="338"/>
        <v>0</v>
      </c>
      <c r="AN247" s="616">
        <f t="shared" si="339"/>
        <v>0</v>
      </c>
      <c r="AO247" s="616">
        <f t="shared" si="340"/>
        <v>0</v>
      </c>
      <c r="AP247" s="616">
        <f t="shared" si="341"/>
        <v>0</v>
      </c>
      <c r="AQ247" s="637">
        <f t="shared" si="342"/>
        <v>0</v>
      </c>
      <c r="AR247" s="638">
        <f t="shared" si="347"/>
        <v>0</v>
      </c>
      <c r="AS247" s="616">
        <f t="shared" si="248"/>
        <v>0</v>
      </c>
      <c r="AT247" s="616">
        <f t="shared" si="249"/>
        <v>0</v>
      </c>
      <c r="AU247" s="616">
        <f t="shared" si="250"/>
        <v>0</v>
      </c>
      <c r="AV247" s="616">
        <f t="shared" si="251"/>
        <v>0</v>
      </c>
      <c r="AW247" s="616">
        <f t="shared" si="252"/>
        <v>0</v>
      </c>
      <c r="AX247" s="616">
        <f t="shared" si="253"/>
        <v>0</v>
      </c>
      <c r="AY247" s="616"/>
      <c r="AZ247" s="615">
        <f t="shared" si="254"/>
        <v>0</v>
      </c>
      <c r="BA247" s="616">
        <f t="shared" si="255"/>
        <v>0</v>
      </c>
      <c r="BB247" s="616">
        <f t="shared" si="256"/>
        <v>0</v>
      </c>
      <c r="BC247" s="616">
        <f t="shared" si="257"/>
        <v>0</v>
      </c>
      <c r="BD247" s="616">
        <f t="shared" si="258"/>
        <v>0</v>
      </c>
      <c r="BE247" s="616">
        <f t="shared" si="259"/>
        <v>0</v>
      </c>
      <c r="BF247" s="616">
        <f t="shared" si="260"/>
        <v>0</v>
      </c>
      <c r="BG247" s="616"/>
      <c r="BH247" s="615">
        <f t="shared" si="261"/>
        <v>0</v>
      </c>
      <c r="BI247" s="616">
        <f t="shared" si="262"/>
        <v>0</v>
      </c>
      <c r="BJ247" s="616">
        <f t="shared" si="263"/>
        <v>0</v>
      </c>
      <c r="BK247" s="616">
        <f t="shared" si="264"/>
        <v>0</v>
      </c>
      <c r="BL247" s="616">
        <f t="shared" si="265"/>
        <v>0</v>
      </c>
      <c r="BM247" s="616">
        <f t="shared" si="266"/>
        <v>0</v>
      </c>
      <c r="BN247" s="616">
        <f t="shared" si="267"/>
        <v>0</v>
      </c>
      <c r="BO247" s="616"/>
      <c r="BP247" s="304"/>
    </row>
    <row r="248" s="130" customFormat="1" ht="24" spans="1:68">
      <c r="A248" s="497" t="s">
        <v>504</v>
      </c>
      <c r="B248" s="497" t="s">
        <v>206</v>
      </c>
      <c r="C248" s="497" t="s">
        <v>543</v>
      </c>
      <c r="D248" s="497" t="s">
        <v>540</v>
      </c>
      <c r="E248" s="615">
        <f t="shared" si="343"/>
        <v>0</v>
      </c>
      <c r="F248" s="615">
        <f t="shared" si="328"/>
        <v>0</v>
      </c>
      <c r="G248" s="616"/>
      <c r="H248" s="616"/>
      <c r="I248" s="616"/>
      <c r="J248" s="616"/>
      <c r="K248" s="616"/>
      <c r="L248" s="616"/>
      <c r="M248" s="615">
        <f t="shared" si="344"/>
        <v>0</v>
      </c>
      <c r="N248" s="616"/>
      <c r="O248" s="616"/>
      <c r="P248" s="616"/>
      <c r="Q248" s="616"/>
      <c r="R248" s="615">
        <f t="shared" si="345"/>
        <v>0</v>
      </c>
      <c r="S248" s="615">
        <f t="shared" si="329"/>
        <v>0</v>
      </c>
      <c r="T248" s="616"/>
      <c r="U248" s="616"/>
      <c r="V248" s="616"/>
      <c r="W248" s="616"/>
      <c r="X248" s="650"/>
      <c r="Y248" s="616"/>
      <c r="Z248" s="615">
        <f t="shared" si="346"/>
        <v>0</v>
      </c>
      <c r="AA248" s="616"/>
      <c r="AB248" s="616"/>
      <c r="AC248" s="616"/>
      <c r="AD248" s="616"/>
      <c r="AE248" s="615">
        <f t="shared" si="330"/>
        <v>0</v>
      </c>
      <c r="AF248" s="615">
        <f t="shared" si="331"/>
        <v>0</v>
      </c>
      <c r="AG248" s="616">
        <f t="shared" si="332"/>
        <v>0</v>
      </c>
      <c r="AH248" s="616">
        <f t="shared" si="333"/>
        <v>0</v>
      </c>
      <c r="AI248" s="616">
        <f t="shared" si="334"/>
        <v>0</v>
      </c>
      <c r="AJ248" s="616">
        <f t="shared" si="335"/>
        <v>0</v>
      </c>
      <c r="AK248" s="616">
        <f t="shared" si="336"/>
        <v>0</v>
      </c>
      <c r="AL248" s="616">
        <f t="shared" si="337"/>
        <v>0</v>
      </c>
      <c r="AM248" s="615">
        <f t="shared" si="338"/>
        <v>0</v>
      </c>
      <c r="AN248" s="616">
        <f t="shared" si="339"/>
        <v>0</v>
      </c>
      <c r="AO248" s="616">
        <f t="shared" si="340"/>
        <v>0</v>
      </c>
      <c r="AP248" s="616">
        <f t="shared" si="341"/>
        <v>0</v>
      </c>
      <c r="AQ248" s="637">
        <f t="shared" si="342"/>
        <v>0</v>
      </c>
      <c r="AR248" s="638">
        <f t="shared" si="347"/>
        <v>0</v>
      </c>
      <c r="AS248" s="616">
        <f t="shared" si="248"/>
        <v>0</v>
      </c>
      <c r="AT248" s="616">
        <f t="shared" si="249"/>
        <v>0</v>
      </c>
      <c r="AU248" s="616">
        <f t="shared" si="250"/>
        <v>0</v>
      </c>
      <c r="AV248" s="616">
        <f t="shared" si="251"/>
        <v>0</v>
      </c>
      <c r="AW248" s="616">
        <f t="shared" si="252"/>
        <v>0</v>
      </c>
      <c r="AX248" s="616">
        <f t="shared" si="253"/>
        <v>0</v>
      </c>
      <c r="AY248" s="616"/>
      <c r="AZ248" s="615">
        <f t="shared" si="254"/>
        <v>0</v>
      </c>
      <c r="BA248" s="616">
        <f t="shared" si="255"/>
        <v>0</v>
      </c>
      <c r="BB248" s="616">
        <f t="shared" si="256"/>
        <v>0</v>
      </c>
      <c r="BC248" s="616">
        <f t="shared" si="257"/>
        <v>0</v>
      </c>
      <c r="BD248" s="616">
        <f t="shared" si="258"/>
        <v>0</v>
      </c>
      <c r="BE248" s="616">
        <f t="shared" si="259"/>
        <v>0</v>
      </c>
      <c r="BF248" s="616">
        <f t="shared" si="260"/>
        <v>0</v>
      </c>
      <c r="BG248" s="616"/>
      <c r="BH248" s="615">
        <f t="shared" si="261"/>
        <v>0</v>
      </c>
      <c r="BI248" s="616">
        <f t="shared" si="262"/>
        <v>0</v>
      </c>
      <c r="BJ248" s="616">
        <f t="shared" si="263"/>
        <v>0</v>
      </c>
      <c r="BK248" s="616">
        <f t="shared" si="264"/>
        <v>0</v>
      </c>
      <c r="BL248" s="616">
        <f t="shared" si="265"/>
        <v>0</v>
      </c>
      <c r="BM248" s="616">
        <f t="shared" si="266"/>
        <v>0</v>
      </c>
      <c r="BN248" s="616">
        <f t="shared" si="267"/>
        <v>0</v>
      </c>
      <c r="BO248" s="616"/>
      <c r="BP248" s="304"/>
    </row>
    <row r="249" s="130" customFormat="1" ht="24" spans="1:68">
      <c r="A249" s="497" t="s">
        <v>504</v>
      </c>
      <c r="B249" s="497" t="s">
        <v>206</v>
      </c>
      <c r="C249" s="497" t="s">
        <v>544</v>
      </c>
      <c r="D249" s="497" t="s">
        <v>540</v>
      </c>
      <c r="E249" s="615">
        <f t="shared" si="343"/>
        <v>0</v>
      </c>
      <c r="F249" s="615">
        <f t="shared" si="328"/>
        <v>0</v>
      </c>
      <c r="G249" s="616"/>
      <c r="H249" s="616"/>
      <c r="I249" s="616"/>
      <c r="J249" s="616"/>
      <c r="K249" s="616"/>
      <c r="L249" s="616"/>
      <c r="M249" s="615">
        <f t="shared" si="344"/>
        <v>0</v>
      </c>
      <c r="N249" s="616"/>
      <c r="O249" s="616"/>
      <c r="P249" s="616"/>
      <c r="Q249" s="616"/>
      <c r="R249" s="615">
        <f t="shared" si="345"/>
        <v>0</v>
      </c>
      <c r="S249" s="615">
        <f t="shared" si="329"/>
        <v>0</v>
      </c>
      <c r="T249" s="616"/>
      <c r="U249" s="616"/>
      <c r="V249" s="616"/>
      <c r="W249" s="616"/>
      <c r="X249" s="650"/>
      <c r="Y249" s="616"/>
      <c r="Z249" s="615">
        <f t="shared" si="346"/>
        <v>0</v>
      </c>
      <c r="AA249" s="616"/>
      <c r="AB249" s="616"/>
      <c r="AC249" s="616"/>
      <c r="AD249" s="616"/>
      <c r="AE249" s="615">
        <f t="shared" si="330"/>
        <v>0</v>
      </c>
      <c r="AF249" s="615">
        <f t="shared" si="331"/>
        <v>0</v>
      </c>
      <c r="AG249" s="616">
        <f t="shared" si="332"/>
        <v>0</v>
      </c>
      <c r="AH249" s="616">
        <f t="shared" si="333"/>
        <v>0</v>
      </c>
      <c r="AI249" s="616">
        <f t="shared" si="334"/>
        <v>0</v>
      </c>
      <c r="AJ249" s="616">
        <f t="shared" si="335"/>
        <v>0</v>
      </c>
      <c r="AK249" s="616">
        <f t="shared" si="336"/>
        <v>0</v>
      </c>
      <c r="AL249" s="616">
        <f t="shared" si="337"/>
        <v>0</v>
      </c>
      <c r="AM249" s="615">
        <f t="shared" si="338"/>
        <v>0</v>
      </c>
      <c r="AN249" s="616">
        <f t="shared" si="339"/>
        <v>0</v>
      </c>
      <c r="AO249" s="616">
        <f t="shared" si="340"/>
        <v>0</v>
      </c>
      <c r="AP249" s="616">
        <f t="shared" si="341"/>
        <v>0</v>
      </c>
      <c r="AQ249" s="637">
        <f t="shared" si="342"/>
        <v>0</v>
      </c>
      <c r="AR249" s="638">
        <f t="shared" si="347"/>
        <v>0</v>
      </c>
      <c r="AS249" s="616">
        <f t="shared" si="248"/>
        <v>0</v>
      </c>
      <c r="AT249" s="616">
        <f t="shared" si="249"/>
        <v>0</v>
      </c>
      <c r="AU249" s="616">
        <f t="shared" si="250"/>
        <v>0</v>
      </c>
      <c r="AV249" s="616">
        <f t="shared" si="251"/>
        <v>0</v>
      </c>
      <c r="AW249" s="616">
        <f t="shared" si="252"/>
        <v>0</v>
      </c>
      <c r="AX249" s="616">
        <f t="shared" si="253"/>
        <v>0</v>
      </c>
      <c r="AY249" s="616"/>
      <c r="AZ249" s="615">
        <f t="shared" si="254"/>
        <v>0</v>
      </c>
      <c r="BA249" s="616">
        <f t="shared" si="255"/>
        <v>0</v>
      </c>
      <c r="BB249" s="616">
        <f t="shared" si="256"/>
        <v>0</v>
      </c>
      <c r="BC249" s="616">
        <f t="shared" si="257"/>
        <v>0</v>
      </c>
      <c r="BD249" s="616">
        <f t="shared" si="258"/>
        <v>0</v>
      </c>
      <c r="BE249" s="616">
        <f t="shared" si="259"/>
        <v>0</v>
      </c>
      <c r="BF249" s="616">
        <f t="shared" si="260"/>
        <v>0</v>
      </c>
      <c r="BG249" s="616"/>
      <c r="BH249" s="615">
        <f t="shared" si="261"/>
        <v>0</v>
      </c>
      <c r="BI249" s="616">
        <f t="shared" si="262"/>
        <v>0</v>
      </c>
      <c r="BJ249" s="616">
        <f t="shared" si="263"/>
        <v>0</v>
      </c>
      <c r="BK249" s="616">
        <f t="shared" si="264"/>
        <v>0</v>
      </c>
      <c r="BL249" s="616">
        <f t="shared" si="265"/>
        <v>0</v>
      </c>
      <c r="BM249" s="616">
        <f t="shared" si="266"/>
        <v>0</v>
      </c>
      <c r="BN249" s="616">
        <f t="shared" si="267"/>
        <v>0</v>
      </c>
      <c r="BO249" s="616"/>
      <c r="BP249" s="304"/>
    </row>
    <row r="250" s="130" customFormat="1" ht="24" spans="1:68">
      <c r="A250" s="497" t="s">
        <v>504</v>
      </c>
      <c r="B250" s="497" t="s">
        <v>206</v>
      </c>
      <c r="C250" s="497" t="s">
        <v>545</v>
      </c>
      <c r="D250" s="497" t="s">
        <v>546</v>
      </c>
      <c r="E250" s="615">
        <f t="shared" si="343"/>
        <v>0</v>
      </c>
      <c r="F250" s="615">
        <f t="shared" si="328"/>
        <v>0</v>
      </c>
      <c r="G250" s="616"/>
      <c r="H250" s="616"/>
      <c r="I250" s="616"/>
      <c r="J250" s="616"/>
      <c r="K250" s="616"/>
      <c r="L250" s="616"/>
      <c r="M250" s="615">
        <f t="shared" si="344"/>
        <v>0</v>
      </c>
      <c r="N250" s="616"/>
      <c r="O250" s="616"/>
      <c r="P250" s="616"/>
      <c r="Q250" s="616"/>
      <c r="R250" s="615">
        <f t="shared" si="345"/>
        <v>0</v>
      </c>
      <c r="S250" s="615">
        <f t="shared" si="329"/>
        <v>0</v>
      </c>
      <c r="T250" s="616"/>
      <c r="U250" s="616"/>
      <c r="V250" s="616"/>
      <c r="W250" s="616"/>
      <c r="X250" s="650"/>
      <c r="Y250" s="616"/>
      <c r="Z250" s="615">
        <f t="shared" si="346"/>
        <v>0</v>
      </c>
      <c r="AA250" s="616"/>
      <c r="AB250" s="616"/>
      <c r="AC250" s="616"/>
      <c r="AD250" s="616"/>
      <c r="AE250" s="615">
        <f t="shared" si="330"/>
        <v>0</v>
      </c>
      <c r="AF250" s="615">
        <f t="shared" si="331"/>
        <v>0</v>
      </c>
      <c r="AG250" s="616">
        <f t="shared" si="332"/>
        <v>0</v>
      </c>
      <c r="AH250" s="616">
        <f t="shared" si="333"/>
        <v>0</v>
      </c>
      <c r="AI250" s="616">
        <f t="shared" si="334"/>
        <v>0</v>
      </c>
      <c r="AJ250" s="616">
        <f t="shared" si="335"/>
        <v>0</v>
      </c>
      <c r="AK250" s="616">
        <f t="shared" si="336"/>
        <v>0</v>
      </c>
      <c r="AL250" s="616">
        <f t="shared" si="337"/>
        <v>0</v>
      </c>
      <c r="AM250" s="615">
        <f t="shared" si="338"/>
        <v>0</v>
      </c>
      <c r="AN250" s="616">
        <f t="shared" si="339"/>
        <v>0</v>
      </c>
      <c r="AO250" s="616">
        <f t="shared" si="340"/>
        <v>0</v>
      </c>
      <c r="AP250" s="616">
        <f t="shared" si="341"/>
        <v>0</v>
      </c>
      <c r="AQ250" s="637">
        <f t="shared" si="342"/>
        <v>0</v>
      </c>
      <c r="AR250" s="638">
        <f t="shared" si="347"/>
        <v>0</v>
      </c>
      <c r="AS250" s="616">
        <f t="shared" si="248"/>
        <v>0</v>
      </c>
      <c r="AT250" s="616">
        <f t="shared" si="249"/>
        <v>0</v>
      </c>
      <c r="AU250" s="616">
        <f t="shared" si="250"/>
        <v>0</v>
      </c>
      <c r="AV250" s="616">
        <f t="shared" si="251"/>
        <v>0</v>
      </c>
      <c r="AW250" s="616">
        <f t="shared" si="252"/>
        <v>0</v>
      </c>
      <c r="AX250" s="616">
        <f t="shared" si="253"/>
        <v>0</v>
      </c>
      <c r="AY250" s="616"/>
      <c r="AZ250" s="615">
        <f t="shared" si="254"/>
        <v>0</v>
      </c>
      <c r="BA250" s="616">
        <f t="shared" si="255"/>
        <v>0</v>
      </c>
      <c r="BB250" s="616">
        <f t="shared" si="256"/>
        <v>0</v>
      </c>
      <c r="BC250" s="616">
        <f t="shared" si="257"/>
        <v>0</v>
      </c>
      <c r="BD250" s="616">
        <f t="shared" si="258"/>
        <v>0</v>
      </c>
      <c r="BE250" s="616">
        <f t="shared" si="259"/>
        <v>0</v>
      </c>
      <c r="BF250" s="616">
        <f t="shared" si="260"/>
        <v>0</v>
      </c>
      <c r="BG250" s="616"/>
      <c r="BH250" s="615">
        <f t="shared" si="261"/>
        <v>0</v>
      </c>
      <c r="BI250" s="616">
        <f t="shared" si="262"/>
        <v>0</v>
      </c>
      <c r="BJ250" s="616">
        <f t="shared" si="263"/>
        <v>0</v>
      </c>
      <c r="BK250" s="616">
        <f t="shared" si="264"/>
        <v>0</v>
      </c>
      <c r="BL250" s="616">
        <f t="shared" si="265"/>
        <v>0</v>
      </c>
      <c r="BM250" s="616">
        <f t="shared" si="266"/>
        <v>0</v>
      </c>
      <c r="BN250" s="616">
        <f t="shared" si="267"/>
        <v>0</v>
      </c>
      <c r="BO250" s="616"/>
      <c r="BP250" s="304"/>
    </row>
    <row r="251" s="130" customFormat="1" ht="24" spans="1:68">
      <c r="A251" s="497" t="s">
        <v>504</v>
      </c>
      <c r="B251" s="497" t="s">
        <v>206</v>
      </c>
      <c r="C251" s="497" t="s">
        <v>547</v>
      </c>
      <c r="D251" s="497" t="s">
        <v>540</v>
      </c>
      <c r="E251" s="615">
        <f t="shared" si="343"/>
        <v>0</v>
      </c>
      <c r="F251" s="615">
        <f t="shared" si="328"/>
        <v>0</v>
      </c>
      <c r="G251" s="616"/>
      <c r="H251" s="616"/>
      <c r="I251" s="616"/>
      <c r="J251" s="616"/>
      <c r="K251" s="616"/>
      <c r="L251" s="616"/>
      <c r="M251" s="615">
        <f t="shared" si="344"/>
        <v>0</v>
      </c>
      <c r="N251" s="616"/>
      <c r="O251" s="616"/>
      <c r="P251" s="616"/>
      <c r="Q251" s="616"/>
      <c r="R251" s="615">
        <f t="shared" si="345"/>
        <v>0</v>
      </c>
      <c r="S251" s="615">
        <f t="shared" si="329"/>
        <v>0</v>
      </c>
      <c r="T251" s="616"/>
      <c r="U251" s="616"/>
      <c r="V251" s="616"/>
      <c r="W251" s="616"/>
      <c r="X251" s="650"/>
      <c r="Y251" s="616"/>
      <c r="Z251" s="615">
        <f t="shared" si="346"/>
        <v>0</v>
      </c>
      <c r="AA251" s="616"/>
      <c r="AB251" s="616"/>
      <c r="AC251" s="616"/>
      <c r="AD251" s="616"/>
      <c r="AE251" s="615">
        <f t="shared" si="330"/>
        <v>0</v>
      </c>
      <c r="AF251" s="615">
        <f t="shared" si="331"/>
        <v>0</v>
      </c>
      <c r="AG251" s="616">
        <f t="shared" si="332"/>
        <v>0</v>
      </c>
      <c r="AH251" s="616">
        <f t="shared" si="333"/>
        <v>0</v>
      </c>
      <c r="AI251" s="616">
        <f t="shared" si="334"/>
        <v>0</v>
      </c>
      <c r="AJ251" s="616">
        <f t="shared" si="335"/>
        <v>0</v>
      </c>
      <c r="AK251" s="616">
        <f t="shared" si="336"/>
        <v>0</v>
      </c>
      <c r="AL251" s="616">
        <f t="shared" si="337"/>
        <v>0</v>
      </c>
      <c r="AM251" s="615">
        <f t="shared" si="338"/>
        <v>0</v>
      </c>
      <c r="AN251" s="616">
        <f t="shared" si="339"/>
        <v>0</v>
      </c>
      <c r="AO251" s="616">
        <f t="shared" si="340"/>
        <v>0</v>
      </c>
      <c r="AP251" s="616">
        <f t="shared" si="341"/>
        <v>0</v>
      </c>
      <c r="AQ251" s="637">
        <f t="shared" si="342"/>
        <v>0</v>
      </c>
      <c r="AR251" s="638">
        <f t="shared" si="347"/>
        <v>0</v>
      </c>
      <c r="AS251" s="616">
        <f t="shared" si="248"/>
        <v>0</v>
      </c>
      <c r="AT251" s="616">
        <f t="shared" si="249"/>
        <v>0</v>
      </c>
      <c r="AU251" s="616">
        <f t="shared" si="250"/>
        <v>0</v>
      </c>
      <c r="AV251" s="616">
        <f t="shared" si="251"/>
        <v>0</v>
      </c>
      <c r="AW251" s="616">
        <f t="shared" si="252"/>
        <v>0</v>
      </c>
      <c r="AX251" s="616">
        <f t="shared" si="253"/>
        <v>0</v>
      </c>
      <c r="AY251" s="616"/>
      <c r="AZ251" s="615">
        <f t="shared" si="254"/>
        <v>0</v>
      </c>
      <c r="BA251" s="616">
        <f t="shared" si="255"/>
        <v>0</v>
      </c>
      <c r="BB251" s="616">
        <f t="shared" si="256"/>
        <v>0</v>
      </c>
      <c r="BC251" s="616">
        <f t="shared" si="257"/>
        <v>0</v>
      </c>
      <c r="BD251" s="616">
        <f t="shared" si="258"/>
        <v>0</v>
      </c>
      <c r="BE251" s="616">
        <f t="shared" si="259"/>
        <v>0</v>
      </c>
      <c r="BF251" s="616">
        <f t="shared" si="260"/>
        <v>0</v>
      </c>
      <c r="BG251" s="616"/>
      <c r="BH251" s="615">
        <f t="shared" si="261"/>
        <v>0</v>
      </c>
      <c r="BI251" s="616">
        <f t="shared" si="262"/>
        <v>0</v>
      </c>
      <c r="BJ251" s="616">
        <f t="shared" si="263"/>
        <v>0</v>
      </c>
      <c r="BK251" s="616">
        <f t="shared" si="264"/>
        <v>0</v>
      </c>
      <c r="BL251" s="616">
        <f t="shared" si="265"/>
        <v>0</v>
      </c>
      <c r="BM251" s="616">
        <f t="shared" si="266"/>
        <v>0</v>
      </c>
      <c r="BN251" s="616">
        <f t="shared" si="267"/>
        <v>0</v>
      </c>
      <c r="BO251" s="616"/>
      <c r="BP251" s="304"/>
    </row>
    <row r="252" s="130" customFormat="1" ht="24" spans="1:68">
      <c r="A252" s="497" t="s">
        <v>504</v>
      </c>
      <c r="B252" s="497" t="s">
        <v>206</v>
      </c>
      <c r="C252" s="497" t="s">
        <v>548</v>
      </c>
      <c r="D252" s="497" t="s">
        <v>540</v>
      </c>
      <c r="E252" s="615">
        <f t="shared" si="343"/>
        <v>0</v>
      </c>
      <c r="F252" s="615">
        <f t="shared" si="328"/>
        <v>0</v>
      </c>
      <c r="G252" s="616"/>
      <c r="H252" s="616"/>
      <c r="I252" s="616"/>
      <c r="J252" s="616"/>
      <c r="K252" s="616"/>
      <c r="L252" s="616"/>
      <c r="M252" s="615">
        <f t="shared" si="344"/>
        <v>0</v>
      </c>
      <c r="N252" s="616"/>
      <c r="O252" s="616"/>
      <c r="P252" s="616"/>
      <c r="Q252" s="616"/>
      <c r="R252" s="615">
        <f t="shared" si="345"/>
        <v>0</v>
      </c>
      <c r="S252" s="615">
        <f t="shared" si="329"/>
        <v>0</v>
      </c>
      <c r="T252" s="616"/>
      <c r="U252" s="616"/>
      <c r="V252" s="616"/>
      <c r="W252" s="616"/>
      <c r="X252" s="650"/>
      <c r="Y252" s="616"/>
      <c r="Z252" s="615">
        <f t="shared" si="346"/>
        <v>0</v>
      </c>
      <c r="AA252" s="616"/>
      <c r="AB252" s="616"/>
      <c r="AC252" s="616"/>
      <c r="AD252" s="616"/>
      <c r="AE252" s="615">
        <f t="shared" si="330"/>
        <v>0</v>
      </c>
      <c r="AF252" s="615">
        <f t="shared" si="331"/>
        <v>0</v>
      </c>
      <c r="AG252" s="616">
        <f t="shared" si="332"/>
        <v>0</v>
      </c>
      <c r="AH252" s="616">
        <f t="shared" si="333"/>
        <v>0</v>
      </c>
      <c r="AI252" s="616">
        <f t="shared" si="334"/>
        <v>0</v>
      </c>
      <c r="AJ252" s="616">
        <f t="shared" si="335"/>
        <v>0</v>
      </c>
      <c r="AK252" s="616">
        <f t="shared" si="336"/>
        <v>0</v>
      </c>
      <c r="AL252" s="616">
        <f t="shared" si="337"/>
        <v>0</v>
      </c>
      <c r="AM252" s="615">
        <f t="shared" si="338"/>
        <v>0</v>
      </c>
      <c r="AN252" s="616">
        <f t="shared" si="339"/>
        <v>0</v>
      </c>
      <c r="AO252" s="616">
        <f t="shared" si="340"/>
        <v>0</v>
      </c>
      <c r="AP252" s="616">
        <f t="shared" si="341"/>
        <v>0</v>
      </c>
      <c r="AQ252" s="637">
        <f t="shared" si="342"/>
        <v>0</v>
      </c>
      <c r="AR252" s="638">
        <f t="shared" si="347"/>
        <v>0</v>
      </c>
      <c r="AS252" s="616">
        <f t="shared" si="248"/>
        <v>0</v>
      </c>
      <c r="AT252" s="616">
        <f t="shared" si="249"/>
        <v>0</v>
      </c>
      <c r="AU252" s="616">
        <f t="shared" si="250"/>
        <v>0</v>
      </c>
      <c r="AV252" s="616">
        <f t="shared" si="251"/>
        <v>0</v>
      </c>
      <c r="AW252" s="616">
        <f t="shared" si="252"/>
        <v>0</v>
      </c>
      <c r="AX252" s="616">
        <f t="shared" si="253"/>
        <v>0</v>
      </c>
      <c r="AY252" s="616"/>
      <c r="AZ252" s="615">
        <f t="shared" si="254"/>
        <v>0</v>
      </c>
      <c r="BA252" s="616">
        <f t="shared" si="255"/>
        <v>0</v>
      </c>
      <c r="BB252" s="616">
        <f t="shared" si="256"/>
        <v>0</v>
      </c>
      <c r="BC252" s="616">
        <f t="shared" si="257"/>
        <v>0</v>
      </c>
      <c r="BD252" s="616">
        <f t="shared" si="258"/>
        <v>0</v>
      </c>
      <c r="BE252" s="616">
        <f t="shared" si="259"/>
        <v>0</v>
      </c>
      <c r="BF252" s="616">
        <f t="shared" si="260"/>
        <v>0</v>
      </c>
      <c r="BG252" s="616"/>
      <c r="BH252" s="615">
        <f t="shared" si="261"/>
        <v>0</v>
      </c>
      <c r="BI252" s="616">
        <f t="shared" si="262"/>
        <v>0</v>
      </c>
      <c r="BJ252" s="616">
        <f t="shared" si="263"/>
        <v>0</v>
      </c>
      <c r="BK252" s="616">
        <f t="shared" si="264"/>
        <v>0</v>
      </c>
      <c r="BL252" s="616">
        <f t="shared" si="265"/>
        <v>0</v>
      </c>
      <c r="BM252" s="616">
        <f t="shared" si="266"/>
        <v>0</v>
      </c>
      <c r="BN252" s="616">
        <f t="shared" si="267"/>
        <v>0</v>
      </c>
      <c r="BO252" s="616"/>
      <c r="BP252" s="304"/>
    </row>
    <row r="253" s="130" customFormat="1" ht="24" spans="1:68">
      <c r="A253" s="497" t="s">
        <v>504</v>
      </c>
      <c r="B253" s="497" t="s">
        <v>206</v>
      </c>
      <c r="C253" s="497" t="s">
        <v>549</v>
      </c>
      <c r="D253" s="497" t="s">
        <v>540</v>
      </c>
      <c r="E253" s="615">
        <f t="shared" si="343"/>
        <v>0</v>
      </c>
      <c r="F253" s="615">
        <f t="shared" si="328"/>
        <v>0</v>
      </c>
      <c r="G253" s="616"/>
      <c r="H253" s="616"/>
      <c r="I253" s="616"/>
      <c r="J253" s="616"/>
      <c r="K253" s="616"/>
      <c r="L253" s="616"/>
      <c r="M253" s="615">
        <f t="shared" si="344"/>
        <v>0</v>
      </c>
      <c r="N253" s="616"/>
      <c r="O253" s="616"/>
      <c r="P253" s="616"/>
      <c r="Q253" s="616"/>
      <c r="R253" s="615">
        <f t="shared" si="345"/>
        <v>0</v>
      </c>
      <c r="S253" s="615">
        <f t="shared" si="329"/>
        <v>0</v>
      </c>
      <c r="T253" s="616"/>
      <c r="U253" s="616"/>
      <c r="V253" s="616"/>
      <c r="W253" s="616"/>
      <c r="X253" s="650"/>
      <c r="Y253" s="616"/>
      <c r="Z253" s="615">
        <f t="shared" si="346"/>
        <v>0</v>
      </c>
      <c r="AA253" s="616"/>
      <c r="AB253" s="616"/>
      <c r="AC253" s="616"/>
      <c r="AD253" s="616"/>
      <c r="AE253" s="615">
        <f t="shared" si="330"/>
        <v>0</v>
      </c>
      <c r="AF253" s="615">
        <f t="shared" si="331"/>
        <v>0</v>
      </c>
      <c r="AG253" s="616">
        <f t="shared" si="332"/>
        <v>0</v>
      </c>
      <c r="AH253" s="616">
        <f t="shared" si="333"/>
        <v>0</v>
      </c>
      <c r="AI253" s="616">
        <f t="shared" si="334"/>
        <v>0</v>
      </c>
      <c r="AJ253" s="616">
        <f t="shared" si="335"/>
        <v>0</v>
      </c>
      <c r="AK253" s="616">
        <f t="shared" si="336"/>
        <v>0</v>
      </c>
      <c r="AL253" s="616">
        <f t="shared" si="337"/>
        <v>0</v>
      </c>
      <c r="AM253" s="615">
        <f t="shared" si="338"/>
        <v>0</v>
      </c>
      <c r="AN253" s="616">
        <f t="shared" si="339"/>
        <v>0</v>
      </c>
      <c r="AO253" s="616">
        <f t="shared" si="340"/>
        <v>0</v>
      </c>
      <c r="AP253" s="616">
        <f t="shared" si="341"/>
        <v>0</v>
      </c>
      <c r="AQ253" s="637">
        <f t="shared" si="342"/>
        <v>0</v>
      </c>
      <c r="AR253" s="638">
        <f t="shared" si="347"/>
        <v>0</v>
      </c>
      <c r="AS253" s="616">
        <f t="shared" si="248"/>
        <v>0</v>
      </c>
      <c r="AT253" s="616">
        <f t="shared" si="249"/>
        <v>0</v>
      </c>
      <c r="AU253" s="616">
        <f t="shared" si="250"/>
        <v>0</v>
      </c>
      <c r="AV253" s="616">
        <f t="shared" si="251"/>
        <v>0</v>
      </c>
      <c r="AW253" s="616">
        <f t="shared" si="252"/>
        <v>0</v>
      </c>
      <c r="AX253" s="616">
        <f t="shared" si="253"/>
        <v>0</v>
      </c>
      <c r="AY253" s="616"/>
      <c r="AZ253" s="615">
        <f t="shared" si="254"/>
        <v>0</v>
      </c>
      <c r="BA253" s="616">
        <f t="shared" si="255"/>
        <v>0</v>
      </c>
      <c r="BB253" s="616">
        <f t="shared" si="256"/>
        <v>0</v>
      </c>
      <c r="BC253" s="616">
        <f t="shared" si="257"/>
        <v>0</v>
      </c>
      <c r="BD253" s="616">
        <f t="shared" si="258"/>
        <v>0</v>
      </c>
      <c r="BE253" s="616">
        <f t="shared" si="259"/>
        <v>0</v>
      </c>
      <c r="BF253" s="616">
        <f t="shared" si="260"/>
        <v>0</v>
      </c>
      <c r="BG253" s="616"/>
      <c r="BH253" s="615">
        <f t="shared" si="261"/>
        <v>0</v>
      </c>
      <c r="BI253" s="616">
        <f t="shared" si="262"/>
        <v>0</v>
      </c>
      <c r="BJ253" s="616">
        <f t="shared" si="263"/>
        <v>0</v>
      </c>
      <c r="BK253" s="616">
        <f t="shared" si="264"/>
        <v>0</v>
      </c>
      <c r="BL253" s="616">
        <f t="shared" si="265"/>
        <v>0</v>
      </c>
      <c r="BM253" s="616">
        <f t="shared" si="266"/>
        <v>0</v>
      </c>
      <c r="BN253" s="616">
        <f t="shared" si="267"/>
        <v>0</v>
      </c>
      <c r="BO253" s="616"/>
      <c r="BP253" s="304"/>
    </row>
    <row r="254" s="130" customFormat="1" ht="24" spans="1:68">
      <c r="A254" s="497" t="s">
        <v>504</v>
      </c>
      <c r="B254" s="497" t="s">
        <v>206</v>
      </c>
      <c r="C254" s="497" t="s">
        <v>550</v>
      </c>
      <c r="D254" s="497" t="s">
        <v>540</v>
      </c>
      <c r="E254" s="615">
        <f t="shared" si="343"/>
        <v>0</v>
      </c>
      <c r="F254" s="615">
        <f t="shared" si="328"/>
        <v>0</v>
      </c>
      <c r="G254" s="616"/>
      <c r="H254" s="616"/>
      <c r="I254" s="616"/>
      <c r="J254" s="616"/>
      <c r="K254" s="616"/>
      <c r="L254" s="616"/>
      <c r="M254" s="615">
        <f t="shared" si="344"/>
        <v>0</v>
      </c>
      <c r="N254" s="616"/>
      <c r="O254" s="616"/>
      <c r="P254" s="616"/>
      <c r="Q254" s="616"/>
      <c r="R254" s="615">
        <f t="shared" si="345"/>
        <v>0</v>
      </c>
      <c r="S254" s="615">
        <f t="shared" si="329"/>
        <v>0</v>
      </c>
      <c r="T254" s="616"/>
      <c r="U254" s="616"/>
      <c r="V254" s="616"/>
      <c r="W254" s="616"/>
      <c r="X254" s="650"/>
      <c r="Y254" s="616"/>
      <c r="Z254" s="615">
        <f t="shared" si="346"/>
        <v>0</v>
      </c>
      <c r="AA254" s="616"/>
      <c r="AB254" s="616"/>
      <c r="AC254" s="616"/>
      <c r="AD254" s="616"/>
      <c r="AE254" s="615">
        <f t="shared" si="330"/>
        <v>0</v>
      </c>
      <c r="AF254" s="615">
        <f t="shared" si="331"/>
        <v>0</v>
      </c>
      <c r="AG254" s="616">
        <f t="shared" si="332"/>
        <v>0</v>
      </c>
      <c r="AH254" s="616">
        <f t="shared" si="333"/>
        <v>0</v>
      </c>
      <c r="AI254" s="616">
        <f t="shared" si="334"/>
        <v>0</v>
      </c>
      <c r="AJ254" s="616">
        <f t="shared" si="335"/>
        <v>0</v>
      </c>
      <c r="AK254" s="616">
        <f t="shared" si="336"/>
        <v>0</v>
      </c>
      <c r="AL254" s="616">
        <f t="shared" si="337"/>
        <v>0</v>
      </c>
      <c r="AM254" s="615">
        <f t="shared" si="338"/>
        <v>0</v>
      </c>
      <c r="AN254" s="616">
        <f t="shared" si="339"/>
        <v>0</v>
      </c>
      <c r="AO254" s="616">
        <f t="shared" si="340"/>
        <v>0</v>
      </c>
      <c r="AP254" s="616">
        <f t="shared" si="341"/>
        <v>0</v>
      </c>
      <c r="AQ254" s="637">
        <f t="shared" si="342"/>
        <v>0</v>
      </c>
      <c r="AR254" s="638">
        <f t="shared" si="347"/>
        <v>0</v>
      </c>
      <c r="AS254" s="616">
        <f t="shared" si="248"/>
        <v>0</v>
      </c>
      <c r="AT254" s="616">
        <f t="shared" si="249"/>
        <v>0</v>
      </c>
      <c r="AU254" s="616">
        <f t="shared" si="250"/>
        <v>0</v>
      </c>
      <c r="AV254" s="616">
        <f t="shared" si="251"/>
        <v>0</v>
      </c>
      <c r="AW254" s="616">
        <f t="shared" si="252"/>
        <v>0</v>
      </c>
      <c r="AX254" s="616">
        <f t="shared" si="253"/>
        <v>0</v>
      </c>
      <c r="AY254" s="616"/>
      <c r="AZ254" s="615">
        <f t="shared" si="254"/>
        <v>0</v>
      </c>
      <c r="BA254" s="616">
        <f t="shared" si="255"/>
        <v>0</v>
      </c>
      <c r="BB254" s="616">
        <f t="shared" si="256"/>
        <v>0</v>
      </c>
      <c r="BC254" s="616">
        <f t="shared" si="257"/>
        <v>0</v>
      </c>
      <c r="BD254" s="616">
        <f t="shared" si="258"/>
        <v>0</v>
      </c>
      <c r="BE254" s="616">
        <f t="shared" si="259"/>
        <v>0</v>
      </c>
      <c r="BF254" s="616">
        <f t="shared" si="260"/>
        <v>0</v>
      </c>
      <c r="BG254" s="616"/>
      <c r="BH254" s="615">
        <f t="shared" si="261"/>
        <v>0</v>
      </c>
      <c r="BI254" s="616">
        <f t="shared" si="262"/>
        <v>0</v>
      </c>
      <c r="BJ254" s="616">
        <f t="shared" si="263"/>
        <v>0</v>
      </c>
      <c r="BK254" s="616">
        <f t="shared" si="264"/>
        <v>0</v>
      </c>
      <c r="BL254" s="616">
        <f t="shared" si="265"/>
        <v>0</v>
      </c>
      <c r="BM254" s="616">
        <f t="shared" si="266"/>
        <v>0</v>
      </c>
      <c r="BN254" s="616">
        <f t="shared" si="267"/>
        <v>0</v>
      </c>
      <c r="BO254" s="616"/>
      <c r="BP254" s="304"/>
    </row>
    <row r="255" s="130" customFormat="1" ht="24" spans="1:68">
      <c r="A255" s="497" t="s">
        <v>504</v>
      </c>
      <c r="B255" s="497" t="s">
        <v>206</v>
      </c>
      <c r="C255" s="497" t="s">
        <v>551</v>
      </c>
      <c r="D255" s="497" t="s">
        <v>540</v>
      </c>
      <c r="E255" s="615">
        <f t="shared" si="343"/>
        <v>0</v>
      </c>
      <c r="F255" s="615">
        <f t="shared" si="328"/>
        <v>0</v>
      </c>
      <c r="G255" s="616"/>
      <c r="H255" s="616"/>
      <c r="I255" s="616"/>
      <c r="J255" s="616"/>
      <c r="K255" s="616"/>
      <c r="L255" s="616"/>
      <c r="M255" s="615">
        <f t="shared" si="344"/>
        <v>0</v>
      </c>
      <c r="N255" s="616"/>
      <c r="O255" s="616"/>
      <c r="P255" s="616"/>
      <c r="Q255" s="616"/>
      <c r="R255" s="615">
        <f t="shared" si="345"/>
        <v>0</v>
      </c>
      <c r="S255" s="615">
        <f t="shared" si="329"/>
        <v>0</v>
      </c>
      <c r="T255" s="616"/>
      <c r="U255" s="616"/>
      <c r="V255" s="616"/>
      <c r="W255" s="616"/>
      <c r="X255" s="650"/>
      <c r="Y255" s="616"/>
      <c r="Z255" s="615">
        <f t="shared" si="346"/>
        <v>0</v>
      </c>
      <c r="AA255" s="616"/>
      <c r="AB255" s="616"/>
      <c r="AC255" s="616"/>
      <c r="AD255" s="616"/>
      <c r="AE255" s="615">
        <f t="shared" si="330"/>
        <v>0</v>
      </c>
      <c r="AF255" s="615">
        <f t="shared" si="331"/>
        <v>0</v>
      </c>
      <c r="AG255" s="616">
        <f t="shared" si="332"/>
        <v>0</v>
      </c>
      <c r="AH255" s="616">
        <f t="shared" si="333"/>
        <v>0</v>
      </c>
      <c r="AI255" s="616">
        <f t="shared" si="334"/>
        <v>0</v>
      </c>
      <c r="AJ255" s="616">
        <f t="shared" si="335"/>
        <v>0</v>
      </c>
      <c r="AK255" s="616">
        <f t="shared" si="336"/>
        <v>0</v>
      </c>
      <c r="AL255" s="616">
        <f t="shared" si="337"/>
        <v>0</v>
      </c>
      <c r="AM255" s="615">
        <f t="shared" si="338"/>
        <v>0</v>
      </c>
      <c r="AN255" s="616">
        <f t="shared" si="339"/>
        <v>0</v>
      </c>
      <c r="AO255" s="616">
        <f t="shared" si="340"/>
        <v>0</v>
      </c>
      <c r="AP255" s="616">
        <f t="shared" si="341"/>
        <v>0</v>
      </c>
      <c r="AQ255" s="637">
        <f t="shared" si="342"/>
        <v>0</v>
      </c>
      <c r="AR255" s="638">
        <f t="shared" si="347"/>
        <v>0</v>
      </c>
      <c r="AS255" s="616">
        <f t="shared" si="248"/>
        <v>0</v>
      </c>
      <c r="AT255" s="616">
        <f t="shared" si="249"/>
        <v>0</v>
      </c>
      <c r="AU255" s="616">
        <f t="shared" si="250"/>
        <v>0</v>
      </c>
      <c r="AV255" s="616">
        <f t="shared" si="251"/>
        <v>0</v>
      </c>
      <c r="AW255" s="616">
        <f t="shared" si="252"/>
        <v>0</v>
      </c>
      <c r="AX255" s="616">
        <f t="shared" si="253"/>
        <v>0</v>
      </c>
      <c r="AY255" s="616"/>
      <c r="AZ255" s="615">
        <f t="shared" si="254"/>
        <v>0</v>
      </c>
      <c r="BA255" s="616">
        <f t="shared" si="255"/>
        <v>0</v>
      </c>
      <c r="BB255" s="616">
        <f t="shared" si="256"/>
        <v>0</v>
      </c>
      <c r="BC255" s="616">
        <f t="shared" si="257"/>
        <v>0</v>
      </c>
      <c r="BD255" s="616">
        <f t="shared" si="258"/>
        <v>0</v>
      </c>
      <c r="BE255" s="616">
        <f t="shared" si="259"/>
        <v>0</v>
      </c>
      <c r="BF255" s="616">
        <f t="shared" si="260"/>
        <v>0</v>
      </c>
      <c r="BG255" s="616"/>
      <c r="BH255" s="615">
        <f t="shared" si="261"/>
        <v>0</v>
      </c>
      <c r="BI255" s="616">
        <f t="shared" si="262"/>
        <v>0</v>
      </c>
      <c r="BJ255" s="616">
        <f t="shared" si="263"/>
        <v>0</v>
      </c>
      <c r="BK255" s="616">
        <f t="shared" si="264"/>
        <v>0</v>
      </c>
      <c r="BL255" s="616">
        <f t="shared" si="265"/>
        <v>0</v>
      </c>
      <c r="BM255" s="616">
        <f t="shared" si="266"/>
        <v>0</v>
      </c>
      <c r="BN255" s="616">
        <f t="shared" si="267"/>
        <v>0</v>
      </c>
      <c r="BO255" s="616"/>
      <c r="BP255" s="304"/>
    </row>
    <row r="256" s="130" customFormat="1" ht="24" spans="1:68">
      <c r="A256" s="497" t="s">
        <v>504</v>
      </c>
      <c r="B256" s="497" t="s">
        <v>206</v>
      </c>
      <c r="C256" s="497" t="s">
        <v>552</v>
      </c>
      <c r="D256" s="497" t="s">
        <v>540</v>
      </c>
      <c r="E256" s="615">
        <f t="shared" si="343"/>
        <v>0</v>
      </c>
      <c r="F256" s="615">
        <f t="shared" si="328"/>
        <v>0</v>
      </c>
      <c r="G256" s="616"/>
      <c r="H256" s="616"/>
      <c r="I256" s="616"/>
      <c r="J256" s="616"/>
      <c r="K256" s="616"/>
      <c r="L256" s="616"/>
      <c r="M256" s="615">
        <f t="shared" si="344"/>
        <v>0</v>
      </c>
      <c r="N256" s="616"/>
      <c r="O256" s="616"/>
      <c r="P256" s="616"/>
      <c r="Q256" s="616"/>
      <c r="R256" s="615">
        <f t="shared" si="345"/>
        <v>0</v>
      </c>
      <c r="S256" s="615">
        <f t="shared" si="329"/>
        <v>0</v>
      </c>
      <c r="T256" s="616"/>
      <c r="U256" s="616"/>
      <c r="V256" s="616"/>
      <c r="W256" s="616"/>
      <c r="X256" s="650"/>
      <c r="Y256" s="616"/>
      <c r="Z256" s="615">
        <f t="shared" si="346"/>
        <v>0</v>
      </c>
      <c r="AA256" s="616"/>
      <c r="AB256" s="616"/>
      <c r="AC256" s="616"/>
      <c r="AD256" s="616"/>
      <c r="AE256" s="615">
        <f t="shared" si="330"/>
        <v>0</v>
      </c>
      <c r="AF256" s="615">
        <f t="shared" si="331"/>
        <v>0</v>
      </c>
      <c r="AG256" s="616">
        <f t="shared" si="332"/>
        <v>0</v>
      </c>
      <c r="AH256" s="616">
        <f t="shared" si="333"/>
        <v>0</v>
      </c>
      <c r="AI256" s="616">
        <f t="shared" si="334"/>
        <v>0</v>
      </c>
      <c r="AJ256" s="616">
        <f t="shared" si="335"/>
        <v>0</v>
      </c>
      <c r="AK256" s="616">
        <f t="shared" si="336"/>
        <v>0</v>
      </c>
      <c r="AL256" s="616">
        <f t="shared" si="337"/>
        <v>0</v>
      </c>
      <c r="AM256" s="615">
        <f t="shared" si="338"/>
        <v>0</v>
      </c>
      <c r="AN256" s="616">
        <f t="shared" si="339"/>
        <v>0</v>
      </c>
      <c r="AO256" s="616">
        <f t="shared" si="340"/>
        <v>0</v>
      </c>
      <c r="AP256" s="616">
        <f t="shared" si="341"/>
        <v>0</v>
      </c>
      <c r="AQ256" s="637">
        <f t="shared" si="342"/>
        <v>0</v>
      </c>
      <c r="AR256" s="638">
        <f t="shared" si="347"/>
        <v>0</v>
      </c>
      <c r="AS256" s="616">
        <f t="shared" si="248"/>
        <v>0</v>
      </c>
      <c r="AT256" s="616">
        <f t="shared" si="249"/>
        <v>0</v>
      </c>
      <c r="AU256" s="616">
        <f t="shared" si="250"/>
        <v>0</v>
      </c>
      <c r="AV256" s="616">
        <f t="shared" si="251"/>
        <v>0</v>
      </c>
      <c r="AW256" s="616">
        <f t="shared" si="252"/>
        <v>0</v>
      </c>
      <c r="AX256" s="616">
        <f t="shared" si="253"/>
        <v>0</v>
      </c>
      <c r="AY256" s="616"/>
      <c r="AZ256" s="615">
        <f t="shared" si="254"/>
        <v>0</v>
      </c>
      <c r="BA256" s="616">
        <f t="shared" si="255"/>
        <v>0</v>
      </c>
      <c r="BB256" s="616">
        <f t="shared" si="256"/>
        <v>0</v>
      </c>
      <c r="BC256" s="616">
        <f t="shared" si="257"/>
        <v>0</v>
      </c>
      <c r="BD256" s="616">
        <f t="shared" si="258"/>
        <v>0</v>
      </c>
      <c r="BE256" s="616">
        <f t="shared" si="259"/>
        <v>0</v>
      </c>
      <c r="BF256" s="616">
        <f t="shared" si="260"/>
        <v>0</v>
      </c>
      <c r="BG256" s="616"/>
      <c r="BH256" s="615">
        <f t="shared" si="261"/>
        <v>0</v>
      </c>
      <c r="BI256" s="616">
        <f t="shared" si="262"/>
        <v>0</v>
      </c>
      <c r="BJ256" s="616">
        <f t="shared" si="263"/>
        <v>0</v>
      </c>
      <c r="BK256" s="616">
        <f t="shared" si="264"/>
        <v>0</v>
      </c>
      <c r="BL256" s="616">
        <f t="shared" si="265"/>
        <v>0</v>
      </c>
      <c r="BM256" s="616">
        <f t="shared" si="266"/>
        <v>0</v>
      </c>
      <c r="BN256" s="616">
        <f t="shared" si="267"/>
        <v>0</v>
      </c>
      <c r="BO256" s="616"/>
      <c r="BP256" s="304"/>
    </row>
    <row r="257" s="130" customFormat="1" ht="24" spans="1:68">
      <c r="A257" s="497" t="s">
        <v>504</v>
      </c>
      <c r="B257" s="497" t="s">
        <v>206</v>
      </c>
      <c r="C257" s="497" t="s">
        <v>553</v>
      </c>
      <c r="D257" s="497" t="s">
        <v>540</v>
      </c>
      <c r="E257" s="615">
        <f t="shared" si="343"/>
        <v>0</v>
      </c>
      <c r="F257" s="615">
        <f t="shared" si="328"/>
        <v>0</v>
      </c>
      <c r="G257" s="616"/>
      <c r="H257" s="616"/>
      <c r="I257" s="616"/>
      <c r="J257" s="616"/>
      <c r="K257" s="616"/>
      <c r="L257" s="616"/>
      <c r="M257" s="615">
        <f t="shared" si="344"/>
        <v>0</v>
      </c>
      <c r="N257" s="616"/>
      <c r="O257" s="616"/>
      <c r="P257" s="616"/>
      <c r="Q257" s="616"/>
      <c r="R257" s="615">
        <f t="shared" si="345"/>
        <v>0</v>
      </c>
      <c r="S257" s="615">
        <f t="shared" si="329"/>
        <v>0</v>
      </c>
      <c r="T257" s="616"/>
      <c r="U257" s="616"/>
      <c r="V257" s="616"/>
      <c r="W257" s="616"/>
      <c r="X257" s="650"/>
      <c r="Y257" s="616"/>
      <c r="Z257" s="615">
        <f t="shared" si="346"/>
        <v>0</v>
      </c>
      <c r="AA257" s="616"/>
      <c r="AB257" s="616"/>
      <c r="AC257" s="616"/>
      <c r="AD257" s="616"/>
      <c r="AE257" s="615">
        <f t="shared" si="330"/>
        <v>0</v>
      </c>
      <c r="AF257" s="615">
        <f t="shared" si="331"/>
        <v>0</v>
      </c>
      <c r="AG257" s="616">
        <f t="shared" si="332"/>
        <v>0</v>
      </c>
      <c r="AH257" s="616">
        <f t="shared" si="333"/>
        <v>0</v>
      </c>
      <c r="AI257" s="616">
        <f t="shared" si="334"/>
        <v>0</v>
      </c>
      <c r="AJ257" s="616">
        <f t="shared" si="335"/>
        <v>0</v>
      </c>
      <c r="AK257" s="616">
        <f t="shared" si="336"/>
        <v>0</v>
      </c>
      <c r="AL257" s="616">
        <f t="shared" si="337"/>
        <v>0</v>
      </c>
      <c r="AM257" s="615">
        <f t="shared" si="338"/>
        <v>0</v>
      </c>
      <c r="AN257" s="616">
        <f t="shared" si="339"/>
        <v>0</v>
      </c>
      <c r="AO257" s="616">
        <f t="shared" si="340"/>
        <v>0</v>
      </c>
      <c r="AP257" s="616">
        <f t="shared" si="341"/>
        <v>0</v>
      </c>
      <c r="AQ257" s="637">
        <f t="shared" si="342"/>
        <v>0</v>
      </c>
      <c r="AR257" s="638">
        <f t="shared" si="347"/>
        <v>0</v>
      </c>
      <c r="AS257" s="616">
        <f t="shared" si="248"/>
        <v>0</v>
      </c>
      <c r="AT257" s="616">
        <f t="shared" si="249"/>
        <v>0</v>
      </c>
      <c r="AU257" s="616">
        <f t="shared" si="250"/>
        <v>0</v>
      </c>
      <c r="AV257" s="616">
        <f t="shared" si="251"/>
        <v>0</v>
      </c>
      <c r="AW257" s="616">
        <f t="shared" si="252"/>
        <v>0</v>
      </c>
      <c r="AX257" s="616">
        <f t="shared" si="253"/>
        <v>0</v>
      </c>
      <c r="AY257" s="616"/>
      <c r="AZ257" s="615">
        <f t="shared" si="254"/>
        <v>0</v>
      </c>
      <c r="BA257" s="616">
        <f t="shared" si="255"/>
        <v>0</v>
      </c>
      <c r="BB257" s="616">
        <f t="shared" si="256"/>
        <v>0</v>
      </c>
      <c r="BC257" s="616">
        <f t="shared" si="257"/>
        <v>0</v>
      </c>
      <c r="BD257" s="616">
        <f t="shared" si="258"/>
        <v>0</v>
      </c>
      <c r="BE257" s="616">
        <f t="shared" si="259"/>
        <v>0</v>
      </c>
      <c r="BF257" s="616">
        <f t="shared" si="260"/>
        <v>0</v>
      </c>
      <c r="BG257" s="616"/>
      <c r="BH257" s="615">
        <f t="shared" si="261"/>
        <v>0</v>
      </c>
      <c r="BI257" s="616">
        <f t="shared" si="262"/>
        <v>0</v>
      </c>
      <c r="BJ257" s="616">
        <f t="shared" si="263"/>
        <v>0</v>
      </c>
      <c r="BK257" s="616">
        <f t="shared" si="264"/>
        <v>0</v>
      </c>
      <c r="BL257" s="616">
        <f t="shared" si="265"/>
        <v>0</v>
      </c>
      <c r="BM257" s="616">
        <f t="shared" si="266"/>
        <v>0</v>
      </c>
      <c r="BN257" s="616">
        <f t="shared" si="267"/>
        <v>0</v>
      </c>
      <c r="BO257" s="616"/>
      <c r="BP257" s="304"/>
    </row>
    <row r="258" s="130" customFormat="1" ht="24" spans="1:68">
      <c r="A258" s="497" t="s">
        <v>504</v>
      </c>
      <c r="B258" s="497" t="s">
        <v>206</v>
      </c>
      <c r="C258" s="497" t="s">
        <v>554</v>
      </c>
      <c r="D258" s="497" t="s">
        <v>540</v>
      </c>
      <c r="E258" s="615">
        <f t="shared" si="343"/>
        <v>0</v>
      </c>
      <c r="F258" s="615">
        <f t="shared" si="328"/>
        <v>0</v>
      </c>
      <c r="G258" s="616"/>
      <c r="H258" s="616"/>
      <c r="I258" s="616"/>
      <c r="J258" s="616"/>
      <c r="K258" s="616"/>
      <c r="L258" s="616"/>
      <c r="M258" s="615">
        <f t="shared" si="344"/>
        <v>0</v>
      </c>
      <c r="N258" s="616"/>
      <c r="O258" s="616"/>
      <c r="P258" s="616"/>
      <c r="Q258" s="616"/>
      <c r="R258" s="615">
        <f t="shared" si="345"/>
        <v>0</v>
      </c>
      <c r="S258" s="615">
        <f t="shared" si="329"/>
        <v>0</v>
      </c>
      <c r="T258" s="616"/>
      <c r="U258" s="616"/>
      <c r="V258" s="616"/>
      <c r="W258" s="616"/>
      <c r="X258" s="650"/>
      <c r="Y258" s="616"/>
      <c r="Z258" s="615">
        <f t="shared" si="346"/>
        <v>0</v>
      </c>
      <c r="AA258" s="616"/>
      <c r="AB258" s="616"/>
      <c r="AC258" s="616"/>
      <c r="AD258" s="616"/>
      <c r="AE258" s="615">
        <f t="shared" si="330"/>
        <v>0</v>
      </c>
      <c r="AF258" s="615">
        <f t="shared" si="331"/>
        <v>0</v>
      </c>
      <c r="AG258" s="616">
        <f t="shared" si="332"/>
        <v>0</v>
      </c>
      <c r="AH258" s="616">
        <f t="shared" si="333"/>
        <v>0</v>
      </c>
      <c r="AI258" s="616">
        <f t="shared" si="334"/>
        <v>0</v>
      </c>
      <c r="AJ258" s="616">
        <f t="shared" si="335"/>
        <v>0</v>
      </c>
      <c r="AK258" s="616">
        <f t="shared" si="336"/>
        <v>0</v>
      </c>
      <c r="AL258" s="616">
        <f t="shared" si="337"/>
        <v>0</v>
      </c>
      <c r="AM258" s="615">
        <f t="shared" si="338"/>
        <v>0</v>
      </c>
      <c r="AN258" s="616">
        <f t="shared" si="339"/>
        <v>0</v>
      </c>
      <c r="AO258" s="616">
        <f t="shared" si="340"/>
        <v>0</v>
      </c>
      <c r="AP258" s="616">
        <f t="shared" si="341"/>
        <v>0</v>
      </c>
      <c r="AQ258" s="637">
        <f t="shared" si="342"/>
        <v>0</v>
      </c>
      <c r="AR258" s="638">
        <f t="shared" si="347"/>
        <v>0</v>
      </c>
      <c r="AS258" s="616">
        <f t="shared" si="248"/>
        <v>0</v>
      </c>
      <c r="AT258" s="616">
        <f t="shared" si="249"/>
        <v>0</v>
      </c>
      <c r="AU258" s="616">
        <f t="shared" si="250"/>
        <v>0</v>
      </c>
      <c r="AV258" s="616">
        <f t="shared" si="251"/>
        <v>0</v>
      </c>
      <c r="AW258" s="616">
        <f t="shared" si="252"/>
        <v>0</v>
      </c>
      <c r="AX258" s="616">
        <f t="shared" si="253"/>
        <v>0</v>
      </c>
      <c r="AY258" s="616"/>
      <c r="AZ258" s="615">
        <f t="shared" si="254"/>
        <v>0</v>
      </c>
      <c r="BA258" s="616">
        <f t="shared" si="255"/>
        <v>0</v>
      </c>
      <c r="BB258" s="616">
        <f t="shared" si="256"/>
        <v>0</v>
      </c>
      <c r="BC258" s="616">
        <f t="shared" si="257"/>
        <v>0</v>
      </c>
      <c r="BD258" s="616">
        <f t="shared" si="258"/>
        <v>0</v>
      </c>
      <c r="BE258" s="616">
        <f t="shared" si="259"/>
        <v>0</v>
      </c>
      <c r="BF258" s="616">
        <f t="shared" si="260"/>
        <v>0</v>
      </c>
      <c r="BG258" s="616"/>
      <c r="BH258" s="615">
        <f t="shared" si="261"/>
        <v>0</v>
      </c>
      <c r="BI258" s="616">
        <f t="shared" si="262"/>
        <v>0</v>
      </c>
      <c r="BJ258" s="616">
        <f t="shared" si="263"/>
        <v>0</v>
      </c>
      <c r="BK258" s="616">
        <f t="shared" si="264"/>
        <v>0</v>
      </c>
      <c r="BL258" s="616">
        <f t="shared" si="265"/>
        <v>0</v>
      </c>
      <c r="BM258" s="616">
        <f t="shared" si="266"/>
        <v>0</v>
      </c>
      <c r="BN258" s="616">
        <f t="shared" si="267"/>
        <v>0</v>
      </c>
      <c r="BO258" s="616"/>
      <c r="BP258" s="304"/>
    </row>
    <row r="259" s="130" customFormat="1" ht="24" spans="1:68">
      <c r="A259" s="497" t="s">
        <v>504</v>
      </c>
      <c r="B259" s="497" t="s">
        <v>206</v>
      </c>
      <c r="C259" s="497" t="s">
        <v>555</v>
      </c>
      <c r="D259" s="497" t="s">
        <v>540</v>
      </c>
      <c r="E259" s="617">
        <f t="shared" si="343"/>
        <v>0</v>
      </c>
      <c r="F259" s="617">
        <f t="shared" si="328"/>
        <v>0</v>
      </c>
      <c r="G259" s="618"/>
      <c r="H259" s="618"/>
      <c r="I259" s="618"/>
      <c r="J259" s="616"/>
      <c r="K259" s="616"/>
      <c r="L259" s="616"/>
      <c r="M259" s="615">
        <f t="shared" si="344"/>
        <v>0</v>
      </c>
      <c r="N259" s="616"/>
      <c r="O259" s="616"/>
      <c r="P259" s="616"/>
      <c r="Q259" s="616"/>
      <c r="R259" s="615">
        <f t="shared" si="345"/>
        <v>0</v>
      </c>
      <c r="S259" s="615">
        <f t="shared" si="329"/>
        <v>0</v>
      </c>
      <c r="T259" s="616"/>
      <c r="U259" s="616"/>
      <c r="V259" s="616"/>
      <c r="W259" s="616"/>
      <c r="X259" s="650"/>
      <c r="Y259" s="616"/>
      <c r="Z259" s="615">
        <f t="shared" si="346"/>
        <v>0</v>
      </c>
      <c r="AA259" s="616"/>
      <c r="AB259" s="616"/>
      <c r="AC259" s="616"/>
      <c r="AD259" s="616"/>
      <c r="AE259" s="615">
        <f t="shared" si="330"/>
        <v>0</v>
      </c>
      <c r="AF259" s="615">
        <f t="shared" si="331"/>
        <v>0</v>
      </c>
      <c r="AG259" s="616">
        <f t="shared" si="332"/>
        <v>0</v>
      </c>
      <c r="AH259" s="616">
        <f t="shared" si="333"/>
        <v>0</v>
      </c>
      <c r="AI259" s="616">
        <f t="shared" si="334"/>
        <v>0</v>
      </c>
      <c r="AJ259" s="616">
        <f t="shared" si="335"/>
        <v>0</v>
      </c>
      <c r="AK259" s="616">
        <f t="shared" si="336"/>
        <v>0</v>
      </c>
      <c r="AL259" s="616">
        <f t="shared" si="337"/>
        <v>0</v>
      </c>
      <c r="AM259" s="615">
        <f t="shared" si="338"/>
        <v>0</v>
      </c>
      <c r="AN259" s="616">
        <f t="shared" si="339"/>
        <v>0</v>
      </c>
      <c r="AO259" s="616">
        <f t="shared" si="340"/>
        <v>0</v>
      </c>
      <c r="AP259" s="616">
        <f t="shared" si="341"/>
        <v>0</v>
      </c>
      <c r="AQ259" s="637">
        <f t="shared" si="342"/>
        <v>0</v>
      </c>
      <c r="AR259" s="638">
        <f t="shared" si="347"/>
        <v>0</v>
      </c>
      <c r="AS259" s="616">
        <f t="shared" si="248"/>
        <v>0</v>
      </c>
      <c r="AT259" s="616">
        <f t="shared" si="249"/>
        <v>0</v>
      </c>
      <c r="AU259" s="616">
        <f t="shared" si="250"/>
        <v>0</v>
      </c>
      <c r="AV259" s="616">
        <f t="shared" si="251"/>
        <v>0</v>
      </c>
      <c r="AW259" s="616">
        <f t="shared" si="252"/>
        <v>0</v>
      </c>
      <c r="AX259" s="616">
        <f t="shared" si="253"/>
        <v>0</v>
      </c>
      <c r="AY259" s="616"/>
      <c r="AZ259" s="615">
        <f t="shared" si="254"/>
        <v>0</v>
      </c>
      <c r="BA259" s="616">
        <f t="shared" si="255"/>
        <v>0</v>
      </c>
      <c r="BB259" s="616">
        <f t="shared" si="256"/>
        <v>0</v>
      </c>
      <c r="BC259" s="616">
        <f t="shared" si="257"/>
        <v>0</v>
      </c>
      <c r="BD259" s="616">
        <f t="shared" si="258"/>
        <v>0</v>
      </c>
      <c r="BE259" s="616">
        <f t="shared" si="259"/>
        <v>0</v>
      </c>
      <c r="BF259" s="616">
        <f t="shared" si="260"/>
        <v>0</v>
      </c>
      <c r="BG259" s="616"/>
      <c r="BH259" s="615">
        <f t="shared" si="261"/>
        <v>0</v>
      </c>
      <c r="BI259" s="616">
        <f t="shared" si="262"/>
        <v>0</v>
      </c>
      <c r="BJ259" s="616">
        <f t="shared" si="263"/>
        <v>0</v>
      </c>
      <c r="BK259" s="616">
        <f t="shared" si="264"/>
        <v>0</v>
      </c>
      <c r="BL259" s="616">
        <f t="shared" si="265"/>
        <v>0</v>
      </c>
      <c r="BM259" s="616">
        <f t="shared" si="266"/>
        <v>0</v>
      </c>
      <c r="BN259" s="616">
        <f t="shared" si="267"/>
        <v>0</v>
      </c>
      <c r="BO259" s="616"/>
      <c r="BP259" s="304"/>
    </row>
    <row r="260" s="130" customFormat="1" ht="24" spans="1:68">
      <c r="A260" s="497" t="s">
        <v>504</v>
      </c>
      <c r="B260" s="497" t="s">
        <v>206</v>
      </c>
      <c r="C260" s="497" t="s">
        <v>556</v>
      </c>
      <c r="D260" s="497" t="s">
        <v>540</v>
      </c>
      <c r="E260" s="617">
        <f t="shared" si="343"/>
        <v>0</v>
      </c>
      <c r="F260" s="617">
        <f t="shared" si="328"/>
        <v>0</v>
      </c>
      <c r="G260" s="618"/>
      <c r="H260" s="618"/>
      <c r="I260" s="618"/>
      <c r="J260" s="616"/>
      <c r="K260" s="616"/>
      <c r="L260" s="616"/>
      <c r="M260" s="615">
        <f t="shared" si="344"/>
        <v>0</v>
      </c>
      <c r="N260" s="616"/>
      <c r="O260" s="616"/>
      <c r="P260" s="616"/>
      <c r="Q260" s="616"/>
      <c r="R260" s="615">
        <f t="shared" si="345"/>
        <v>0</v>
      </c>
      <c r="S260" s="615">
        <f t="shared" si="329"/>
        <v>0</v>
      </c>
      <c r="T260" s="616"/>
      <c r="U260" s="616"/>
      <c r="V260" s="616"/>
      <c r="W260" s="616"/>
      <c r="X260" s="650"/>
      <c r="Y260" s="616"/>
      <c r="Z260" s="615">
        <f t="shared" si="346"/>
        <v>0</v>
      </c>
      <c r="AA260" s="616"/>
      <c r="AB260" s="616"/>
      <c r="AC260" s="616"/>
      <c r="AD260" s="616"/>
      <c r="AE260" s="615">
        <f t="shared" si="330"/>
        <v>0</v>
      </c>
      <c r="AF260" s="615">
        <f t="shared" si="331"/>
        <v>0</v>
      </c>
      <c r="AG260" s="616">
        <f t="shared" si="332"/>
        <v>0</v>
      </c>
      <c r="AH260" s="616">
        <f t="shared" si="333"/>
        <v>0</v>
      </c>
      <c r="AI260" s="616">
        <f t="shared" si="334"/>
        <v>0</v>
      </c>
      <c r="AJ260" s="616">
        <f t="shared" si="335"/>
        <v>0</v>
      </c>
      <c r="AK260" s="616">
        <f t="shared" si="336"/>
        <v>0</v>
      </c>
      <c r="AL260" s="616">
        <f t="shared" si="337"/>
        <v>0</v>
      </c>
      <c r="AM260" s="615">
        <f t="shared" si="338"/>
        <v>0</v>
      </c>
      <c r="AN260" s="616">
        <f t="shared" si="339"/>
        <v>0</v>
      </c>
      <c r="AO260" s="616">
        <f t="shared" si="340"/>
        <v>0</v>
      </c>
      <c r="AP260" s="616">
        <f t="shared" si="341"/>
        <v>0</v>
      </c>
      <c r="AQ260" s="637">
        <f t="shared" si="342"/>
        <v>0</v>
      </c>
      <c r="AR260" s="638">
        <f t="shared" si="347"/>
        <v>0</v>
      </c>
      <c r="AS260" s="616">
        <f t="shared" si="248"/>
        <v>0</v>
      </c>
      <c r="AT260" s="616">
        <f t="shared" si="249"/>
        <v>0</v>
      </c>
      <c r="AU260" s="616">
        <f t="shared" si="250"/>
        <v>0</v>
      </c>
      <c r="AV260" s="616">
        <f t="shared" si="251"/>
        <v>0</v>
      </c>
      <c r="AW260" s="616">
        <f t="shared" si="252"/>
        <v>0</v>
      </c>
      <c r="AX260" s="616">
        <f t="shared" si="253"/>
        <v>0</v>
      </c>
      <c r="AY260" s="616"/>
      <c r="AZ260" s="615">
        <f t="shared" si="254"/>
        <v>0</v>
      </c>
      <c r="BA260" s="616">
        <f t="shared" si="255"/>
        <v>0</v>
      </c>
      <c r="BB260" s="616">
        <f t="shared" si="256"/>
        <v>0</v>
      </c>
      <c r="BC260" s="616">
        <f t="shared" si="257"/>
        <v>0</v>
      </c>
      <c r="BD260" s="616">
        <f t="shared" si="258"/>
        <v>0</v>
      </c>
      <c r="BE260" s="616">
        <f t="shared" si="259"/>
        <v>0</v>
      </c>
      <c r="BF260" s="616">
        <f t="shared" si="260"/>
        <v>0</v>
      </c>
      <c r="BG260" s="616"/>
      <c r="BH260" s="615">
        <f t="shared" si="261"/>
        <v>0</v>
      </c>
      <c r="BI260" s="616">
        <f t="shared" si="262"/>
        <v>0</v>
      </c>
      <c r="BJ260" s="616">
        <f t="shared" si="263"/>
        <v>0</v>
      </c>
      <c r="BK260" s="616">
        <f t="shared" si="264"/>
        <v>0</v>
      </c>
      <c r="BL260" s="616">
        <f t="shared" si="265"/>
        <v>0</v>
      </c>
      <c r="BM260" s="616">
        <f t="shared" si="266"/>
        <v>0</v>
      </c>
      <c r="BN260" s="616">
        <f t="shared" si="267"/>
        <v>0</v>
      </c>
      <c r="BO260" s="616"/>
      <c r="BP260" s="304"/>
    </row>
    <row r="261" s="130" customFormat="1" ht="24" spans="1:68">
      <c r="A261" s="497" t="s">
        <v>504</v>
      </c>
      <c r="B261" s="497" t="s">
        <v>206</v>
      </c>
      <c r="C261" s="497" t="s">
        <v>557</v>
      </c>
      <c r="D261" s="497" t="s">
        <v>558</v>
      </c>
      <c r="E261" s="617">
        <f t="shared" si="343"/>
        <v>0</v>
      </c>
      <c r="F261" s="617">
        <f t="shared" si="328"/>
        <v>0</v>
      </c>
      <c r="G261" s="618"/>
      <c r="H261" s="618"/>
      <c r="I261" s="618"/>
      <c r="J261" s="616"/>
      <c r="K261" s="616"/>
      <c r="L261" s="616"/>
      <c r="M261" s="615">
        <f t="shared" si="344"/>
        <v>0</v>
      </c>
      <c r="N261" s="616"/>
      <c r="O261" s="616"/>
      <c r="P261" s="616"/>
      <c r="Q261" s="616"/>
      <c r="R261" s="615">
        <f t="shared" si="345"/>
        <v>0</v>
      </c>
      <c r="S261" s="615">
        <f t="shared" si="329"/>
        <v>0</v>
      </c>
      <c r="T261" s="616"/>
      <c r="U261" s="616"/>
      <c r="V261" s="616"/>
      <c r="W261" s="616"/>
      <c r="X261" s="616"/>
      <c r="Y261" s="616"/>
      <c r="Z261" s="615">
        <f t="shared" si="346"/>
        <v>0</v>
      </c>
      <c r="AA261" s="616"/>
      <c r="AB261" s="616"/>
      <c r="AC261" s="616"/>
      <c r="AD261" s="616"/>
      <c r="AE261" s="615">
        <f t="shared" si="330"/>
        <v>0</v>
      </c>
      <c r="AF261" s="615">
        <f t="shared" si="331"/>
        <v>0</v>
      </c>
      <c r="AG261" s="616">
        <f t="shared" si="332"/>
        <v>0</v>
      </c>
      <c r="AH261" s="616">
        <f t="shared" si="333"/>
        <v>0</v>
      </c>
      <c r="AI261" s="616">
        <f t="shared" si="334"/>
        <v>0</v>
      </c>
      <c r="AJ261" s="616">
        <f t="shared" si="335"/>
        <v>0</v>
      </c>
      <c r="AK261" s="616">
        <f t="shared" si="336"/>
        <v>0</v>
      </c>
      <c r="AL261" s="616">
        <f t="shared" si="337"/>
        <v>0</v>
      </c>
      <c r="AM261" s="615">
        <f t="shared" si="338"/>
        <v>0</v>
      </c>
      <c r="AN261" s="616">
        <f t="shared" si="339"/>
        <v>0</v>
      </c>
      <c r="AO261" s="616">
        <f t="shared" si="340"/>
        <v>0</v>
      </c>
      <c r="AP261" s="616">
        <f t="shared" si="341"/>
        <v>0</v>
      </c>
      <c r="AQ261" s="637">
        <f t="shared" si="342"/>
        <v>0</v>
      </c>
      <c r="AR261" s="638">
        <f t="shared" si="347"/>
        <v>0</v>
      </c>
      <c r="AS261" s="616">
        <f t="shared" si="248"/>
        <v>0</v>
      </c>
      <c r="AT261" s="616">
        <f t="shared" si="249"/>
        <v>0</v>
      </c>
      <c r="AU261" s="616">
        <f t="shared" si="250"/>
        <v>0</v>
      </c>
      <c r="AV261" s="616">
        <f t="shared" si="251"/>
        <v>0</v>
      </c>
      <c r="AW261" s="616">
        <f t="shared" si="252"/>
        <v>0</v>
      </c>
      <c r="AX261" s="616">
        <f t="shared" si="253"/>
        <v>0</v>
      </c>
      <c r="AY261" s="616"/>
      <c r="AZ261" s="615">
        <f t="shared" si="254"/>
        <v>0</v>
      </c>
      <c r="BA261" s="616">
        <f t="shared" si="255"/>
        <v>0</v>
      </c>
      <c r="BB261" s="616">
        <f t="shared" si="256"/>
        <v>0</v>
      </c>
      <c r="BC261" s="616">
        <f t="shared" si="257"/>
        <v>0</v>
      </c>
      <c r="BD261" s="616">
        <f t="shared" si="258"/>
        <v>0</v>
      </c>
      <c r="BE261" s="616">
        <f t="shared" si="259"/>
        <v>0</v>
      </c>
      <c r="BF261" s="616">
        <f t="shared" si="260"/>
        <v>0</v>
      </c>
      <c r="BG261" s="616"/>
      <c r="BH261" s="615">
        <f t="shared" si="261"/>
        <v>0</v>
      </c>
      <c r="BI261" s="616">
        <f t="shared" si="262"/>
        <v>0</v>
      </c>
      <c r="BJ261" s="616">
        <f t="shared" si="263"/>
        <v>0</v>
      </c>
      <c r="BK261" s="616">
        <f t="shared" si="264"/>
        <v>0</v>
      </c>
      <c r="BL261" s="616">
        <f t="shared" si="265"/>
        <v>0</v>
      </c>
      <c r="BM261" s="616">
        <f t="shared" si="266"/>
        <v>0</v>
      </c>
      <c r="BN261" s="616">
        <f t="shared" si="267"/>
        <v>0</v>
      </c>
      <c r="BO261" s="616"/>
      <c r="BP261" s="304"/>
    </row>
    <row r="262" s="130" customFormat="1" ht="24" spans="1:68">
      <c r="A262" s="497" t="s">
        <v>504</v>
      </c>
      <c r="B262" s="497" t="s">
        <v>203</v>
      </c>
      <c r="C262" s="497" t="s">
        <v>559</v>
      </c>
      <c r="D262" s="497" t="s">
        <v>560</v>
      </c>
      <c r="E262" s="617">
        <f t="shared" si="343"/>
        <v>110.0124</v>
      </c>
      <c r="F262" s="617">
        <f t="shared" si="328"/>
        <v>99.5124</v>
      </c>
      <c r="G262" s="619">
        <v>38.7552</v>
      </c>
      <c r="H262" s="619">
        <v>25.1076</v>
      </c>
      <c r="I262" s="619">
        <v>3.2296</v>
      </c>
      <c r="J262" s="616"/>
      <c r="K262" s="616"/>
      <c r="L262" s="616">
        <v>32.42</v>
      </c>
      <c r="M262" s="615">
        <f t="shared" si="344"/>
        <v>10.5</v>
      </c>
      <c r="N262" s="616"/>
      <c r="O262" s="616"/>
      <c r="P262" s="616">
        <v>5.5</v>
      </c>
      <c r="Q262" s="616">
        <v>5</v>
      </c>
      <c r="R262" s="615">
        <f t="shared" si="345"/>
        <v>-2.00098</v>
      </c>
      <c r="S262" s="615">
        <f t="shared" si="329"/>
        <v>-1.69458</v>
      </c>
      <c r="T262" s="616">
        <v>-0.85</v>
      </c>
      <c r="U262" s="616">
        <v>-0.1883</v>
      </c>
      <c r="V262" s="616">
        <v>-0.4478</v>
      </c>
      <c r="W262" s="616"/>
      <c r="X262" s="616"/>
      <c r="Y262" s="616">
        <v>-0.20848</v>
      </c>
      <c r="Z262" s="615">
        <f t="shared" si="346"/>
        <v>-0.3064</v>
      </c>
      <c r="AA262" s="616"/>
      <c r="AB262" s="616">
        <f>0.15+0.3</f>
        <v>0.45</v>
      </c>
      <c r="AC262" s="616">
        <v>-0.7564</v>
      </c>
      <c r="AD262" s="616"/>
      <c r="AE262" s="615">
        <f t="shared" si="330"/>
        <v>108.01142</v>
      </c>
      <c r="AF262" s="615">
        <f t="shared" si="331"/>
        <v>97.81782</v>
      </c>
      <c r="AG262" s="616">
        <f t="shared" si="332"/>
        <v>37.9052</v>
      </c>
      <c r="AH262" s="616">
        <f t="shared" si="333"/>
        <v>24.9193</v>
      </c>
      <c r="AI262" s="616">
        <f t="shared" si="334"/>
        <v>2.7818</v>
      </c>
      <c r="AJ262" s="616">
        <f t="shared" si="335"/>
        <v>0</v>
      </c>
      <c r="AK262" s="616">
        <f t="shared" si="336"/>
        <v>0</v>
      </c>
      <c r="AL262" s="616">
        <f t="shared" si="337"/>
        <v>32.21152</v>
      </c>
      <c r="AM262" s="615">
        <f t="shared" si="338"/>
        <v>10.1936</v>
      </c>
      <c r="AN262" s="616">
        <f t="shared" si="339"/>
        <v>0</v>
      </c>
      <c r="AO262" s="616">
        <f t="shared" si="340"/>
        <v>0.45</v>
      </c>
      <c r="AP262" s="616">
        <f t="shared" si="341"/>
        <v>4.7436</v>
      </c>
      <c r="AQ262" s="637">
        <f t="shared" si="342"/>
        <v>5</v>
      </c>
      <c r="AR262" s="638">
        <f t="shared" si="347"/>
        <v>33.0372144</v>
      </c>
      <c r="AS262" s="616">
        <f t="shared" si="248"/>
        <v>15.921984</v>
      </c>
      <c r="AT262" s="616">
        <f t="shared" si="249"/>
        <v>5.109024</v>
      </c>
      <c r="AU262" s="616">
        <f t="shared" si="250"/>
        <v>3.831768</v>
      </c>
      <c r="AV262" s="616">
        <f t="shared" si="251"/>
        <v>0.1277256</v>
      </c>
      <c r="AW262" s="616">
        <f t="shared" si="252"/>
        <v>0.3831768</v>
      </c>
      <c r="AX262" s="616">
        <f t="shared" si="253"/>
        <v>7.663536</v>
      </c>
      <c r="AY262" s="616"/>
      <c r="AZ262" s="615">
        <f t="shared" si="254"/>
        <v>-0.5493972</v>
      </c>
      <c r="BA262" s="616">
        <f t="shared" si="255"/>
        <v>-0.2711328</v>
      </c>
      <c r="BB262" s="616">
        <f t="shared" si="256"/>
        <v>-0.083064</v>
      </c>
      <c r="BC262" s="616">
        <f t="shared" si="257"/>
        <v>-0.062298</v>
      </c>
      <c r="BD262" s="616">
        <f t="shared" si="258"/>
        <v>-0.0020766</v>
      </c>
      <c r="BE262" s="616">
        <f t="shared" si="259"/>
        <v>-0.0062298</v>
      </c>
      <c r="BF262" s="616">
        <f t="shared" si="260"/>
        <v>-0.124596</v>
      </c>
      <c r="BG262" s="616"/>
      <c r="BH262" s="615">
        <f t="shared" si="261"/>
        <v>32.4878172</v>
      </c>
      <c r="BI262" s="616">
        <f t="shared" si="262"/>
        <v>15.6508512</v>
      </c>
      <c r="BJ262" s="616">
        <f t="shared" si="263"/>
        <v>5.02596</v>
      </c>
      <c r="BK262" s="616">
        <f t="shared" si="264"/>
        <v>3.76947</v>
      </c>
      <c r="BL262" s="616">
        <f t="shared" si="265"/>
        <v>0.125649</v>
      </c>
      <c r="BM262" s="616">
        <f t="shared" si="266"/>
        <v>0.376947</v>
      </c>
      <c r="BN262" s="616">
        <f t="shared" si="267"/>
        <v>7.53894</v>
      </c>
      <c r="BO262" s="616"/>
      <c r="BP262" s="304"/>
    </row>
    <row r="263" s="130" customFormat="1" ht="24" spans="1:68">
      <c r="A263" s="497" t="s">
        <v>504</v>
      </c>
      <c r="B263" s="497" t="s">
        <v>206</v>
      </c>
      <c r="C263" s="646" t="s">
        <v>561</v>
      </c>
      <c r="D263" s="497" t="s">
        <v>562</v>
      </c>
      <c r="E263" s="617">
        <f t="shared" si="343"/>
        <v>0</v>
      </c>
      <c r="F263" s="617">
        <f t="shared" si="328"/>
        <v>0</v>
      </c>
      <c r="G263" s="618"/>
      <c r="H263" s="618"/>
      <c r="I263" s="618"/>
      <c r="J263" s="616"/>
      <c r="K263" s="616"/>
      <c r="L263" s="616"/>
      <c r="M263" s="615">
        <f t="shared" si="344"/>
        <v>0</v>
      </c>
      <c r="N263" s="616"/>
      <c r="O263" s="618"/>
      <c r="P263" s="616"/>
      <c r="Q263" s="616"/>
      <c r="R263" s="615">
        <f t="shared" si="345"/>
        <v>0</v>
      </c>
      <c r="S263" s="615">
        <f t="shared" si="329"/>
        <v>0</v>
      </c>
      <c r="T263" s="616"/>
      <c r="U263" s="616"/>
      <c r="V263" s="616"/>
      <c r="W263" s="616"/>
      <c r="X263" s="616"/>
      <c r="Y263" s="616"/>
      <c r="Z263" s="615">
        <f t="shared" si="346"/>
        <v>0</v>
      </c>
      <c r="AA263" s="616"/>
      <c r="AB263" s="616"/>
      <c r="AC263" s="650"/>
      <c r="AD263" s="616"/>
      <c r="AE263" s="615">
        <f t="shared" si="330"/>
        <v>0</v>
      </c>
      <c r="AF263" s="615">
        <f t="shared" si="331"/>
        <v>0</v>
      </c>
      <c r="AG263" s="616">
        <f t="shared" si="332"/>
        <v>0</v>
      </c>
      <c r="AH263" s="616">
        <f t="shared" si="333"/>
        <v>0</v>
      </c>
      <c r="AI263" s="616">
        <f t="shared" si="334"/>
        <v>0</v>
      </c>
      <c r="AJ263" s="616">
        <f t="shared" si="335"/>
        <v>0</v>
      </c>
      <c r="AK263" s="616">
        <f t="shared" si="336"/>
        <v>0</v>
      </c>
      <c r="AL263" s="616">
        <f t="shared" si="337"/>
        <v>0</v>
      </c>
      <c r="AM263" s="615">
        <f t="shared" si="338"/>
        <v>0</v>
      </c>
      <c r="AN263" s="616">
        <f t="shared" si="339"/>
        <v>0</v>
      </c>
      <c r="AO263" s="616">
        <f t="shared" si="340"/>
        <v>0</v>
      </c>
      <c r="AP263" s="616">
        <f t="shared" si="341"/>
        <v>0</v>
      </c>
      <c r="AQ263" s="637">
        <f t="shared" si="342"/>
        <v>0</v>
      </c>
      <c r="AR263" s="638">
        <f t="shared" si="347"/>
        <v>0</v>
      </c>
      <c r="AS263" s="616">
        <f t="shared" si="248"/>
        <v>0</v>
      </c>
      <c r="AT263" s="616">
        <f t="shared" si="249"/>
        <v>0</v>
      </c>
      <c r="AU263" s="616">
        <f t="shared" si="250"/>
        <v>0</v>
      </c>
      <c r="AV263" s="616">
        <f t="shared" si="251"/>
        <v>0</v>
      </c>
      <c r="AW263" s="616">
        <f t="shared" si="252"/>
        <v>0</v>
      </c>
      <c r="AX263" s="616">
        <f t="shared" si="253"/>
        <v>0</v>
      </c>
      <c r="AY263" s="616"/>
      <c r="AZ263" s="615">
        <f t="shared" si="254"/>
        <v>0</v>
      </c>
      <c r="BA263" s="616">
        <f t="shared" si="255"/>
        <v>0</v>
      </c>
      <c r="BB263" s="616">
        <f t="shared" si="256"/>
        <v>0</v>
      </c>
      <c r="BC263" s="616">
        <f t="shared" si="257"/>
        <v>0</v>
      </c>
      <c r="BD263" s="616">
        <f t="shared" si="258"/>
        <v>0</v>
      </c>
      <c r="BE263" s="616">
        <f t="shared" si="259"/>
        <v>0</v>
      </c>
      <c r="BF263" s="616">
        <f t="shared" si="260"/>
        <v>0</v>
      </c>
      <c r="BG263" s="616"/>
      <c r="BH263" s="615">
        <f t="shared" si="261"/>
        <v>0</v>
      </c>
      <c r="BI263" s="616">
        <f t="shared" si="262"/>
        <v>0</v>
      </c>
      <c r="BJ263" s="616">
        <f t="shared" si="263"/>
        <v>0</v>
      </c>
      <c r="BK263" s="616">
        <f t="shared" si="264"/>
        <v>0</v>
      </c>
      <c r="BL263" s="616">
        <f t="shared" si="265"/>
        <v>0</v>
      </c>
      <c r="BM263" s="616">
        <f t="shared" si="266"/>
        <v>0</v>
      </c>
      <c r="BN263" s="616">
        <f t="shared" si="267"/>
        <v>0</v>
      </c>
      <c r="BO263" s="616"/>
      <c r="BP263" s="304"/>
    </row>
    <row r="264" s="130" customFormat="1" ht="24" spans="1:68">
      <c r="A264" s="497" t="s">
        <v>504</v>
      </c>
      <c r="B264" s="497" t="s">
        <v>203</v>
      </c>
      <c r="C264" s="497" t="s">
        <v>563</v>
      </c>
      <c r="D264" s="497" t="s">
        <v>564</v>
      </c>
      <c r="E264" s="617">
        <f t="shared" si="343"/>
        <v>68.67</v>
      </c>
      <c r="F264" s="617">
        <f t="shared" si="328"/>
        <v>60.88</v>
      </c>
      <c r="G264" s="618">
        <v>25.34</v>
      </c>
      <c r="H264" s="618">
        <v>15.08</v>
      </c>
      <c r="I264" s="618">
        <v>2.11</v>
      </c>
      <c r="J264" s="616"/>
      <c r="K264" s="616"/>
      <c r="L264" s="616">
        <v>18.35</v>
      </c>
      <c r="M264" s="615">
        <f t="shared" si="344"/>
        <v>7.79</v>
      </c>
      <c r="N264" s="616">
        <v>2.54</v>
      </c>
      <c r="O264" s="616"/>
      <c r="P264" s="616">
        <v>2.75</v>
      </c>
      <c r="Q264" s="616">
        <v>2.5</v>
      </c>
      <c r="R264" s="615">
        <f t="shared" si="345"/>
        <v>-2.28</v>
      </c>
      <c r="S264" s="615">
        <f t="shared" si="329"/>
        <v>-2.72</v>
      </c>
      <c r="T264" s="616">
        <v>0.02</v>
      </c>
      <c r="U264" s="616">
        <v>0.07</v>
      </c>
      <c r="V264" s="616">
        <v>-0.46</v>
      </c>
      <c r="W264" s="616"/>
      <c r="X264" s="616"/>
      <c r="Y264" s="616">
        <v>-2.35</v>
      </c>
      <c r="Z264" s="615">
        <f t="shared" si="346"/>
        <v>0.44</v>
      </c>
      <c r="AA264" s="616"/>
      <c r="AB264" s="616"/>
      <c r="AC264" s="616">
        <v>0.44</v>
      </c>
      <c r="AD264" s="616"/>
      <c r="AE264" s="615">
        <f t="shared" si="330"/>
        <v>66.39</v>
      </c>
      <c r="AF264" s="615">
        <f t="shared" si="331"/>
        <v>58.16</v>
      </c>
      <c r="AG264" s="616">
        <f t="shared" si="332"/>
        <v>25.36</v>
      </c>
      <c r="AH264" s="616">
        <f t="shared" si="333"/>
        <v>15.15</v>
      </c>
      <c r="AI264" s="616">
        <f t="shared" si="334"/>
        <v>1.65</v>
      </c>
      <c r="AJ264" s="616">
        <f t="shared" si="335"/>
        <v>0</v>
      </c>
      <c r="AK264" s="616">
        <f t="shared" si="336"/>
        <v>0</v>
      </c>
      <c r="AL264" s="616">
        <f t="shared" si="337"/>
        <v>16</v>
      </c>
      <c r="AM264" s="615">
        <f t="shared" si="338"/>
        <v>8.23</v>
      </c>
      <c r="AN264" s="616">
        <f t="shared" si="339"/>
        <v>2.54</v>
      </c>
      <c r="AO264" s="616">
        <f t="shared" si="340"/>
        <v>0</v>
      </c>
      <c r="AP264" s="616">
        <f t="shared" si="341"/>
        <v>3.19</v>
      </c>
      <c r="AQ264" s="637">
        <f t="shared" si="342"/>
        <v>2.5</v>
      </c>
      <c r="AR264" s="638">
        <f t="shared" si="347"/>
        <v>20.57336</v>
      </c>
      <c r="AS264" s="616">
        <f t="shared" si="248"/>
        <v>9.7408</v>
      </c>
      <c r="AT264" s="616">
        <f t="shared" si="249"/>
        <v>3.2336</v>
      </c>
      <c r="AU264" s="616">
        <f t="shared" si="250"/>
        <v>2.4252</v>
      </c>
      <c r="AV264" s="616">
        <f t="shared" si="251"/>
        <v>0.08084</v>
      </c>
      <c r="AW264" s="616">
        <f t="shared" si="252"/>
        <v>0.24252</v>
      </c>
      <c r="AX264" s="616">
        <f t="shared" si="253"/>
        <v>4.8504</v>
      </c>
      <c r="AY264" s="616"/>
      <c r="AZ264" s="615">
        <f t="shared" si="254"/>
        <v>-0.41108</v>
      </c>
      <c r="BA264" s="616">
        <f t="shared" si="255"/>
        <v>-0.4352</v>
      </c>
      <c r="BB264" s="616">
        <f t="shared" si="256"/>
        <v>0.0072</v>
      </c>
      <c r="BC264" s="616">
        <f t="shared" si="257"/>
        <v>0.0054</v>
      </c>
      <c r="BD264" s="616">
        <f t="shared" si="258"/>
        <v>0.00018</v>
      </c>
      <c r="BE264" s="616">
        <f t="shared" si="259"/>
        <v>0.00054</v>
      </c>
      <c r="BF264" s="616">
        <f t="shared" si="260"/>
        <v>0.0108</v>
      </c>
      <c r="BG264" s="616"/>
      <c r="BH264" s="615">
        <f t="shared" si="261"/>
        <v>20.16228</v>
      </c>
      <c r="BI264" s="616">
        <f t="shared" si="262"/>
        <v>9.3056</v>
      </c>
      <c r="BJ264" s="616">
        <f t="shared" si="263"/>
        <v>3.2408</v>
      </c>
      <c r="BK264" s="616">
        <f t="shared" si="264"/>
        <v>2.4306</v>
      </c>
      <c r="BL264" s="616">
        <f t="shared" si="265"/>
        <v>0.08102</v>
      </c>
      <c r="BM264" s="616">
        <f t="shared" si="266"/>
        <v>0.24306</v>
      </c>
      <c r="BN264" s="616">
        <f t="shared" si="267"/>
        <v>4.8612</v>
      </c>
      <c r="BO264" s="616"/>
      <c r="BP264" s="304"/>
    </row>
    <row r="265" s="508" customFormat="1" ht="21" customHeight="1" spans="1:69">
      <c r="A265" s="647"/>
      <c r="B265" s="647"/>
      <c r="C265" s="647" t="s">
        <v>135</v>
      </c>
      <c r="D265" s="648">
        <v>212</v>
      </c>
      <c r="E265" s="612">
        <f t="shared" ref="E265:P265" si="348">SUM(E266:E276)</f>
        <v>1237.6272</v>
      </c>
      <c r="F265" s="612">
        <f t="shared" si="348"/>
        <v>407.0472</v>
      </c>
      <c r="G265" s="612">
        <f t="shared" si="348"/>
        <v>163.636</v>
      </c>
      <c r="H265" s="612">
        <f t="shared" si="348"/>
        <v>101.5532</v>
      </c>
      <c r="I265" s="612">
        <f t="shared" si="348"/>
        <v>13.638</v>
      </c>
      <c r="J265" s="612">
        <f t="shared" si="348"/>
        <v>0</v>
      </c>
      <c r="K265" s="612">
        <f t="shared" si="348"/>
        <v>0</v>
      </c>
      <c r="L265" s="612">
        <f t="shared" si="348"/>
        <v>128.22</v>
      </c>
      <c r="M265" s="612">
        <f t="shared" si="348"/>
        <v>830.58</v>
      </c>
      <c r="N265" s="612">
        <f t="shared" si="348"/>
        <v>475.32</v>
      </c>
      <c r="O265" s="612">
        <f t="shared" si="348"/>
        <v>315.36</v>
      </c>
      <c r="P265" s="612">
        <f t="shared" si="348"/>
        <v>20.9</v>
      </c>
      <c r="Q265" s="612">
        <f t="shared" ref="Q265:AE265" si="349">SUM(Q266:Q276)</f>
        <v>19</v>
      </c>
      <c r="R265" s="612">
        <f t="shared" si="349"/>
        <v>-132.7299</v>
      </c>
      <c r="S265" s="612">
        <f t="shared" si="349"/>
        <v>-86.724</v>
      </c>
      <c r="T265" s="612">
        <f t="shared" si="349"/>
        <v>-86.8428</v>
      </c>
      <c r="U265" s="612">
        <f t="shared" si="349"/>
        <v>0.1188</v>
      </c>
      <c r="V265" s="612">
        <f t="shared" si="349"/>
        <v>0</v>
      </c>
      <c r="W265" s="612">
        <f t="shared" si="349"/>
        <v>0</v>
      </c>
      <c r="X265" s="612">
        <f t="shared" si="349"/>
        <v>0</v>
      </c>
      <c r="Y265" s="612">
        <f t="shared" si="349"/>
        <v>0</v>
      </c>
      <c r="Z265" s="612">
        <f t="shared" si="349"/>
        <v>-46.0059</v>
      </c>
      <c r="AA265" s="612">
        <f t="shared" si="349"/>
        <v>-25.6704</v>
      </c>
      <c r="AB265" s="612">
        <f t="shared" si="349"/>
        <v>-21.15</v>
      </c>
      <c r="AC265" s="612">
        <f t="shared" si="349"/>
        <v>0.3562</v>
      </c>
      <c r="AD265" s="612">
        <f t="shared" si="349"/>
        <v>0.4583</v>
      </c>
      <c r="AE265" s="612">
        <f t="shared" ref="AE265:AQ265" si="350">SUM(AE266:AE276)</f>
        <v>1104.8973</v>
      </c>
      <c r="AF265" s="612">
        <f t="shared" si="350"/>
        <v>320.3232</v>
      </c>
      <c r="AG265" s="612">
        <f t="shared" si="350"/>
        <v>76.7932</v>
      </c>
      <c r="AH265" s="612">
        <f t="shared" si="350"/>
        <v>101.672</v>
      </c>
      <c r="AI265" s="612">
        <f t="shared" si="350"/>
        <v>13.638</v>
      </c>
      <c r="AJ265" s="612">
        <f t="shared" si="350"/>
        <v>0</v>
      </c>
      <c r="AK265" s="612">
        <f t="shared" si="350"/>
        <v>0</v>
      </c>
      <c r="AL265" s="612">
        <f t="shared" si="350"/>
        <v>128.22</v>
      </c>
      <c r="AM265" s="612">
        <f t="shared" si="350"/>
        <v>784.5741</v>
      </c>
      <c r="AN265" s="612">
        <f t="shared" si="350"/>
        <v>449.6496</v>
      </c>
      <c r="AO265" s="612">
        <f t="shared" si="350"/>
        <v>294.21</v>
      </c>
      <c r="AP265" s="612">
        <f t="shared" si="350"/>
        <v>21.2562</v>
      </c>
      <c r="AQ265" s="635">
        <f t="shared" si="350"/>
        <v>19.4583</v>
      </c>
      <c r="AR265" s="636">
        <f t="shared" ref="AR265:AY265" si="351">SUM(AR266:AR276)</f>
        <v>136.1982576</v>
      </c>
      <c r="AS265" s="612">
        <f t="shared" si="351"/>
        <v>65.127552</v>
      </c>
      <c r="AT265" s="612">
        <f t="shared" si="351"/>
        <v>21.215136</v>
      </c>
      <c r="AU265" s="612">
        <f t="shared" si="351"/>
        <v>15.911352</v>
      </c>
      <c r="AV265" s="612">
        <f t="shared" si="351"/>
        <v>0.5303784</v>
      </c>
      <c r="AW265" s="612">
        <f t="shared" si="351"/>
        <v>1.5911352</v>
      </c>
      <c r="AX265" s="612">
        <f t="shared" si="351"/>
        <v>31.822704</v>
      </c>
      <c r="AY265" s="612">
        <f t="shared" si="351"/>
        <v>0</v>
      </c>
      <c r="AZ265" s="612">
        <f t="shared" ref="AZ265:BO265" si="352">SUM(AZ266:AZ276)</f>
        <v>-37.117872</v>
      </c>
      <c r="BA265" s="612">
        <f t="shared" si="352"/>
        <v>-13.87584</v>
      </c>
      <c r="BB265" s="612">
        <f t="shared" si="352"/>
        <v>-6.93792</v>
      </c>
      <c r="BC265" s="612">
        <f t="shared" si="352"/>
        <v>-5.20344</v>
      </c>
      <c r="BD265" s="612">
        <f t="shared" si="352"/>
        <v>-0.173448</v>
      </c>
      <c r="BE265" s="612">
        <f t="shared" si="352"/>
        <v>-0.520344</v>
      </c>
      <c r="BF265" s="612">
        <f t="shared" si="352"/>
        <v>-10.40688</v>
      </c>
      <c r="BG265" s="612">
        <f t="shared" si="352"/>
        <v>0</v>
      </c>
      <c r="BH265" s="612">
        <f t="shared" si="352"/>
        <v>99.0803856</v>
      </c>
      <c r="BI265" s="612">
        <f t="shared" si="352"/>
        <v>51.251712</v>
      </c>
      <c r="BJ265" s="612">
        <f t="shared" si="352"/>
        <v>14.277216</v>
      </c>
      <c r="BK265" s="612">
        <f t="shared" si="352"/>
        <v>10.707912</v>
      </c>
      <c r="BL265" s="612">
        <f t="shared" si="352"/>
        <v>0.3569304</v>
      </c>
      <c r="BM265" s="612">
        <f t="shared" si="352"/>
        <v>1.0707912</v>
      </c>
      <c r="BN265" s="612">
        <f t="shared" si="352"/>
        <v>21.415824</v>
      </c>
      <c r="BO265" s="612">
        <f t="shared" si="352"/>
        <v>0</v>
      </c>
      <c r="BP265" s="334"/>
      <c r="BQ265" s="580"/>
    </row>
    <row r="266" s="130" customFormat="1" ht="24" spans="1:68">
      <c r="A266" s="497" t="s">
        <v>261</v>
      </c>
      <c r="B266" s="497" t="s">
        <v>203</v>
      </c>
      <c r="C266" s="497" t="s">
        <v>565</v>
      </c>
      <c r="D266" s="497" t="s">
        <v>566</v>
      </c>
      <c r="E266" s="615">
        <f>F266+M266</f>
        <v>141.1272</v>
      </c>
      <c r="F266" s="615">
        <f t="shared" ref="F266:F276" si="353">SUM(G266:L266)</f>
        <v>127.0372</v>
      </c>
      <c r="G266" s="619">
        <v>52.056</v>
      </c>
      <c r="H266" s="619">
        <v>31.6332</v>
      </c>
      <c r="I266" s="619">
        <v>4.338</v>
      </c>
      <c r="J266" s="616"/>
      <c r="K266" s="616"/>
      <c r="L266" s="616">
        <v>39.01</v>
      </c>
      <c r="M266" s="615">
        <f>SUM(N266:Q266)</f>
        <v>14.09</v>
      </c>
      <c r="N266" s="619">
        <v>2.54</v>
      </c>
      <c r="O266" s="618"/>
      <c r="P266" s="616">
        <v>6.05</v>
      </c>
      <c r="Q266" s="616">
        <v>5.5</v>
      </c>
      <c r="R266" s="615">
        <f>S266+Z266</f>
        <v>-6.7511</v>
      </c>
      <c r="S266" s="615">
        <f t="shared" ref="S266:S276" si="354">SUM(T266:Y266)</f>
        <v>-8.7656</v>
      </c>
      <c r="T266" s="616">
        <v>-8.7656</v>
      </c>
      <c r="U266" s="616"/>
      <c r="V266" s="616"/>
      <c r="W266" s="616"/>
      <c r="X266" s="616"/>
      <c r="Y266" s="616"/>
      <c r="Z266" s="615">
        <f>SUM(AA266:AD266)</f>
        <v>2.0145</v>
      </c>
      <c r="AA266" s="616"/>
      <c r="AB266" s="616">
        <f>0.75+0.45</f>
        <v>1.2</v>
      </c>
      <c r="AC266" s="616">
        <v>0.3562</v>
      </c>
      <c r="AD266" s="616">
        <v>0.4583</v>
      </c>
      <c r="AE266" s="615">
        <f t="shared" ref="AE266:AE268" si="355">AF266+AM266</f>
        <v>134.3761</v>
      </c>
      <c r="AF266" s="615">
        <f t="shared" ref="AF266:AF268" si="356">SUM(AG266:AL266)</f>
        <v>118.2716</v>
      </c>
      <c r="AG266" s="616">
        <f t="shared" ref="AG266:AG268" si="357">G266+T266</f>
        <v>43.2904</v>
      </c>
      <c r="AH266" s="616">
        <f t="shared" ref="AH266:AH268" si="358">H266+U266</f>
        <v>31.6332</v>
      </c>
      <c r="AI266" s="616">
        <f t="shared" ref="AI266:AI268" si="359">I266+V266</f>
        <v>4.338</v>
      </c>
      <c r="AJ266" s="616">
        <f t="shared" ref="AJ266:AJ268" si="360">J266+W266</f>
        <v>0</v>
      </c>
      <c r="AK266" s="616">
        <f t="shared" ref="AK266:AK268" si="361">K266+X266</f>
        <v>0</v>
      </c>
      <c r="AL266" s="616">
        <f t="shared" ref="AL266:AL268" si="362">L266+Y266</f>
        <v>39.01</v>
      </c>
      <c r="AM266" s="615">
        <f t="shared" ref="AM266:AM268" si="363">SUM(AN266:AQ266)</f>
        <v>16.1045</v>
      </c>
      <c r="AN266" s="616">
        <f t="shared" ref="AN266:AN268" si="364">N266+AA266</f>
        <v>2.54</v>
      </c>
      <c r="AO266" s="616">
        <f t="shared" ref="AO266:AO268" si="365">O266+AB266</f>
        <v>1.2</v>
      </c>
      <c r="AP266" s="616">
        <f t="shared" ref="AP266:AP268" si="366">P266+AC266</f>
        <v>6.4062</v>
      </c>
      <c r="AQ266" s="637">
        <f t="shared" ref="AQ266:AQ268" si="367">Q266+AD266</f>
        <v>5.9583</v>
      </c>
      <c r="AR266" s="638">
        <f>SUM(AS266:AY266)</f>
        <v>42.7546576</v>
      </c>
      <c r="AS266" s="616">
        <f t="shared" si="248"/>
        <v>20.325952</v>
      </c>
      <c r="AT266" s="616">
        <f t="shared" si="249"/>
        <v>6.695136</v>
      </c>
      <c r="AU266" s="616">
        <f t="shared" si="250"/>
        <v>5.021352</v>
      </c>
      <c r="AV266" s="616">
        <f t="shared" si="251"/>
        <v>0.1673784</v>
      </c>
      <c r="AW266" s="616">
        <f t="shared" si="252"/>
        <v>0.5021352</v>
      </c>
      <c r="AX266" s="616">
        <f t="shared" si="253"/>
        <v>10.042704</v>
      </c>
      <c r="AY266" s="616"/>
      <c r="AZ266" s="615">
        <f t="shared" si="254"/>
        <v>-3.7516768</v>
      </c>
      <c r="BA266" s="616">
        <f t="shared" si="255"/>
        <v>-1.402496</v>
      </c>
      <c r="BB266" s="616">
        <f t="shared" si="256"/>
        <v>-0.701248</v>
      </c>
      <c r="BC266" s="616">
        <f t="shared" si="257"/>
        <v>-0.525936</v>
      </c>
      <c r="BD266" s="616">
        <f t="shared" si="258"/>
        <v>-0.0175312</v>
      </c>
      <c r="BE266" s="616">
        <f t="shared" si="259"/>
        <v>-0.0525936</v>
      </c>
      <c r="BF266" s="616">
        <f t="shared" si="260"/>
        <v>-1.051872</v>
      </c>
      <c r="BG266" s="616"/>
      <c r="BH266" s="615">
        <f t="shared" si="261"/>
        <v>39.0029808</v>
      </c>
      <c r="BI266" s="616">
        <f t="shared" si="262"/>
        <v>18.923456</v>
      </c>
      <c r="BJ266" s="616">
        <f t="shared" si="263"/>
        <v>5.993888</v>
      </c>
      <c r="BK266" s="616">
        <f t="shared" si="264"/>
        <v>4.495416</v>
      </c>
      <c r="BL266" s="616">
        <f t="shared" si="265"/>
        <v>0.1498472</v>
      </c>
      <c r="BM266" s="616">
        <f t="shared" si="266"/>
        <v>0.4495416</v>
      </c>
      <c r="BN266" s="616">
        <f t="shared" si="267"/>
        <v>8.990832</v>
      </c>
      <c r="BO266" s="616"/>
      <c r="BP266" s="304"/>
    </row>
    <row r="267" s="131" customFormat="1" ht="72" spans="1:68">
      <c r="A267" s="497" t="s">
        <v>261</v>
      </c>
      <c r="B267" s="497" t="s">
        <v>203</v>
      </c>
      <c r="C267" s="497" t="s">
        <v>567</v>
      </c>
      <c r="D267" s="497" t="s">
        <v>568</v>
      </c>
      <c r="E267" s="617">
        <f>F267+M267</f>
        <v>1096.5</v>
      </c>
      <c r="F267" s="617">
        <f t="shared" si="353"/>
        <v>280.01</v>
      </c>
      <c r="G267" s="619">
        <v>111.58</v>
      </c>
      <c r="H267" s="619">
        <v>69.92</v>
      </c>
      <c r="I267" s="619">
        <v>9.3</v>
      </c>
      <c r="J267" s="618"/>
      <c r="K267" s="618"/>
      <c r="L267" s="618">
        <v>89.21</v>
      </c>
      <c r="M267" s="617">
        <f>SUM(N267:Q267)</f>
        <v>816.49</v>
      </c>
      <c r="N267" s="619">
        <v>472.78</v>
      </c>
      <c r="O267" s="619">
        <v>315.36</v>
      </c>
      <c r="P267" s="618">
        <v>14.85</v>
      </c>
      <c r="Q267" s="618">
        <v>13.5</v>
      </c>
      <c r="R267" s="617">
        <f>S267+Z267</f>
        <v>-125.9788</v>
      </c>
      <c r="S267" s="615">
        <f t="shared" si="354"/>
        <v>-77.9584</v>
      </c>
      <c r="T267" s="618">
        <v>-78.0772</v>
      </c>
      <c r="U267" s="618">
        <v>0.1188</v>
      </c>
      <c r="V267" s="618"/>
      <c r="W267" s="618"/>
      <c r="X267" s="618"/>
      <c r="Y267" s="618"/>
      <c r="Z267" s="617">
        <f>SUM(AA267:AD267)</f>
        <v>-48.0204</v>
      </c>
      <c r="AA267" s="618">
        <v>-25.6704</v>
      </c>
      <c r="AB267" s="618">
        <f>-22.8+0.15+0.3</f>
        <v>-22.35</v>
      </c>
      <c r="AC267" s="618"/>
      <c r="AD267" s="618"/>
      <c r="AE267" s="615">
        <f t="shared" si="355"/>
        <v>970.5212</v>
      </c>
      <c r="AF267" s="615">
        <f t="shared" si="356"/>
        <v>202.0516</v>
      </c>
      <c r="AG267" s="616">
        <f t="shared" si="357"/>
        <v>33.5028</v>
      </c>
      <c r="AH267" s="616">
        <f t="shared" si="358"/>
        <v>70.0388</v>
      </c>
      <c r="AI267" s="616">
        <f t="shared" si="359"/>
        <v>9.3</v>
      </c>
      <c r="AJ267" s="616">
        <f t="shared" si="360"/>
        <v>0</v>
      </c>
      <c r="AK267" s="616">
        <f t="shared" si="361"/>
        <v>0</v>
      </c>
      <c r="AL267" s="616">
        <f t="shared" si="362"/>
        <v>89.21</v>
      </c>
      <c r="AM267" s="615">
        <f t="shared" si="363"/>
        <v>768.4696</v>
      </c>
      <c r="AN267" s="616">
        <f t="shared" si="364"/>
        <v>447.1096</v>
      </c>
      <c r="AO267" s="616">
        <f t="shared" si="365"/>
        <v>293.01</v>
      </c>
      <c r="AP267" s="616">
        <f t="shared" si="366"/>
        <v>14.85</v>
      </c>
      <c r="AQ267" s="637">
        <f t="shared" si="367"/>
        <v>13.5</v>
      </c>
      <c r="AR267" s="639">
        <f>SUM(AS267:AY267)</f>
        <v>93.4436</v>
      </c>
      <c r="AS267" s="616">
        <f t="shared" si="248"/>
        <v>44.8016</v>
      </c>
      <c r="AT267" s="616">
        <f t="shared" si="249"/>
        <v>14.52</v>
      </c>
      <c r="AU267" s="616">
        <f t="shared" si="250"/>
        <v>10.89</v>
      </c>
      <c r="AV267" s="616">
        <f t="shared" si="251"/>
        <v>0.363</v>
      </c>
      <c r="AW267" s="616">
        <f t="shared" si="252"/>
        <v>1.089</v>
      </c>
      <c r="AX267" s="616">
        <f t="shared" si="253"/>
        <v>21.78</v>
      </c>
      <c r="AY267" s="618"/>
      <c r="AZ267" s="615">
        <f t="shared" si="254"/>
        <v>-33.3661952</v>
      </c>
      <c r="BA267" s="616">
        <f t="shared" si="255"/>
        <v>-12.473344</v>
      </c>
      <c r="BB267" s="616">
        <f t="shared" si="256"/>
        <v>-6.236672</v>
      </c>
      <c r="BC267" s="616">
        <f t="shared" si="257"/>
        <v>-4.677504</v>
      </c>
      <c r="BD267" s="616">
        <f t="shared" si="258"/>
        <v>-0.1559168</v>
      </c>
      <c r="BE267" s="616">
        <f t="shared" si="259"/>
        <v>-0.4677504</v>
      </c>
      <c r="BF267" s="616">
        <f t="shared" si="260"/>
        <v>-9.355008</v>
      </c>
      <c r="BG267" s="616"/>
      <c r="BH267" s="615">
        <f t="shared" si="261"/>
        <v>60.0774048</v>
      </c>
      <c r="BI267" s="616">
        <f t="shared" si="262"/>
        <v>32.328256</v>
      </c>
      <c r="BJ267" s="616">
        <f t="shared" si="263"/>
        <v>8.283328</v>
      </c>
      <c r="BK267" s="616">
        <f t="shared" si="264"/>
        <v>6.212496</v>
      </c>
      <c r="BL267" s="616">
        <f t="shared" si="265"/>
        <v>0.2070832</v>
      </c>
      <c r="BM267" s="616">
        <f t="shared" si="266"/>
        <v>0.6212496</v>
      </c>
      <c r="BN267" s="616">
        <f t="shared" si="267"/>
        <v>12.424992</v>
      </c>
      <c r="BO267" s="616"/>
      <c r="BP267" s="497" t="s">
        <v>569</v>
      </c>
    </row>
    <row r="268" s="131" customFormat="1" ht="24" spans="1:68">
      <c r="A268" s="497" t="s">
        <v>261</v>
      </c>
      <c r="B268" s="497" t="s">
        <v>206</v>
      </c>
      <c r="C268" s="497" t="s">
        <v>570</v>
      </c>
      <c r="D268" s="497" t="s">
        <v>568</v>
      </c>
      <c r="E268" s="617">
        <f>F268+M268</f>
        <v>0</v>
      </c>
      <c r="F268" s="617">
        <f t="shared" si="353"/>
        <v>0</v>
      </c>
      <c r="G268" s="618"/>
      <c r="H268" s="618"/>
      <c r="I268" s="618"/>
      <c r="J268" s="618"/>
      <c r="K268" s="618"/>
      <c r="L268" s="618"/>
      <c r="M268" s="617">
        <f>SUM(N268:Q268)</f>
        <v>0</v>
      </c>
      <c r="N268" s="618"/>
      <c r="O268" s="618"/>
      <c r="P268" s="618"/>
      <c r="Q268" s="618"/>
      <c r="R268" s="617">
        <f>S268+Z268</f>
        <v>0</v>
      </c>
      <c r="S268" s="615">
        <f t="shared" si="354"/>
        <v>0</v>
      </c>
      <c r="T268" s="619"/>
      <c r="U268" s="619"/>
      <c r="V268" s="619"/>
      <c r="W268" s="618"/>
      <c r="X268" s="618"/>
      <c r="Y268" s="618"/>
      <c r="Z268" s="617">
        <f>SUM(AA268:AD268)</f>
        <v>0</v>
      </c>
      <c r="AA268" s="619"/>
      <c r="AB268" s="618"/>
      <c r="AC268" s="618"/>
      <c r="AD268" s="618"/>
      <c r="AE268" s="615">
        <f t="shared" si="355"/>
        <v>0</v>
      </c>
      <c r="AF268" s="615">
        <f t="shared" si="356"/>
        <v>0</v>
      </c>
      <c r="AG268" s="616">
        <f t="shared" si="357"/>
        <v>0</v>
      </c>
      <c r="AH268" s="616">
        <f t="shared" si="358"/>
        <v>0</v>
      </c>
      <c r="AI268" s="616">
        <f t="shared" si="359"/>
        <v>0</v>
      </c>
      <c r="AJ268" s="616">
        <f t="shared" si="360"/>
        <v>0</v>
      </c>
      <c r="AK268" s="616">
        <f t="shared" si="361"/>
        <v>0</v>
      </c>
      <c r="AL268" s="616">
        <f t="shared" si="362"/>
        <v>0</v>
      </c>
      <c r="AM268" s="615">
        <f t="shared" si="363"/>
        <v>0</v>
      </c>
      <c r="AN268" s="616">
        <f t="shared" si="364"/>
        <v>0</v>
      </c>
      <c r="AO268" s="616">
        <f t="shared" si="365"/>
        <v>0</v>
      </c>
      <c r="AP268" s="616">
        <f t="shared" si="366"/>
        <v>0</v>
      </c>
      <c r="AQ268" s="637">
        <f t="shared" si="367"/>
        <v>0</v>
      </c>
      <c r="AR268" s="639">
        <f>SUM(AS268:AY268)</f>
        <v>0</v>
      </c>
      <c r="AS268" s="616">
        <f t="shared" ref="AS268:AS313" si="368">(G268+H268+I268+L268)*0.16</f>
        <v>0</v>
      </c>
      <c r="AT268" s="616">
        <f t="shared" ref="AT268:AT313" si="369">(G268+H268)*0.08</f>
        <v>0</v>
      </c>
      <c r="AU268" s="616">
        <f t="shared" ref="AU268:AU313" si="370">(G268+H268)*0.06</f>
        <v>0</v>
      </c>
      <c r="AV268" s="616">
        <f t="shared" ref="AV268:AV313" si="371">(G268+H268)*0.002</f>
        <v>0</v>
      </c>
      <c r="AW268" s="616">
        <f t="shared" ref="AW268:AW313" si="372">(G268+H268)*0.006</f>
        <v>0</v>
      </c>
      <c r="AX268" s="616">
        <f t="shared" ref="AX268:AX313" si="373">(G268+H268)*0.12</f>
        <v>0</v>
      </c>
      <c r="AY268" s="618"/>
      <c r="AZ268" s="615">
        <f t="shared" ref="AZ268:AZ313" si="374">SUM(BA268:BG268)</f>
        <v>0</v>
      </c>
      <c r="BA268" s="616">
        <f t="shared" ref="BA268:BA313" si="375">(T268+U268+V268+Y268)*0.16</f>
        <v>0</v>
      </c>
      <c r="BB268" s="616">
        <f t="shared" ref="BB268:BB313" si="376">(T268+U268)*0.08</f>
        <v>0</v>
      </c>
      <c r="BC268" s="616">
        <f t="shared" ref="BC268:BC313" si="377">(T268+U268)*0.06</f>
        <v>0</v>
      </c>
      <c r="BD268" s="616">
        <f t="shared" ref="BD268:BD313" si="378">(T268+U268)*0.002</f>
        <v>0</v>
      </c>
      <c r="BE268" s="616">
        <f t="shared" ref="BE268:BE313" si="379">(T268+U268)*0.006</f>
        <v>0</v>
      </c>
      <c r="BF268" s="616">
        <f t="shared" ref="BF268:BF313" si="380">(T268+U268)*0.12</f>
        <v>0</v>
      </c>
      <c r="BG268" s="616"/>
      <c r="BH268" s="615">
        <f t="shared" ref="BH268:BH313" si="381">SUM(BI268:BO268)</f>
        <v>0</v>
      </c>
      <c r="BI268" s="616">
        <f t="shared" ref="BI268:BI313" si="382">(AG268+AH268+AI268+AL268)*0.16</f>
        <v>0</v>
      </c>
      <c r="BJ268" s="616">
        <f t="shared" ref="BJ268:BJ313" si="383">(AG268+AH268)*0.08</f>
        <v>0</v>
      </c>
      <c r="BK268" s="616">
        <f t="shared" ref="BK268:BK313" si="384">(AG268+AH268)*0.06</f>
        <v>0</v>
      </c>
      <c r="BL268" s="616">
        <f t="shared" ref="BL268:BL313" si="385">(AG268+AH268)*0.002</f>
        <v>0</v>
      </c>
      <c r="BM268" s="616">
        <f t="shared" ref="BM268:BM313" si="386">(AG268+AH268)*0.006</f>
        <v>0</v>
      </c>
      <c r="BN268" s="616">
        <f t="shared" ref="BN268:BN313" si="387">(AG268+AH268)*0.12</f>
        <v>0</v>
      </c>
      <c r="BO268" s="616"/>
      <c r="BP268" s="304"/>
    </row>
    <row r="269" s="131" customFormat="1" ht="36" spans="1:68">
      <c r="A269" s="497" t="s">
        <v>261</v>
      </c>
      <c r="B269" s="497" t="s">
        <v>206</v>
      </c>
      <c r="C269" s="497" t="s">
        <v>571</v>
      </c>
      <c r="D269" s="497" t="s">
        <v>572</v>
      </c>
      <c r="E269" s="617">
        <f t="shared" ref="E269:E276" si="388">F269+M269</f>
        <v>0</v>
      </c>
      <c r="F269" s="617">
        <f t="shared" si="353"/>
        <v>0</v>
      </c>
      <c r="G269" s="618"/>
      <c r="H269" s="618"/>
      <c r="I269" s="618"/>
      <c r="J269" s="618"/>
      <c r="K269" s="618"/>
      <c r="L269" s="618"/>
      <c r="M269" s="617">
        <f t="shared" ref="M269:M276" si="389">SUM(N269:Q269)</f>
        <v>0</v>
      </c>
      <c r="N269" s="618"/>
      <c r="O269" s="618"/>
      <c r="P269" s="618"/>
      <c r="Q269" s="618"/>
      <c r="R269" s="617">
        <f t="shared" ref="R269:R276" si="390">S269+Z269</f>
        <v>0</v>
      </c>
      <c r="S269" s="615">
        <f t="shared" si="354"/>
        <v>0</v>
      </c>
      <c r="T269" s="619"/>
      <c r="U269" s="619"/>
      <c r="V269" s="619"/>
      <c r="W269" s="618"/>
      <c r="X269" s="618"/>
      <c r="Y269" s="618"/>
      <c r="Z269" s="617">
        <f t="shared" ref="Z269:Z276" si="391">SUM(AA269:AD269)</f>
        <v>0</v>
      </c>
      <c r="AA269" s="619"/>
      <c r="AB269" s="618"/>
      <c r="AC269" s="618"/>
      <c r="AD269" s="618"/>
      <c r="AE269" s="615">
        <f t="shared" ref="AE269:AE276" si="392">AF269+AM269</f>
        <v>0</v>
      </c>
      <c r="AF269" s="615">
        <f t="shared" ref="AF269:AF276" si="393">SUM(AG269:AL269)</f>
        <v>0</v>
      </c>
      <c r="AG269" s="616">
        <f t="shared" ref="AG269:AG276" si="394">G269+T269</f>
        <v>0</v>
      </c>
      <c r="AH269" s="616">
        <f t="shared" ref="AH269:AH276" si="395">H269+U269</f>
        <v>0</v>
      </c>
      <c r="AI269" s="616">
        <f t="shared" ref="AI269:AI276" si="396">I269+V269</f>
        <v>0</v>
      </c>
      <c r="AJ269" s="616">
        <f t="shared" ref="AJ269:AJ276" si="397">J269+W269</f>
        <v>0</v>
      </c>
      <c r="AK269" s="616">
        <f t="shared" ref="AK269:AK276" si="398">K269+X269</f>
        <v>0</v>
      </c>
      <c r="AL269" s="616">
        <f t="shared" ref="AL269:AL276" si="399">L269+Y269</f>
        <v>0</v>
      </c>
      <c r="AM269" s="615">
        <f t="shared" ref="AM269:AM276" si="400">SUM(AN269:AQ269)</f>
        <v>0</v>
      </c>
      <c r="AN269" s="616">
        <f t="shared" ref="AN269:AN276" si="401">N269+AA269</f>
        <v>0</v>
      </c>
      <c r="AO269" s="616">
        <f t="shared" ref="AO269:AO276" si="402">O269+AB269</f>
        <v>0</v>
      </c>
      <c r="AP269" s="616">
        <f t="shared" ref="AP269:AP276" si="403">P269+AC269</f>
        <v>0</v>
      </c>
      <c r="AQ269" s="637">
        <f t="shared" ref="AQ269:AQ276" si="404">Q269+AD269</f>
        <v>0</v>
      </c>
      <c r="AR269" s="639">
        <f t="shared" ref="AR269:AR276" si="405">SUM(AS269:AY269)</f>
        <v>0</v>
      </c>
      <c r="AS269" s="616">
        <f t="shared" si="368"/>
        <v>0</v>
      </c>
      <c r="AT269" s="616">
        <f t="shared" si="369"/>
        <v>0</v>
      </c>
      <c r="AU269" s="616">
        <f t="shared" si="370"/>
        <v>0</v>
      </c>
      <c r="AV269" s="616">
        <f t="shared" si="371"/>
        <v>0</v>
      </c>
      <c r="AW269" s="616">
        <f t="shared" si="372"/>
        <v>0</v>
      </c>
      <c r="AX269" s="616">
        <f t="shared" si="373"/>
        <v>0</v>
      </c>
      <c r="AY269" s="618"/>
      <c r="AZ269" s="615">
        <f t="shared" si="374"/>
        <v>0</v>
      </c>
      <c r="BA269" s="616">
        <f t="shared" si="375"/>
        <v>0</v>
      </c>
      <c r="BB269" s="616">
        <f t="shared" si="376"/>
        <v>0</v>
      </c>
      <c r="BC269" s="616">
        <f t="shared" si="377"/>
        <v>0</v>
      </c>
      <c r="BD269" s="616">
        <f t="shared" si="378"/>
        <v>0</v>
      </c>
      <c r="BE269" s="616">
        <f t="shared" si="379"/>
        <v>0</v>
      </c>
      <c r="BF269" s="616">
        <f t="shared" si="380"/>
        <v>0</v>
      </c>
      <c r="BG269" s="616"/>
      <c r="BH269" s="615">
        <f t="shared" si="381"/>
        <v>0</v>
      </c>
      <c r="BI269" s="616">
        <f t="shared" si="382"/>
        <v>0</v>
      </c>
      <c r="BJ269" s="616">
        <f t="shared" si="383"/>
        <v>0</v>
      </c>
      <c r="BK269" s="616">
        <f t="shared" si="384"/>
        <v>0</v>
      </c>
      <c r="BL269" s="616">
        <f t="shared" si="385"/>
        <v>0</v>
      </c>
      <c r="BM269" s="616">
        <f t="shared" si="386"/>
        <v>0</v>
      </c>
      <c r="BN269" s="616">
        <f t="shared" si="387"/>
        <v>0</v>
      </c>
      <c r="BO269" s="616"/>
      <c r="BP269" s="304"/>
    </row>
    <row r="270" s="131" customFormat="1" ht="36" spans="1:68">
      <c r="A270" s="497" t="s">
        <v>261</v>
      </c>
      <c r="B270" s="497" t="s">
        <v>206</v>
      </c>
      <c r="C270" s="497" t="s">
        <v>573</v>
      </c>
      <c r="D270" s="497" t="s">
        <v>574</v>
      </c>
      <c r="E270" s="617">
        <f t="shared" si="388"/>
        <v>0</v>
      </c>
      <c r="F270" s="617">
        <f t="shared" si="353"/>
        <v>0</v>
      </c>
      <c r="G270" s="618"/>
      <c r="H270" s="618"/>
      <c r="I270" s="618"/>
      <c r="J270" s="618"/>
      <c r="K270" s="618"/>
      <c r="L270" s="618"/>
      <c r="M270" s="617">
        <f t="shared" si="389"/>
        <v>0</v>
      </c>
      <c r="N270" s="618"/>
      <c r="O270" s="618"/>
      <c r="P270" s="618"/>
      <c r="Q270" s="618"/>
      <c r="R270" s="617">
        <f t="shared" si="390"/>
        <v>0</v>
      </c>
      <c r="S270" s="615">
        <f t="shared" si="354"/>
        <v>0</v>
      </c>
      <c r="T270" s="619"/>
      <c r="U270" s="619"/>
      <c r="V270" s="619"/>
      <c r="W270" s="618"/>
      <c r="X270" s="618"/>
      <c r="Y270" s="618"/>
      <c r="Z270" s="617">
        <f t="shared" si="391"/>
        <v>0</v>
      </c>
      <c r="AA270" s="619"/>
      <c r="AB270" s="618"/>
      <c r="AC270" s="618"/>
      <c r="AD270" s="618"/>
      <c r="AE270" s="615">
        <f t="shared" si="392"/>
        <v>0</v>
      </c>
      <c r="AF270" s="615">
        <f t="shared" si="393"/>
        <v>0</v>
      </c>
      <c r="AG270" s="616">
        <f t="shared" si="394"/>
        <v>0</v>
      </c>
      <c r="AH270" s="616">
        <f t="shared" si="395"/>
        <v>0</v>
      </c>
      <c r="AI270" s="616">
        <f t="shared" si="396"/>
        <v>0</v>
      </c>
      <c r="AJ270" s="616">
        <f t="shared" si="397"/>
        <v>0</v>
      </c>
      <c r="AK270" s="616">
        <f t="shared" si="398"/>
        <v>0</v>
      </c>
      <c r="AL270" s="616">
        <f t="shared" si="399"/>
        <v>0</v>
      </c>
      <c r="AM270" s="615">
        <f t="shared" si="400"/>
        <v>0</v>
      </c>
      <c r="AN270" s="616">
        <f t="shared" si="401"/>
        <v>0</v>
      </c>
      <c r="AO270" s="616">
        <f t="shared" si="402"/>
        <v>0</v>
      </c>
      <c r="AP270" s="616">
        <f t="shared" si="403"/>
        <v>0</v>
      </c>
      <c r="AQ270" s="637">
        <f t="shared" si="404"/>
        <v>0</v>
      </c>
      <c r="AR270" s="639">
        <f t="shared" si="405"/>
        <v>0</v>
      </c>
      <c r="AS270" s="616">
        <f t="shared" si="368"/>
        <v>0</v>
      </c>
      <c r="AT270" s="616">
        <f t="shared" si="369"/>
        <v>0</v>
      </c>
      <c r="AU270" s="616">
        <f t="shared" si="370"/>
        <v>0</v>
      </c>
      <c r="AV270" s="616">
        <f t="shared" si="371"/>
        <v>0</v>
      </c>
      <c r="AW270" s="616">
        <f t="shared" si="372"/>
        <v>0</v>
      </c>
      <c r="AX270" s="616">
        <f t="shared" si="373"/>
        <v>0</v>
      </c>
      <c r="AY270" s="618"/>
      <c r="AZ270" s="615">
        <f t="shared" si="374"/>
        <v>0</v>
      </c>
      <c r="BA270" s="616">
        <f t="shared" si="375"/>
        <v>0</v>
      </c>
      <c r="BB270" s="616">
        <f t="shared" si="376"/>
        <v>0</v>
      </c>
      <c r="BC270" s="616">
        <f t="shared" si="377"/>
        <v>0</v>
      </c>
      <c r="BD270" s="616">
        <f t="shared" si="378"/>
        <v>0</v>
      </c>
      <c r="BE270" s="616">
        <f t="shared" si="379"/>
        <v>0</v>
      </c>
      <c r="BF270" s="616">
        <f t="shared" si="380"/>
        <v>0</v>
      </c>
      <c r="BG270" s="616"/>
      <c r="BH270" s="615">
        <f t="shared" si="381"/>
        <v>0</v>
      </c>
      <c r="BI270" s="616">
        <f t="shared" si="382"/>
        <v>0</v>
      </c>
      <c r="BJ270" s="616">
        <f t="shared" si="383"/>
        <v>0</v>
      </c>
      <c r="BK270" s="616">
        <f t="shared" si="384"/>
        <v>0</v>
      </c>
      <c r="BL270" s="616">
        <f t="shared" si="385"/>
        <v>0</v>
      </c>
      <c r="BM270" s="616">
        <f t="shared" si="386"/>
        <v>0</v>
      </c>
      <c r="BN270" s="616">
        <f t="shared" si="387"/>
        <v>0</v>
      </c>
      <c r="BO270" s="616"/>
      <c r="BP270" s="304"/>
    </row>
    <row r="271" s="131" customFormat="1" ht="36" spans="1:68">
      <c r="A271" s="497" t="s">
        <v>261</v>
      </c>
      <c r="B271" s="497" t="s">
        <v>206</v>
      </c>
      <c r="C271" s="497" t="s">
        <v>575</v>
      </c>
      <c r="D271" s="497" t="s">
        <v>574</v>
      </c>
      <c r="E271" s="617">
        <f t="shared" si="388"/>
        <v>0</v>
      </c>
      <c r="F271" s="617">
        <f t="shared" si="353"/>
        <v>0</v>
      </c>
      <c r="G271" s="618"/>
      <c r="H271" s="618"/>
      <c r="I271" s="618"/>
      <c r="J271" s="618"/>
      <c r="K271" s="618"/>
      <c r="L271" s="618"/>
      <c r="M271" s="617">
        <f t="shared" si="389"/>
        <v>0</v>
      </c>
      <c r="N271" s="618"/>
      <c r="O271" s="618"/>
      <c r="P271" s="618"/>
      <c r="Q271" s="618"/>
      <c r="R271" s="617">
        <f t="shared" si="390"/>
        <v>0</v>
      </c>
      <c r="S271" s="615">
        <f t="shared" si="354"/>
        <v>0</v>
      </c>
      <c r="T271" s="619"/>
      <c r="U271" s="619"/>
      <c r="V271" s="619"/>
      <c r="W271" s="618"/>
      <c r="X271" s="618"/>
      <c r="Y271" s="618"/>
      <c r="Z271" s="617">
        <f t="shared" si="391"/>
        <v>0</v>
      </c>
      <c r="AA271" s="619"/>
      <c r="AB271" s="619"/>
      <c r="AC271" s="618"/>
      <c r="AD271" s="618"/>
      <c r="AE271" s="615">
        <f t="shared" si="392"/>
        <v>0</v>
      </c>
      <c r="AF271" s="615">
        <f t="shared" si="393"/>
        <v>0</v>
      </c>
      <c r="AG271" s="616">
        <f t="shared" si="394"/>
        <v>0</v>
      </c>
      <c r="AH271" s="616">
        <f t="shared" si="395"/>
        <v>0</v>
      </c>
      <c r="AI271" s="616">
        <f t="shared" si="396"/>
        <v>0</v>
      </c>
      <c r="AJ271" s="616">
        <f t="shared" si="397"/>
        <v>0</v>
      </c>
      <c r="AK271" s="616">
        <f t="shared" si="398"/>
        <v>0</v>
      </c>
      <c r="AL271" s="616">
        <f t="shared" si="399"/>
        <v>0</v>
      </c>
      <c r="AM271" s="615">
        <f t="shared" si="400"/>
        <v>0</v>
      </c>
      <c r="AN271" s="616">
        <f t="shared" si="401"/>
        <v>0</v>
      </c>
      <c r="AO271" s="616">
        <f t="shared" si="402"/>
        <v>0</v>
      </c>
      <c r="AP271" s="616">
        <f t="shared" si="403"/>
        <v>0</v>
      </c>
      <c r="AQ271" s="637">
        <f t="shared" si="404"/>
        <v>0</v>
      </c>
      <c r="AR271" s="639">
        <f t="shared" si="405"/>
        <v>0</v>
      </c>
      <c r="AS271" s="616">
        <f t="shared" si="368"/>
        <v>0</v>
      </c>
      <c r="AT271" s="616">
        <f t="shared" si="369"/>
        <v>0</v>
      </c>
      <c r="AU271" s="616">
        <f t="shared" si="370"/>
        <v>0</v>
      </c>
      <c r="AV271" s="616">
        <f t="shared" si="371"/>
        <v>0</v>
      </c>
      <c r="AW271" s="616">
        <f t="shared" si="372"/>
        <v>0</v>
      </c>
      <c r="AX271" s="616">
        <f t="shared" si="373"/>
        <v>0</v>
      </c>
      <c r="AY271" s="618"/>
      <c r="AZ271" s="615">
        <f t="shared" si="374"/>
        <v>0</v>
      </c>
      <c r="BA271" s="616">
        <f t="shared" si="375"/>
        <v>0</v>
      </c>
      <c r="BB271" s="616">
        <f t="shared" si="376"/>
        <v>0</v>
      </c>
      <c r="BC271" s="616">
        <f t="shared" si="377"/>
        <v>0</v>
      </c>
      <c r="BD271" s="616">
        <f t="shared" si="378"/>
        <v>0</v>
      </c>
      <c r="BE271" s="616">
        <f t="shared" si="379"/>
        <v>0</v>
      </c>
      <c r="BF271" s="616">
        <f t="shared" si="380"/>
        <v>0</v>
      </c>
      <c r="BG271" s="616"/>
      <c r="BH271" s="615">
        <f t="shared" si="381"/>
        <v>0</v>
      </c>
      <c r="BI271" s="616">
        <f t="shared" si="382"/>
        <v>0</v>
      </c>
      <c r="BJ271" s="616">
        <f t="shared" si="383"/>
        <v>0</v>
      </c>
      <c r="BK271" s="616">
        <f t="shared" si="384"/>
        <v>0</v>
      </c>
      <c r="BL271" s="616">
        <f t="shared" si="385"/>
        <v>0</v>
      </c>
      <c r="BM271" s="616">
        <f t="shared" si="386"/>
        <v>0</v>
      </c>
      <c r="BN271" s="616">
        <f t="shared" si="387"/>
        <v>0</v>
      </c>
      <c r="BO271" s="616"/>
      <c r="BP271" s="304"/>
    </row>
    <row r="272" s="131" customFormat="1" ht="36" spans="1:68">
      <c r="A272" s="497" t="s">
        <v>261</v>
      </c>
      <c r="B272" s="497" t="s">
        <v>206</v>
      </c>
      <c r="C272" s="497" t="s">
        <v>576</v>
      </c>
      <c r="D272" s="497" t="s">
        <v>574</v>
      </c>
      <c r="E272" s="617">
        <f t="shared" si="388"/>
        <v>0</v>
      </c>
      <c r="F272" s="617">
        <f t="shared" si="353"/>
        <v>0</v>
      </c>
      <c r="G272" s="618"/>
      <c r="H272" s="618"/>
      <c r="I272" s="618"/>
      <c r="J272" s="618"/>
      <c r="K272" s="618"/>
      <c r="L272" s="618"/>
      <c r="M272" s="617">
        <f t="shared" si="389"/>
        <v>0</v>
      </c>
      <c r="N272" s="618"/>
      <c r="O272" s="618"/>
      <c r="P272" s="618"/>
      <c r="Q272" s="618"/>
      <c r="R272" s="617">
        <f t="shared" si="390"/>
        <v>0</v>
      </c>
      <c r="S272" s="615">
        <f t="shared" si="354"/>
        <v>0</v>
      </c>
      <c r="T272" s="619"/>
      <c r="U272" s="619"/>
      <c r="V272" s="619"/>
      <c r="W272" s="618"/>
      <c r="X272" s="618"/>
      <c r="Y272" s="618"/>
      <c r="Z272" s="617">
        <f t="shared" si="391"/>
        <v>0</v>
      </c>
      <c r="AA272" s="619"/>
      <c r="AB272" s="619"/>
      <c r="AC272" s="618"/>
      <c r="AD272" s="618"/>
      <c r="AE272" s="615">
        <f t="shared" si="392"/>
        <v>0</v>
      </c>
      <c r="AF272" s="615">
        <f t="shared" si="393"/>
        <v>0</v>
      </c>
      <c r="AG272" s="616">
        <f t="shared" si="394"/>
        <v>0</v>
      </c>
      <c r="AH272" s="616">
        <f t="shared" si="395"/>
        <v>0</v>
      </c>
      <c r="AI272" s="616">
        <f t="shared" si="396"/>
        <v>0</v>
      </c>
      <c r="AJ272" s="616">
        <f t="shared" si="397"/>
        <v>0</v>
      </c>
      <c r="AK272" s="616">
        <f t="shared" si="398"/>
        <v>0</v>
      </c>
      <c r="AL272" s="616">
        <f t="shared" si="399"/>
        <v>0</v>
      </c>
      <c r="AM272" s="615">
        <f t="shared" si="400"/>
        <v>0</v>
      </c>
      <c r="AN272" s="616">
        <f t="shared" si="401"/>
        <v>0</v>
      </c>
      <c r="AO272" s="616">
        <f t="shared" si="402"/>
        <v>0</v>
      </c>
      <c r="AP272" s="616">
        <f t="shared" si="403"/>
        <v>0</v>
      </c>
      <c r="AQ272" s="637">
        <f t="shared" si="404"/>
        <v>0</v>
      </c>
      <c r="AR272" s="639">
        <f t="shared" si="405"/>
        <v>0</v>
      </c>
      <c r="AS272" s="616">
        <f t="shared" si="368"/>
        <v>0</v>
      </c>
      <c r="AT272" s="616">
        <f t="shared" si="369"/>
        <v>0</v>
      </c>
      <c r="AU272" s="616">
        <f t="shared" si="370"/>
        <v>0</v>
      </c>
      <c r="AV272" s="616">
        <f t="shared" si="371"/>
        <v>0</v>
      </c>
      <c r="AW272" s="616">
        <f t="shared" si="372"/>
        <v>0</v>
      </c>
      <c r="AX272" s="616">
        <f t="shared" si="373"/>
        <v>0</v>
      </c>
      <c r="AY272" s="618"/>
      <c r="AZ272" s="615">
        <f t="shared" si="374"/>
        <v>0</v>
      </c>
      <c r="BA272" s="616">
        <f t="shared" si="375"/>
        <v>0</v>
      </c>
      <c r="BB272" s="616">
        <f t="shared" si="376"/>
        <v>0</v>
      </c>
      <c r="BC272" s="616">
        <f t="shared" si="377"/>
        <v>0</v>
      </c>
      <c r="BD272" s="616">
        <f t="shared" si="378"/>
        <v>0</v>
      </c>
      <c r="BE272" s="616">
        <f t="shared" si="379"/>
        <v>0</v>
      </c>
      <c r="BF272" s="616">
        <f t="shared" si="380"/>
        <v>0</v>
      </c>
      <c r="BG272" s="616"/>
      <c r="BH272" s="615">
        <f t="shared" si="381"/>
        <v>0</v>
      </c>
      <c r="BI272" s="616">
        <f t="shared" si="382"/>
        <v>0</v>
      </c>
      <c r="BJ272" s="616">
        <f t="shared" si="383"/>
        <v>0</v>
      </c>
      <c r="BK272" s="616">
        <f t="shared" si="384"/>
        <v>0</v>
      </c>
      <c r="BL272" s="616">
        <f t="shared" si="385"/>
        <v>0</v>
      </c>
      <c r="BM272" s="616">
        <f t="shared" si="386"/>
        <v>0</v>
      </c>
      <c r="BN272" s="616">
        <f t="shared" si="387"/>
        <v>0</v>
      </c>
      <c r="BO272" s="616"/>
      <c r="BP272" s="304"/>
    </row>
    <row r="273" s="131" customFormat="1" ht="36" spans="1:68">
      <c r="A273" s="497" t="s">
        <v>261</v>
      </c>
      <c r="B273" s="497" t="s">
        <v>206</v>
      </c>
      <c r="C273" s="497" t="s">
        <v>577</v>
      </c>
      <c r="D273" s="497" t="s">
        <v>578</v>
      </c>
      <c r="E273" s="617">
        <f t="shared" si="388"/>
        <v>0</v>
      </c>
      <c r="F273" s="617">
        <f t="shared" si="353"/>
        <v>0</v>
      </c>
      <c r="G273" s="618"/>
      <c r="H273" s="618"/>
      <c r="I273" s="618"/>
      <c r="J273" s="618"/>
      <c r="K273" s="618"/>
      <c r="L273" s="618"/>
      <c r="M273" s="617">
        <f t="shared" si="389"/>
        <v>0</v>
      </c>
      <c r="N273" s="618"/>
      <c r="O273" s="618"/>
      <c r="P273" s="618"/>
      <c r="Q273" s="618"/>
      <c r="R273" s="617">
        <f t="shared" si="390"/>
        <v>0</v>
      </c>
      <c r="S273" s="615">
        <f t="shared" si="354"/>
        <v>0</v>
      </c>
      <c r="T273" s="619"/>
      <c r="U273" s="619"/>
      <c r="V273" s="619"/>
      <c r="W273" s="618"/>
      <c r="X273" s="618"/>
      <c r="Y273" s="618"/>
      <c r="Z273" s="617">
        <f t="shared" si="391"/>
        <v>0</v>
      </c>
      <c r="AA273" s="619"/>
      <c r="AB273" s="618"/>
      <c r="AC273" s="618"/>
      <c r="AD273" s="618"/>
      <c r="AE273" s="615">
        <f t="shared" si="392"/>
        <v>0</v>
      </c>
      <c r="AF273" s="615">
        <f t="shared" si="393"/>
        <v>0</v>
      </c>
      <c r="AG273" s="616">
        <f t="shared" si="394"/>
        <v>0</v>
      </c>
      <c r="AH273" s="616">
        <f t="shared" si="395"/>
        <v>0</v>
      </c>
      <c r="AI273" s="616">
        <f t="shared" si="396"/>
        <v>0</v>
      </c>
      <c r="AJ273" s="616">
        <f t="shared" si="397"/>
        <v>0</v>
      </c>
      <c r="AK273" s="616">
        <f t="shared" si="398"/>
        <v>0</v>
      </c>
      <c r="AL273" s="616">
        <f t="shared" si="399"/>
        <v>0</v>
      </c>
      <c r="AM273" s="615">
        <f t="shared" si="400"/>
        <v>0</v>
      </c>
      <c r="AN273" s="616">
        <f t="shared" si="401"/>
        <v>0</v>
      </c>
      <c r="AO273" s="616">
        <f t="shared" si="402"/>
        <v>0</v>
      </c>
      <c r="AP273" s="616">
        <f t="shared" si="403"/>
        <v>0</v>
      </c>
      <c r="AQ273" s="637">
        <f t="shared" si="404"/>
        <v>0</v>
      </c>
      <c r="AR273" s="639">
        <f t="shared" si="405"/>
        <v>0</v>
      </c>
      <c r="AS273" s="616">
        <f t="shared" si="368"/>
        <v>0</v>
      </c>
      <c r="AT273" s="616">
        <f t="shared" si="369"/>
        <v>0</v>
      </c>
      <c r="AU273" s="616">
        <f t="shared" si="370"/>
        <v>0</v>
      </c>
      <c r="AV273" s="616">
        <f t="shared" si="371"/>
        <v>0</v>
      </c>
      <c r="AW273" s="616">
        <f t="shared" si="372"/>
        <v>0</v>
      </c>
      <c r="AX273" s="616">
        <f t="shared" si="373"/>
        <v>0</v>
      </c>
      <c r="AY273" s="618"/>
      <c r="AZ273" s="615">
        <f t="shared" si="374"/>
        <v>0</v>
      </c>
      <c r="BA273" s="616">
        <f t="shared" si="375"/>
        <v>0</v>
      </c>
      <c r="BB273" s="616">
        <f t="shared" si="376"/>
        <v>0</v>
      </c>
      <c r="BC273" s="616">
        <f t="shared" si="377"/>
        <v>0</v>
      </c>
      <c r="BD273" s="616">
        <f t="shared" si="378"/>
        <v>0</v>
      </c>
      <c r="BE273" s="616">
        <f t="shared" si="379"/>
        <v>0</v>
      </c>
      <c r="BF273" s="616">
        <f t="shared" si="380"/>
        <v>0</v>
      </c>
      <c r="BG273" s="616"/>
      <c r="BH273" s="615">
        <f t="shared" si="381"/>
        <v>0</v>
      </c>
      <c r="BI273" s="616">
        <f t="shared" si="382"/>
        <v>0</v>
      </c>
      <c r="BJ273" s="616">
        <f t="shared" si="383"/>
        <v>0</v>
      </c>
      <c r="BK273" s="616">
        <f t="shared" si="384"/>
        <v>0</v>
      </c>
      <c r="BL273" s="616">
        <f t="shared" si="385"/>
        <v>0</v>
      </c>
      <c r="BM273" s="616">
        <f t="shared" si="386"/>
        <v>0</v>
      </c>
      <c r="BN273" s="616">
        <f t="shared" si="387"/>
        <v>0</v>
      </c>
      <c r="BO273" s="616"/>
      <c r="BP273" s="304"/>
    </row>
    <row r="274" s="131" customFormat="1" ht="36" spans="1:68">
      <c r="A274" s="497" t="s">
        <v>261</v>
      </c>
      <c r="B274" s="497" t="s">
        <v>206</v>
      </c>
      <c r="C274" s="497" t="s">
        <v>579</v>
      </c>
      <c r="D274" s="497" t="s">
        <v>580</v>
      </c>
      <c r="E274" s="617">
        <f t="shared" si="388"/>
        <v>0</v>
      </c>
      <c r="F274" s="617">
        <f t="shared" si="353"/>
        <v>0</v>
      </c>
      <c r="G274" s="618"/>
      <c r="H274" s="618"/>
      <c r="I274" s="618"/>
      <c r="J274" s="618"/>
      <c r="K274" s="618"/>
      <c r="L274" s="618"/>
      <c r="M274" s="617">
        <f t="shared" si="389"/>
        <v>0</v>
      </c>
      <c r="N274" s="618"/>
      <c r="O274" s="618"/>
      <c r="P274" s="618"/>
      <c r="Q274" s="618"/>
      <c r="R274" s="617">
        <f t="shared" si="390"/>
        <v>0</v>
      </c>
      <c r="S274" s="615">
        <f t="shared" si="354"/>
        <v>0</v>
      </c>
      <c r="T274" s="618"/>
      <c r="U274" s="618"/>
      <c r="V274" s="618"/>
      <c r="W274" s="618"/>
      <c r="X274" s="618"/>
      <c r="Y274" s="618"/>
      <c r="Z274" s="617">
        <f t="shared" si="391"/>
        <v>0</v>
      </c>
      <c r="AA274" s="618"/>
      <c r="AB274" s="618"/>
      <c r="AC274" s="618"/>
      <c r="AD274" s="618"/>
      <c r="AE274" s="615">
        <f t="shared" si="392"/>
        <v>0</v>
      </c>
      <c r="AF274" s="615">
        <f t="shared" si="393"/>
        <v>0</v>
      </c>
      <c r="AG274" s="616">
        <f t="shared" si="394"/>
        <v>0</v>
      </c>
      <c r="AH274" s="616">
        <f t="shared" si="395"/>
        <v>0</v>
      </c>
      <c r="AI274" s="616">
        <f t="shared" si="396"/>
        <v>0</v>
      </c>
      <c r="AJ274" s="616">
        <f t="shared" si="397"/>
        <v>0</v>
      </c>
      <c r="AK274" s="616">
        <f t="shared" si="398"/>
        <v>0</v>
      </c>
      <c r="AL274" s="616">
        <f t="shared" si="399"/>
        <v>0</v>
      </c>
      <c r="AM274" s="615">
        <f t="shared" si="400"/>
        <v>0</v>
      </c>
      <c r="AN274" s="616">
        <f t="shared" si="401"/>
        <v>0</v>
      </c>
      <c r="AO274" s="616">
        <f t="shared" si="402"/>
        <v>0</v>
      </c>
      <c r="AP274" s="616">
        <f t="shared" si="403"/>
        <v>0</v>
      </c>
      <c r="AQ274" s="637">
        <f t="shared" si="404"/>
        <v>0</v>
      </c>
      <c r="AR274" s="639">
        <f t="shared" si="405"/>
        <v>0</v>
      </c>
      <c r="AS274" s="616">
        <f t="shared" si="368"/>
        <v>0</v>
      </c>
      <c r="AT274" s="616">
        <f t="shared" si="369"/>
        <v>0</v>
      </c>
      <c r="AU274" s="616">
        <f t="shared" si="370"/>
        <v>0</v>
      </c>
      <c r="AV274" s="616">
        <f t="shared" si="371"/>
        <v>0</v>
      </c>
      <c r="AW274" s="616">
        <f t="shared" si="372"/>
        <v>0</v>
      </c>
      <c r="AX274" s="616">
        <f t="shared" si="373"/>
        <v>0</v>
      </c>
      <c r="AY274" s="618"/>
      <c r="AZ274" s="615">
        <f t="shared" si="374"/>
        <v>0</v>
      </c>
      <c r="BA274" s="616">
        <f t="shared" si="375"/>
        <v>0</v>
      </c>
      <c r="BB274" s="616">
        <f t="shared" si="376"/>
        <v>0</v>
      </c>
      <c r="BC274" s="616">
        <f t="shared" si="377"/>
        <v>0</v>
      </c>
      <c r="BD274" s="616">
        <f t="shared" si="378"/>
        <v>0</v>
      </c>
      <c r="BE274" s="616">
        <f t="shared" si="379"/>
        <v>0</v>
      </c>
      <c r="BF274" s="616">
        <f t="shared" si="380"/>
        <v>0</v>
      </c>
      <c r="BG274" s="616"/>
      <c r="BH274" s="615">
        <f t="shared" si="381"/>
        <v>0</v>
      </c>
      <c r="BI274" s="616">
        <f t="shared" si="382"/>
        <v>0</v>
      </c>
      <c r="BJ274" s="616">
        <f t="shared" si="383"/>
        <v>0</v>
      </c>
      <c r="BK274" s="616">
        <f t="shared" si="384"/>
        <v>0</v>
      </c>
      <c r="BL274" s="616">
        <f t="shared" si="385"/>
        <v>0</v>
      </c>
      <c r="BM274" s="616">
        <f t="shared" si="386"/>
        <v>0</v>
      </c>
      <c r="BN274" s="616">
        <f t="shared" si="387"/>
        <v>0</v>
      </c>
      <c r="BO274" s="616"/>
      <c r="BP274" s="304"/>
    </row>
    <row r="275" s="131" customFormat="1" ht="36" spans="1:68">
      <c r="A275" s="497" t="s">
        <v>261</v>
      </c>
      <c r="B275" s="497" t="s">
        <v>206</v>
      </c>
      <c r="C275" s="497" t="s">
        <v>581</v>
      </c>
      <c r="D275" s="497" t="s">
        <v>580</v>
      </c>
      <c r="E275" s="617">
        <f t="shared" si="388"/>
        <v>0</v>
      </c>
      <c r="F275" s="617">
        <f t="shared" si="353"/>
        <v>0</v>
      </c>
      <c r="G275" s="618"/>
      <c r="H275" s="618"/>
      <c r="I275" s="618"/>
      <c r="J275" s="618"/>
      <c r="K275" s="618"/>
      <c r="L275" s="618"/>
      <c r="M275" s="617">
        <f t="shared" si="389"/>
        <v>0</v>
      </c>
      <c r="N275" s="618"/>
      <c r="O275" s="618"/>
      <c r="P275" s="618"/>
      <c r="Q275" s="618"/>
      <c r="R275" s="617">
        <f t="shared" si="390"/>
        <v>0</v>
      </c>
      <c r="S275" s="615">
        <f t="shared" si="354"/>
        <v>0</v>
      </c>
      <c r="T275" s="618"/>
      <c r="U275" s="618"/>
      <c r="V275" s="618"/>
      <c r="W275" s="618"/>
      <c r="X275" s="618"/>
      <c r="Y275" s="618"/>
      <c r="Z275" s="617">
        <f t="shared" si="391"/>
        <v>0</v>
      </c>
      <c r="AA275" s="618"/>
      <c r="AB275" s="618"/>
      <c r="AC275" s="618"/>
      <c r="AD275" s="618"/>
      <c r="AE275" s="615">
        <f t="shared" si="392"/>
        <v>0</v>
      </c>
      <c r="AF275" s="615">
        <f t="shared" si="393"/>
        <v>0</v>
      </c>
      <c r="AG275" s="616">
        <f t="shared" si="394"/>
        <v>0</v>
      </c>
      <c r="AH275" s="616">
        <f t="shared" si="395"/>
        <v>0</v>
      </c>
      <c r="AI275" s="616">
        <f t="shared" si="396"/>
        <v>0</v>
      </c>
      <c r="AJ275" s="616">
        <f t="shared" si="397"/>
        <v>0</v>
      </c>
      <c r="AK275" s="616">
        <f t="shared" si="398"/>
        <v>0</v>
      </c>
      <c r="AL275" s="616">
        <f t="shared" si="399"/>
        <v>0</v>
      </c>
      <c r="AM275" s="615">
        <f t="shared" si="400"/>
        <v>0</v>
      </c>
      <c r="AN275" s="616">
        <f t="shared" si="401"/>
        <v>0</v>
      </c>
      <c r="AO275" s="616">
        <f t="shared" si="402"/>
        <v>0</v>
      </c>
      <c r="AP275" s="616">
        <f t="shared" si="403"/>
        <v>0</v>
      </c>
      <c r="AQ275" s="637">
        <f t="shared" si="404"/>
        <v>0</v>
      </c>
      <c r="AR275" s="639">
        <f t="shared" si="405"/>
        <v>0</v>
      </c>
      <c r="AS275" s="616">
        <f t="shared" si="368"/>
        <v>0</v>
      </c>
      <c r="AT275" s="616">
        <f t="shared" si="369"/>
        <v>0</v>
      </c>
      <c r="AU275" s="616">
        <f t="shared" si="370"/>
        <v>0</v>
      </c>
      <c r="AV275" s="616">
        <f t="shared" si="371"/>
        <v>0</v>
      </c>
      <c r="AW275" s="616">
        <f t="shared" si="372"/>
        <v>0</v>
      </c>
      <c r="AX275" s="616">
        <f t="shared" si="373"/>
        <v>0</v>
      </c>
      <c r="AY275" s="618"/>
      <c r="AZ275" s="615">
        <f t="shared" si="374"/>
        <v>0</v>
      </c>
      <c r="BA275" s="616">
        <f t="shared" si="375"/>
        <v>0</v>
      </c>
      <c r="BB275" s="616">
        <f t="shared" si="376"/>
        <v>0</v>
      </c>
      <c r="BC275" s="616">
        <f t="shared" si="377"/>
        <v>0</v>
      </c>
      <c r="BD275" s="616">
        <f t="shared" si="378"/>
        <v>0</v>
      </c>
      <c r="BE275" s="616">
        <f t="shared" si="379"/>
        <v>0</v>
      </c>
      <c r="BF275" s="616">
        <f t="shared" si="380"/>
        <v>0</v>
      </c>
      <c r="BG275" s="616"/>
      <c r="BH275" s="615">
        <f t="shared" si="381"/>
        <v>0</v>
      </c>
      <c r="BI275" s="616">
        <f t="shared" si="382"/>
        <v>0</v>
      </c>
      <c r="BJ275" s="616">
        <f t="shared" si="383"/>
        <v>0</v>
      </c>
      <c r="BK275" s="616">
        <f t="shared" si="384"/>
        <v>0</v>
      </c>
      <c r="BL275" s="616">
        <f t="shared" si="385"/>
        <v>0</v>
      </c>
      <c r="BM275" s="616">
        <f t="shared" si="386"/>
        <v>0</v>
      </c>
      <c r="BN275" s="616">
        <f t="shared" si="387"/>
        <v>0</v>
      </c>
      <c r="BO275" s="616"/>
      <c r="BP275" s="304"/>
    </row>
    <row r="276" s="131" customFormat="1" ht="36" spans="1:68">
      <c r="A276" s="497" t="s">
        <v>261</v>
      </c>
      <c r="B276" s="497" t="s">
        <v>206</v>
      </c>
      <c r="C276" s="497" t="s">
        <v>582</v>
      </c>
      <c r="D276" s="497" t="s">
        <v>583</v>
      </c>
      <c r="E276" s="617">
        <f t="shared" si="388"/>
        <v>0</v>
      </c>
      <c r="F276" s="617">
        <f t="shared" si="353"/>
        <v>0</v>
      </c>
      <c r="G276" s="618"/>
      <c r="H276" s="618"/>
      <c r="I276" s="618"/>
      <c r="J276" s="618"/>
      <c r="K276" s="618"/>
      <c r="L276" s="618"/>
      <c r="M276" s="617">
        <f t="shared" si="389"/>
        <v>0</v>
      </c>
      <c r="N276" s="618"/>
      <c r="O276" s="618"/>
      <c r="P276" s="618"/>
      <c r="Q276" s="618"/>
      <c r="R276" s="617">
        <f t="shared" si="390"/>
        <v>0</v>
      </c>
      <c r="S276" s="615">
        <f t="shared" si="354"/>
        <v>0</v>
      </c>
      <c r="T276" s="619"/>
      <c r="U276" s="619"/>
      <c r="V276" s="619"/>
      <c r="W276" s="618"/>
      <c r="X276" s="618"/>
      <c r="Y276" s="618"/>
      <c r="Z276" s="617">
        <f t="shared" si="391"/>
        <v>0</v>
      </c>
      <c r="AA276" s="619"/>
      <c r="AB276" s="619"/>
      <c r="AC276" s="618"/>
      <c r="AD276" s="618"/>
      <c r="AE276" s="615">
        <f t="shared" si="392"/>
        <v>0</v>
      </c>
      <c r="AF276" s="615">
        <f t="shared" si="393"/>
        <v>0</v>
      </c>
      <c r="AG276" s="616">
        <f t="shared" si="394"/>
        <v>0</v>
      </c>
      <c r="AH276" s="616">
        <f t="shared" si="395"/>
        <v>0</v>
      </c>
      <c r="AI276" s="616">
        <f t="shared" si="396"/>
        <v>0</v>
      </c>
      <c r="AJ276" s="616">
        <f t="shared" si="397"/>
        <v>0</v>
      </c>
      <c r="AK276" s="616">
        <f t="shared" si="398"/>
        <v>0</v>
      </c>
      <c r="AL276" s="616">
        <f t="shared" si="399"/>
        <v>0</v>
      </c>
      <c r="AM276" s="615">
        <f t="shared" si="400"/>
        <v>0</v>
      </c>
      <c r="AN276" s="616">
        <f t="shared" si="401"/>
        <v>0</v>
      </c>
      <c r="AO276" s="616">
        <f t="shared" si="402"/>
        <v>0</v>
      </c>
      <c r="AP276" s="616">
        <f t="shared" si="403"/>
        <v>0</v>
      </c>
      <c r="AQ276" s="637">
        <f t="shared" si="404"/>
        <v>0</v>
      </c>
      <c r="AR276" s="639">
        <f t="shared" si="405"/>
        <v>0</v>
      </c>
      <c r="AS276" s="616">
        <f t="shared" si="368"/>
        <v>0</v>
      </c>
      <c r="AT276" s="616">
        <f t="shared" si="369"/>
        <v>0</v>
      </c>
      <c r="AU276" s="616">
        <f t="shared" si="370"/>
        <v>0</v>
      </c>
      <c r="AV276" s="616">
        <f t="shared" si="371"/>
        <v>0</v>
      </c>
      <c r="AW276" s="616">
        <f t="shared" si="372"/>
        <v>0</v>
      </c>
      <c r="AX276" s="616">
        <f t="shared" si="373"/>
        <v>0</v>
      </c>
      <c r="AY276" s="618"/>
      <c r="AZ276" s="615">
        <f t="shared" si="374"/>
        <v>0</v>
      </c>
      <c r="BA276" s="616">
        <f t="shared" si="375"/>
        <v>0</v>
      </c>
      <c r="BB276" s="616">
        <f t="shared" si="376"/>
        <v>0</v>
      </c>
      <c r="BC276" s="616">
        <f t="shared" si="377"/>
        <v>0</v>
      </c>
      <c r="BD276" s="616">
        <f t="shared" si="378"/>
        <v>0</v>
      </c>
      <c r="BE276" s="616">
        <f t="shared" si="379"/>
        <v>0</v>
      </c>
      <c r="BF276" s="616">
        <f t="shared" si="380"/>
        <v>0</v>
      </c>
      <c r="BG276" s="616"/>
      <c r="BH276" s="615">
        <f t="shared" si="381"/>
        <v>0</v>
      </c>
      <c r="BI276" s="616">
        <f t="shared" si="382"/>
        <v>0</v>
      </c>
      <c r="BJ276" s="616">
        <f t="shared" si="383"/>
        <v>0</v>
      </c>
      <c r="BK276" s="616">
        <f t="shared" si="384"/>
        <v>0</v>
      </c>
      <c r="BL276" s="616">
        <f t="shared" si="385"/>
        <v>0</v>
      </c>
      <c r="BM276" s="616">
        <f t="shared" si="386"/>
        <v>0</v>
      </c>
      <c r="BN276" s="616">
        <f t="shared" si="387"/>
        <v>0</v>
      </c>
      <c r="BO276" s="616"/>
      <c r="BP276" s="304"/>
    </row>
    <row r="277" s="508" customFormat="1" spans="1:69">
      <c r="A277" s="647"/>
      <c r="B277" s="647"/>
      <c r="C277" s="647" t="s">
        <v>136</v>
      </c>
      <c r="D277" s="648">
        <v>213</v>
      </c>
      <c r="E277" s="612">
        <f t="shared" ref="E277:P277" si="406">SUM(E278:E288)</f>
        <v>1121.3605</v>
      </c>
      <c r="F277" s="612">
        <f t="shared" si="406"/>
        <v>989.1605</v>
      </c>
      <c r="G277" s="612">
        <f t="shared" si="406"/>
        <v>403.1908</v>
      </c>
      <c r="H277" s="612">
        <f t="shared" si="406"/>
        <v>246.022</v>
      </c>
      <c r="I277" s="612">
        <f t="shared" si="406"/>
        <v>37.8253</v>
      </c>
      <c r="J277" s="612">
        <f t="shared" si="406"/>
        <v>3.6</v>
      </c>
      <c r="K277" s="612">
        <f t="shared" si="406"/>
        <v>0.1224</v>
      </c>
      <c r="L277" s="612">
        <f t="shared" si="406"/>
        <v>298.4</v>
      </c>
      <c r="M277" s="612">
        <f t="shared" si="406"/>
        <v>132.2</v>
      </c>
      <c r="N277" s="612">
        <f t="shared" si="406"/>
        <v>38.15</v>
      </c>
      <c r="O277" s="612">
        <f t="shared" si="406"/>
        <v>3.75</v>
      </c>
      <c r="P277" s="612">
        <f t="shared" si="406"/>
        <v>47.3</v>
      </c>
      <c r="Q277" s="612">
        <f t="shared" ref="Q277:AE277" si="407">SUM(Q278:Q288)</f>
        <v>43</v>
      </c>
      <c r="R277" s="612">
        <f t="shared" si="407"/>
        <v>-38.88</v>
      </c>
      <c r="S277" s="612">
        <f t="shared" si="407"/>
        <v>-49.38</v>
      </c>
      <c r="T277" s="612">
        <f t="shared" si="407"/>
        <v>-68.65</v>
      </c>
      <c r="U277" s="612">
        <f t="shared" si="407"/>
        <v>15.43</v>
      </c>
      <c r="V277" s="612">
        <f t="shared" si="407"/>
        <v>-5.9</v>
      </c>
      <c r="W277" s="612">
        <f t="shared" si="407"/>
        <v>0.63</v>
      </c>
      <c r="X277" s="612">
        <f t="shared" si="407"/>
        <v>0</v>
      </c>
      <c r="Y277" s="612">
        <f t="shared" si="407"/>
        <v>9.11</v>
      </c>
      <c r="Z277" s="612">
        <f t="shared" si="407"/>
        <v>10.5</v>
      </c>
      <c r="AA277" s="612">
        <f t="shared" si="407"/>
        <v>1.54</v>
      </c>
      <c r="AB277" s="612">
        <f t="shared" si="407"/>
        <v>5.7</v>
      </c>
      <c r="AC277" s="612">
        <f t="shared" si="407"/>
        <v>1.67</v>
      </c>
      <c r="AD277" s="612">
        <f t="shared" si="407"/>
        <v>1.59</v>
      </c>
      <c r="AE277" s="612">
        <f t="shared" ref="AE277:AQ277" si="408">SUM(AE278:AE288)</f>
        <v>1082.4805</v>
      </c>
      <c r="AF277" s="612">
        <f t="shared" si="408"/>
        <v>939.7805</v>
      </c>
      <c r="AG277" s="612">
        <f t="shared" si="408"/>
        <v>334.5408</v>
      </c>
      <c r="AH277" s="612">
        <f t="shared" si="408"/>
        <v>261.452</v>
      </c>
      <c r="AI277" s="612">
        <f t="shared" si="408"/>
        <v>31.9253</v>
      </c>
      <c r="AJ277" s="612">
        <f t="shared" si="408"/>
        <v>4.23</v>
      </c>
      <c r="AK277" s="612">
        <f t="shared" si="408"/>
        <v>0.1224</v>
      </c>
      <c r="AL277" s="612">
        <f t="shared" si="408"/>
        <v>307.51</v>
      </c>
      <c r="AM277" s="612">
        <f t="shared" si="408"/>
        <v>142.7</v>
      </c>
      <c r="AN277" s="612">
        <f t="shared" si="408"/>
        <v>39.69</v>
      </c>
      <c r="AO277" s="612">
        <f t="shared" si="408"/>
        <v>9.45</v>
      </c>
      <c r="AP277" s="612">
        <f t="shared" si="408"/>
        <v>48.97</v>
      </c>
      <c r="AQ277" s="635">
        <f t="shared" si="408"/>
        <v>44.59</v>
      </c>
      <c r="AR277" s="636">
        <f t="shared" ref="AR277:AY277" si="409">SUM(AR278:AR288)</f>
        <v>331.6591264</v>
      </c>
      <c r="AS277" s="612">
        <f t="shared" si="409"/>
        <v>157.670096</v>
      </c>
      <c r="AT277" s="612">
        <f t="shared" si="409"/>
        <v>51.937024</v>
      </c>
      <c r="AU277" s="612">
        <f t="shared" si="409"/>
        <v>38.952768</v>
      </c>
      <c r="AV277" s="612">
        <f t="shared" si="409"/>
        <v>1.2984256</v>
      </c>
      <c r="AW277" s="612">
        <f t="shared" si="409"/>
        <v>3.8952768</v>
      </c>
      <c r="AX277" s="612">
        <f t="shared" si="409"/>
        <v>77.905536</v>
      </c>
      <c r="AY277" s="612">
        <f t="shared" si="409"/>
        <v>0</v>
      </c>
      <c r="AZ277" s="612">
        <f t="shared" ref="AZ277:BO277" si="410">SUM(AZ278:AZ288)</f>
        <v>-22.26456</v>
      </c>
      <c r="BA277" s="612">
        <f t="shared" si="410"/>
        <v>-8.0016</v>
      </c>
      <c r="BB277" s="612">
        <f t="shared" si="410"/>
        <v>-4.2576</v>
      </c>
      <c r="BC277" s="612">
        <f t="shared" si="410"/>
        <v>-3.1932</v>
      </c>
      <c r="BD277" s="612">
        <f t="shared" si="410"/>
        <v>-0.10644</v>
      </c>
      <c r="BE277" s="612">
        <f t="shared" si="410"/>
        <v>-0.31932</v>
      </c>
      <c r="BF277" s="612">
        <f t="shared" si="410"/>
        <v>-6.3864</v>
      </c>
      <c r="BG277" s="612">
        <f t="shared" si="410"/>
        <v>0</v>
      </c>
      <c r="BH277" s="612">
        <f t="shared" si="410"/>
        <v>309.3945664</v>
      </c>
      <c r="BI277" s="612">
        <f t="shared" si="410"/>
        <v>149.668496</v>
      </c>
      <c r="BJ277" s="612">
        <f t="shared" si="410"/>
        <v>47.679424</v>
      </c>
      <c r="BK277" s="612">
        <f t="shared" si="410"/>
        <v>35.759568</v>
      </c>
      <c r="BL277" s="612">
        <f t="shared" si="410"/>
        <v>1.1919856</v>
      </c>
      <c r="BM277" s="612">
        <f t="shared" si="410"/>
        <v>3.5759568</v>
      </c>
      <c r="BN277" s="612">
        <f t="shared" si="410"/>
        <v>71.519136</v>
      </c>
      <c r="BO277" s="612">
        <f t="shared" si="410"/>
        <v>0</v>
      </c>
      <c r="BP277" s="334"/>
      <c r="BQ277" s="580"/>
    </row>
    <row r="278" s="131" customFormat="1" ht="24" spans="1:68">
      <c r="A278" s="497" t="s">
        <v>584</v>
      </c>
      <c r="B278" s="497" t="s">
        <v>203</v>
      </c>
      <c r="C278" s="497" t="s">
        <v>585</v>
      </c>
      <c r="D278" s="497" t="s">
        <v>586</v>
      </c>
      <c r="E278" s="617">
        <f t="shared" ref="E278:E288" si="411">F278+M278</f>
        <v>296.0404</v>
      </c>
      <c r="F278" s="617">
        <f t="shared" ref="F278:F288" si="412">SUM(G278:L278)</f>
        <v>269.1904</v>
      </c>
      <c r="G278" s="618">
        <v>111.8904</v>
      </c>
      <c r="H278" s="618">
        <v>66.87</v>
      </c>
      <c r="I278" s="618">
        <v>9.37</v>
      </c>
      <c r="J278" s="618"/>
      <c r="K278" s="618"/>
      <c r="L278" s="618">
        <v>81.06</v>
      </c>
      <c r="M278" s="617">
        <f t="shared" ref="M278:M288" si="413">SUM(N278:Q278)</f>
        <v>26.85</v>
      </c>
      <c r="N278" s="618"/>
      <c r="O278" s="618">
        <v>3.75</v>
      </c>
      <c r="P278" s="618">
        <v>12.1</v>
      </c>
      <c r="Q278" s="618">
        <v>11</v>
      </c>
      <c r="R278" s="617">
        <f t="shared" ref="R278:R288" si="414">S278+Z278</f>
        <v>26.5</v>
      </c>
      <c r="S278" s="615">
        <f t="shared" ref="S278:S288" si="415">SUM(T278:Y278)</f>
        <v>22.13</v>
      </c>
      <c r="T278" s="618">
        <v>7.47</v>
      </c>
      <c r="U278" s="618">
        <v>6.14</v>
      </c>
      <c r="V278" s="618">
        <v>0.35</v>
      </c>
      <c r="W278" s="618"/>
      <c r="X278" s="618"/>
      <c r="Y278" s="618">
        <v>8.17</v>
      </c>
      <c r="Z278" s="617">
        <f t="shared" ref="Z278:Z288" si="416">SUM(AA278:AD278)</f>
        <v>4.37</v>
      </c>
      <c r="AA278" s="618"/>
      <c r="AB278" s="618">
        <f>0.15+1.2+0.9</f>
        <v>2.25</v>
      </c>
      <c r="AC278" s="618">
        <v>1.66</v>
      </c>
      <c r="AD278" s="618">
        <v>0.46</v>
      </c>
      <c r="AE278" s="615">
        <f t="shared" ref="AE278:AE288" si="417">AF278+AM278</f>
        <v>322.5404</v>
      </c>
      <c r="AF278" s="615">
        <f t="shared" ref="AF278:AF288" si="418">SUM(AG278:AL278)</f>
        <v>291.3204</v>
      </c>
      <c r="AG278" s="616">
        <f t="shared" ref="AG278:AG288" si="419">G278+T278</f>
        <v>119.3604</v>
      </c>
      <c r="AH278" s="616">
        <f t="shared" ref="AH278:AH288" si="420">H278+U278</f>
        <v>73.01</v>
      </c>
      <c r="AI278" s="616">
        <f t="shared" ref="AI278:AI288" si="421">I278+V278</f>
        <v>9.72</v>
      </c>
      <c r="AJ278" s="616">
        <f t="shared" ref="AJ278:AJ288" si="422">J278+W278</f>
        <v>0</v>
      </c>
      <c r="AK278" s="616">
        <f t="shared" ref="AK278:AK288" si="423">K278+X278</f>
        <v>0</v>
      </c>
      <c r="AL278" s="616">
        <f t="shared" ref="AL278:AL288" si="424">L278+Y278</f>
        <v>89.23</v>
      </c>
      <c r="AM278" s="615">
        <f t="shared" ref="AM278:AM288" si="425">SUM(AN278:AQ278)</f>
        <v>31.22</v>
      </c>
      <c r="AN278" s="616">
        <f t="shared" ref="AN278:AN288" si="426">N278+AA278</f>
        <v>0</v>
      </c>
      <c r="AO278" s="616">
        <f t="shared" ref="AO278:AO288" si="427">O278+AB278</f>
        <v>6</v>
      </c>
      <c r="AP278" s="616">
        <f t="shared" ref="AP278:AP288" si="428">P278+AC278</f>
        <v>13.76</v>
      </c>
      <c r="AQ278" s="637">
        <f t="shared" ref="AQ278:AQ288" si="429">Q278+AD278</f>
        <v>11.46</v>
      </c>
      <c r="AR278" s="639">
        <f t="shared" ref="AR278:AR288" si="430">SUM(AS278:AY278)</f>
        <v>90.9782512</v>
      </c>
      <c r="AS278" s="616">
        <f t="shared" si="368"/>
        <v>43.070464</v>
      </c>
      <c r="AT278" s="616">
        <f t="shared" si="369"/>
        <v>14.300832</v>
      </c>
      <c r="AU278" s="616">
        <f t="shared" si="370"/>
        <v>10.725624</v>
      </c>
      <c r="AV278" s="616">
        <f t="shared" si="371"/>
        <v>0.3575208</v>
      </c>
      <c r="AW278" s="616">
        <f t="shared" si="372"/>
        <v>1.0725624</v>
      </c>
      <c r="AX278" s="616">
        <f t="shared" si="373"/>
        <v>21.451248</v>
      </c>
      <c r="AY278" s="618"/>
      <c r="AZ278" s="615">
        <f t="shared" si="374"/>
        <v>7.18828</v>
      </c>
      <c r="BA278" s="616">
        <f t="shared" si="375"/>
        <v>3.5408</v>
      </c>
      <c r="BB278" s="616">
        <f t="shared" si="376"/>
        <v>1.0888</v>
      </c>
      <c r="BC278" s="616">
        <f t="shared" si="377"/>
        <v>0.8166</v>
      </c>
      <c r="BD278" s="616">
        <f t="shared" si="378"/>
        <v>0.02722</v>
      </c>
      <c r="BE278" s="616">
        <f t="shared" si="379"/>
        <v>0.08166</v>
      </c>
      <c r="BF278" s="616">
        <f t="shared" si="380"/>
        <v>1.6332</v>
      </c>
      <c r="BG278" s="616"/>
      <c r="BH278" s="615">
        <f t="shared" si="381"/>
        <v>98.1665312</v>
      </c>
      <c r="BI278" s="616">
        <f t="shared" si="382"/>
        <v>46.611264</v>
      </c>
      <c r="BJ278" s="616">
        <f t="shared" si="383"/>
        <v>15.389632</v>
      </c>
      <c r="BK278" s="616">
        <f t="shared" si="384"/>
        <v>11.542224</v>
      </c>
      <c r="BL278" s="616">
        <f t="shared" si="385"/>
        <v>0.3847408</v>
      </c>
      <c r="BM278" s="616">
        <f t="shared" si="386"/>
        <v>1.1542224</v>
      </c>
      <c r="BN278" s="616">
        <f t="shared" si="387"/>
        <v>23.084448</v>
      </c>
      <c r="BO278" s="616"/>
      <c r="BP278" s="304"/>
    </row>
    <row r="279" s="131" customFormat="1" ht="24" spans="1:68">
      <c r="A279" s="497" t="s">
        <v>584</v>
      </c>
      <c r="B279" s="497" t="s">
        <v>203</v>
      </c>
      <c r="C279" s="497" t="s">
        <v>587</v>
      </c>
      <c r="D279" s="497" t="s">
        <v>586</v>
      </c>
      <c r="E279" s="617">
        <f t="shared" si="411"/>
        <v>134.44</v>
      </c>
      <c r="F279" s="617">
        <f t="shared" si="412"/>
        <v>121.84</v>
      </c>
      <c r="G279" s="618">
        <v>47.84</v>
      </c>
      <c r="H279" s="618">
        <v>30.47</v>
      </c>
      <c r="I279" s="618">
        <v>4.54</v>
      </c>
      <c r="J279" s="618"/>
      <c r="K279" s="618"/>
      <c r="L279" s="618">
        <v>38.99</v>
      </c>
      <c r="M279" s="617">
        <f t="shared" si="413"/>
        <v>12.6</v>
      </c>
      <c r="N279" s="618"/>
      <c r="O279" s="618"/>
      <c r="P279" s="618">
        <v>6.6</v>
      </c>
      <c r="Q279" s="618">
        <v>6</v>
      </c>
      <c r="R279" s="617">
        <f t="shared" si="414"/>
        <v>-3.01</v>
      </c>
      <c r="S279" s="615">
        <f t="shared" si="415"/>
        <v>-3.59</v>
      </c>
      <c r="T279" s="618">
        <v>-1.3</v>
      </c>
      <c r="U279" s="618">
        <v>-0.71</v>
      </c>
      <c r="V279" s="618">
        <v>-0.36</v>
      </c>
      <c r="W279" s="618"/>
      <c r="X279" s="618"/>
      <c r="Y279" s="618">
        <v>-1.22</v>
      </c>
      <c r="Z279" s="617">
        <f t="shared" si="416"/>
        <v>0.58</v>
      </c>
      <c r="AA279" s="618"/>
      <c r="AB279" s="618">
        <v>0.45</v>
      </c>
      <c r="AC279" s="618">
        <v>0.13</v>
      </c>
      <c r="AD279" s="618"/>
      <c r="AE279" s="615">
        <f t="shared" si="417"/>
        <v>131.43</v>
      </c>
      <c r="AF279" s="615">
        <f t="shared" si="418"/>
        <v>118.25</v>
      </c>
      <c r="AG279" s="616">
        <f t="shared" si="419"/>
        <v>46.54</v>
      </c>
      <c r="AH279" s="616">
        <f t="shared" si="420"/>
        <v>29.76</v>
      </c>
      <c r="AI279" s="616">
        <f t="shared" si="421"/>
        <v>4.18</v>
      </c>
      <c r="AJ279" s="616">
        <f t="shared" si="422"/>
        <v>0</v>
      </c>
      <c r="AK279" s="616">
        <f t="shared" si="423"/>
        <v>0</v>
      </c>
      <c r="AL279" s="616">
        <f t="shared" si="424"/>
        <v>37.77</v>
      </c>
      <c r="AM279" s="615">
        <f t="shared" si="425"/>
        <v>13.18</v>
      </c>
      <c r="AN279" s="616">
        <f t="shared" si="426"/>
        <v>0</v>
      </c>
      <c r="AO279" s="616">
        <f t="shared" si="427"/>
        <v>0.45</v>
      </c>
      <c r="AP279" s="616">
        <f t="shared" si="428"/>
        <v>6.73</v>
      </c>
      <c r="AQ279" s="637">
        <f t="shared" si="429"/>
        <v>6</v>
      </c>
      <c r="AR279" s="639">
        <f t="shared" si="430"/>
        <v>40.48148</v>
      </c>
      <c r="AS279" s="616">
        <f t="shared" si="368"/>
        <v>19.4944</v>
      </c>
      <c r="AT279" s="616">
        <f t="shared" si="369"/>
        <v>6.2648</v>
      </c>
      <c r="AU279" s="616">
        <f t="shared" si="370"/>
        <v>4.6986</v>
      </c>
      <c r="AV279" s="616">
        <f t="shared" si="371"/>
        <v>0.15662</v>
      </c>
      <c r="AW279" s="616">
        <f t="shared" si="372"/>
        <v>0.46986</v>
      </c>
      <c r="AX279" s="616">
        <f t="shared" si="373"/>
        <v>9.3972</v>
      </c>
      <c r="AY279" s="618"/>
      <c r="AZ279" s="615">
        <f t="shared" si="374"/>
        <v>-1.11308</v>
      </c>
      <c r="BA279" s="616">
        <f t="shared" si="375"/>
        <v>-0.5744</v>
      </c>
      <c r="BB279" s="616">
        <f t="shared" si="376"/>
        <v>-0.1608</v>
      </c>
      <c r="BC279" s="616">
        <f t="shared" si="377"/>
        <v>-0.1206</v>
      </c>
      <c r="BD279" s="616">
        <f t="shared" si="378"/>
        <v>-0.00402</v>
      </c>
      <c r="BE279" s="616">
        <f t="shared" si="379"/>
        <v>-0.01206</v>
      </c>
      <c r="BF279" s="616">
        <f t="shared" si="380"/>
        <v>-0.2412</v>
      </c>
      <c r="BG279" s="616"/>
      <c r="BH279" s="615">
        <f t="shared" si="381"/>
        <v>39.3684</v>
      </c>
      <c r="BI279" s="616">
        <f t="shared" si="382"/>
        <v>18.92</v>
      </c>
      <c r="BJ279" s="616">
        <f t="shared" si="383"/>
        <v>6.104</v>
      </c>
      <c r="BK279" s="616">
        <f t="shared" si="384"/>
        <v>4.578</v>
      </c>
      <c r="BL279" s="616">
        <f t="shared" si="385"/>
        <v>0.1526</v>
      </c>
      <c r="BM279" s="616">
        <f t="shared" si="386"/>
        <v>0.4578</v>
      </c>
      <c r="BN279" s="616">
        <f t="shared" si="387"/>
        <v>9.156</v>
      </c>
      <c r="BO279" s="616"/>
      <c r="BP279" s="304" t="s">
        <v>317</v>
      </c>
    </row>
    <row r="280" s="131" customFormat="1" ht="24" spans="1:68">
      <c r="A280" s="497" t="s">
        <v>584</v>
      </c>
      <c r="B280" s="497" t="s">
        <v>206</v>
      </c>
      <c r="C280" s="497" t="s">
        <v>588</v>
      </c>
      <c r="D280" s="497" t="s">
        <v>589</v>
      </c>
      <c r="E280" s="617">
        <f t="shared" si="411"/>
        <v>0</v>
      </c>
      <c r="F280" s="617">
        <f t="shared" si="412"/>
        <v>0</v>
      </c>
      <c r="G280" s="618"/>
      <c r="H280" s="618"/>
      <c r="I280" s="618"/>
      <c r="J280" s="618"/>
      <c r="K280" s="618"/>
      <c r="L280" s="618"/>
      <c r="M280" s="617">
        <f t="shared" si="413"/>
        <v>0</v>
      </c>
      <c r="N280" s="618"/>
      <c r="O280" s="618"/>
      <c r="P280" s="618"/>
      <c r="Q280" s="618"/>
      <c r="R280" s="617">
        <f t="shared" si="414"/>
        <v>0</v>
      </c>
      <c r="S280" s="615">
        <f t="shared" si="415"/>
        <v>0</v>
      </c>
      <c r="T280" s="618"/>
      <c r="U280" s="618"/>
      <c r="V280" s="618"/>
      <c r="W280" s="618"/>
      <c r="X280" s="618"/>
      <c r="Y280" s="618"/>
      <c r="Z280" s="617">
        <f t="shared" si="416"/>
        <v>0</v>
      </c>
      <c r="AA280" s="618"/>
      <c r="AB280" s="618"/>
      <c r="AC280" s="618"/>
      <c r="AD280" s="618"/>
      <c r="AE280" s="615">
        <f t="shared" si="417"/>
        <v>0</v>
      </c>
      <c r="AF280" s="615">
        <f t="shared" si="418"/>
        <v>0</v>
      </c>
      <c r="AG280" s="616">
        <f t="shared" si="419"/>
        <v>0</v>
      </c>
      <c r="AH280" s="616">
        <f t="shared" si="420"/>
        <v>0</v>
      </c>
      <c r="AI280" s="616">
        <f t="shared" si="421"/>
        <v>0</v>
      </c>
      <c r="AJ280" s="616">
        <f t="shared" si="422"/>
        <v>0</v>
      </c>
      <c r="AK280" s="616">
        <f t="shared" si="423"/>
        <v>0</v>
      </c>
      <c r="AL280" s="616">
        <f t="shared" si="424"/>
        <v>0</v>
      </c>
      <c r="AM280" s="615">
        <f t="shared" si="425"/>
        <v>0</v>
      </c>
      <c r="AN280" s="616">
        <f t="shared" si="426"/>
        <v>0</v>
      </c>
      <c r="AO280" s="616">
        <f t="shared" si="427"/>
        <v>0</v>
      </c>
      <c r="AP280" s="616">
        <f t="shared" si="428"/>
        <v>0</v>
      </c>
      <c r="AQ280" s="637">
        <f t="shared" si="429"/>
        <v>0</v>
      </c>
      <c r="AR280" s="639">
        <f t="shared" si="430"/>
        <v>0</v>
      </c>
      <c r="AS280" s="616">
        <f t="shared" si="368"/>
        <v>0</v>
      </c>
      <c r="AT280" s="616">
        <f t="shared" si="369"/>
        <v>0</v>
      </c>
      <c r="AU280" s="616">
        <f t="shared" si="370"/>
        <v>0</v>
      </c>
      <c r="AV280" s="616">
        <f t="shared" si="371"/>
        <v>0</v>
      </c>
      <c r="AW280" s="616">
        <f t="shared" si="372"/>
        <v>0</v>
      </c>
      <c r="AX280" s="616">
        <f t="shared" si="373"/>
        <v>0</v>
      </c>
      <c r="AY280" s="618"/>
      <c r="AZ280" s="615">
        <f t="shared" si="374"/>
        <v>0</v>
      </c>
      <c r="BA280" s="616">
        <f t="shared" si="375"/>
        <v>0</v>
      </c>
      <c r="BB280" s="616">
        <f t="shared" si="376"/>
        <v>0</v>
      </c>
      <c r="BC280" s="616">
        <f t="shared" si="377"/>
        <v>0</v>
      </c>
      <c r="BD280" s="616">
        <f t="shared" si="378"/>
        <v>0</v>
      </c>
      <c r="BE280" s="616">
        <f t="shared" si="379"/>
        <v>0</v>
      </c>
      <c r="BF280" s="616">
        <f t="shared" si="380"/>
        <v>0</v>
      </c>
      <c r="BG280" s="616"/>
      <c r="BH280" s="615">
        <f t="shared" si="381"/>
        <v>0</v>
      </c>
      <c r="BI280" s="616">
        <f t="shared" si="382"/>
        <v>0</v>
      </c>
      <c r="BJ280" s="616">
        <f t="shared" si="383"/>
        <v>0</v>
      </c>
      <c r="BK280" s="616">
        <f t="shared" si="384"/>
        <v>0</v>
      </c>
      <c r="BL280" s="616">
        <f t="shared" si="385"/>
        <v>0</v>
      </c>
      <c r="BM280" s="616">
        <f t="shared" si="386"/>
        <v>0</v>
      </c>
      <c r="BN280" s="616">
        <f t="shared" si="387"/>
        <v>0</v>
      </c>
      <c r="BO280" s="616"/>
      <c r="BP280" s="304"/>
    </row>
    <row r="281" s="131" customFormat="1" ht="24" spans="1:68">
      <c r="A281" s="497" t="s">
        <v>590</v>
      </c>
      <c r="B281" s="497" t="s">
        <v>203</v>
      </c>
      <c r="C281" s="497" t="s">
        <v>591</v>
      </c>
      <c r="D281" s="497" t="s">
        <v>592</v>
      </c>
      <c r="E281" s="617">
        <f t="shared" si="411"/>
        <v>243.45</v>
      </c>
      <c r="F281" s="617">
        <f t="shared" si="412"/>
        <v>224.55</v>
      </c>
      <c r="G281" s="619">
        <v>97.64</v>
      </c>
      <c r="H281" s="619">
        <v>55.64</v>
      </c>
      <c r="I281" s="619">
        <v>8.14</v>
      </c>
      <c r="J281" s="618"/>
      <c r="K281" s="618"/>
      <c r="L281" s="618">
        <v>63.13</v>
      </c>
      <c r="M281" s="617">
        <f t="shared" si="413"/>
        <v>18.9</v>
      </c>
      <c r="N281" s="618"/>
      <c r="O281" s="618"/>
      <c r="P281" s="618">
        <v>9.9</v>
      </c>
      <c r="Q281" s="618">
        <v>9</v>
      </c>
      <c r="R281" s="617">
        <f t="shared" si="414"/>
        <v>-40.31</v>
      </c>
      <c r="S281" s="615">
        <f t="shared" si="415"/>
        <v>-42.94</v>
      </c>
      <c r="T281" s="618">
        <v>-36.32</v>
      </c>
      <c r="U281" s="618">
        <v>3.49</v>
      </c>
      <c r="V281" s="618">
        <v>-0.92</v>
      </c>
      <c r="W281" s="618"/>
      <c r="X281" s="618"/>
      <c r="Y281" s="618">
        <v>-9.19</v>
      </c>
      <c r="Z281" s="617">
        <f t="shared" si="416"/>
        <v>2.63</v>
      </c>
      <c r="AA281" s="618"/>
      <c r="AB281" s="618">
        <f>0.6+0.75</f>
        <v>1.35</v>
      </c>
      <c r="AC281" s="618">
        <v>0.82</v>
      </c>
      <c r="AD281" s="618">
        <v>0.46</v>
      </c>
      <c r="AE281" s="615">
        <f t="shared" si="417"/>
        <v>203.14</v>
      </c>
      <c r="AF281" s="615">
        <f t="shared" si="418"/>
        <v>181.61</v>
      </c>
      <c r="AG281" s="616">
        <f t="shared" si="419"/>
        <v>61.32</v>
      </c>
      <c r="AH281" s="616">
        <f t="shared" si="420"/>
        <v>59.13</v>
      </c>
      <c r="AI281" s="616">
        <f t="shared" si="421"/>
        <v>7.22</v>
      </c>
      <c r="AJ281" s="616">
        <f t="shared" si="422"/>
        <v>0</v>
      </c>
      <c r="AK281" s="616">
        <f t="shared" si="423"/>
        <v>0</v>
      </c>
      <c r="AL281" s="616">
        <f t="shared" si="424"/>
        <v>53.94</v>
      </c>
      <c r="AM281" s="615">
        <f t="shared" si="425"/>
        <v>21.53</v>
      </c>
      <c r="AN281" s="616">
        <f t="shared" si="426"/>
        <v>0</v>
      </c>
      <c r="AO281" s="616">
        <f t="shared" si="427"/>
        <v>1.35</v>
      </c>
      <c r="AP281" s="616">
        <f t="shared" si="428"/>
        <v>10.72</v>
      </c>
      <c r="AQ281" s="637">
        <f t="shared" si="429"/>
        <v>9.46</v>
      </c>
      <c r="AR281" s="639">
        <f t="shared" si="430"/>
        <v>77.00704</v>
      </c>
      <c r="AS281" s="616">
        <f t="shared" si="368"/>
        <v>35.928</v>
      </c>
      <c r="AT281" s="616">
        <f t="shared" si="369"/>
        <v>12.2624</v>
      </c>
      <c r="AU281" s="616">
        <f t="shared" si="370"/>
        <v>9.1968</v>
      </c>
      <c r="AV281" s="616">
        <f t="shared" si="371"/>
        <v>0.30656</v>
      </c>
      <c r="AW281" s="616">
        <f t="shared" si="372"/>
        <v>0.91968</v>
      </c>
      <c r="AX281" s="616">
        <f t="shared" si="373"/>
        <v>18.3936</v>
      </c>
      <c r="AY281" s="618"/>
      <c r="AZ281" s="615">
        <f t="shared" si="374"/>
        <v>-15.66884</v>
      </c>
      <c r="BA281" s="616">
        <f t="shared" si="375"/>
        <v>-6.8704</v>
      </c>
      <c r="BB281" s="616">
        <f t="shared" si="376"/>
        <v>-2.6264</v>
      </c>
      <c r="BC281" s="616">
        <f t="shared" si="377"/>
        <v>-1.9698</v>
      </c>
      <c r="BD281" s="616">
        <f t="shared" si="378"/>
        <v>-0.06566</v>
      </c>
      <c r="BE281" s="616">
        <f t="shared" si="379"/>
        <v>-0.19698</v>
      </c>
      <c r="BF281" s="616">
        <f t="shared" si="380"/>
        <v>-3.9396</v>
      </c>
      <c r="BG281" s="616"/>
      <c r="BH281" s="615">
        <f t="shared" si="381"/>
        <v>61.3382</v>
      </c>
      <c r="BI281" s="616">
        <f t="shared" si="382"/>
        <v>29.0576</v>
      </c>
      <c r="BJ281" s="616">
        <f t="shared" si="383"/>
        <v>9.636</v>
      </c>
      <c r="BK281" s="616">
        <f t="shared" si="384"/>
        <v>7.227</v>
      </c>
      <c r="BL281" s="616">
        <f t="shared" si="385"/>
        <v>0.2409</v>
      </c>
      <c r="BM281" s="616">
        <f t="shared" si="386"/>
        <v>0.7227</v>
      </c>
      <c r="BN281" s="616">
        <f t="shared" si="387"/>
        <v>14.454</v>
      </c>
      <c r="BO281" s="616"/>
      <c r="BP281" s="304"/>
    </row>
    <row r="282" s="131" customFormat="1" ht="36" spans="1:68">
      <c r="A282" s="497" t="s">
        <v>590</v>
      </c>
      <c r="B282" s="497" t="s">
        <v>593</v>
      </c>
      <c r="C282" s="497" t="s">
        <v>594</v>
      </c>
      <c r="D282" s="497" t="s">
        <v>592</v>
      </c>
      <c r="E282" s="617">
        <f t="shared" si="411"/>
        <v>346.5892</v>
      </c>
      <c r="F282" s="617">
        <f t="shared" si="412"/>
        <v>280.0892</v>
      </c>
      <c r="G282" s="619">
        <v>106.2</v>
      </c>
      <c r="H282" s="619">
        <f>(25444+32792)*12/10000</f>
        <v>69.8832</v>
      </c>
      <c r="I282" s="619">
        <f>(47390+77346)/10000</f>
        <v>12.4736</v>
      </c>
      <c r="J282" s="619">
        <f>3000*12/10000</f>
        <v>3.6</v>
      </c>
      <c r="K282" s="619">
        <f>102*12/10000</f>
        <v>0.1224</v>
      </c>
      <c r="L282" s="618">
        <v>87.81</v>
      </c>
      <c r="M282" s="617">
        <f t="shared" si="413"/>
        <v>66.5</v>
      </c>
      <c r="N282" s="619">
        <v>38.15</v>
      </c>
      <c r="O282" s="618"/>
      <c r="P282" s="618">
        <v>14.85</v>
      </c>
      <c r="Q282" s="618">
        <v>13.5</v>
      </c>
      <c r="R282" s="617">
        <f t="shared" si="414"/>
        <v>4.03</v>
      </c>
      <c r="S282" s="615">
        <f t="shared" si="415"/>
        <v>2.48</v>
      </c>
      <c r="T282" s="618">
        <v>-26.24</v>
      </c>
      <c r="U282" s="618">
        <v>13.37</v>
      </c>
      <c r="V282" s="619">
        <v>-4.6</v>
      </c>
      <c r="W282" s="618">
        <v>0.63</v>
      </c>
      <c r="X282" s="618"/>
      <c r="Y282" s="618">
        <v>19.32</v>
      </c>
      <c r="Z282" s="617">
        <f t="shared" si="416"/>
        <v>1.55</v>
      </c>
      <c r="AA282" s="619">
        <v>1.54</v>
      </c>
      <c r="AB282" s="618">
        <v>0.9</v>
      </c>
      <c r="AC282" s="618">
        <v>-1.64</v>
      </c>
      <c r="AD282" s="618">
        <v>0.75</v>
      </c>
      <c r="AE282" s="615">
        <f t="shared" si="417"/>
        <v>350.6192</v>
      </c>
      <c r="AF282" s="615">
        <f t="shared" si="418"/>
        <v>282.5692</v>
      </c>
      <c r="AG282" s="616">
        <f t="shared" si="419"/>
        <v>79.96</v>
      </c>
      <c r="AH282" s="616">
        <f t="shared" si="420"/>
        <v>83.2532</v>
      </c>
      <c r="AI282" s="616">
        <f t="shared" si="421"/>
        <v>7.8736</v>
      </c>
      <c r="AJ282" s="616">
        <f t="shared" si="422"/>
        <v>4.23</v>
      </c>
      <c r="AK282" s="616">
        <f t="shared" si="423"/>
        <v>0.1224</v>
      </c>
      <c r="AL282" s="616">
        <f t="shared" si="424"/>
        <v>107.13</v>
      </c>
      <c r="AM282" s="615">
        <f t="shared" si="425"/>
        <v>68.05</v>
      </c>
      <c r="AN282" s="616">
        <f t="shared" si="426"/>
        <v>39.69</v>
      </c>
      <c r="AO282" s="616">
        <f t="shared" si="427"/>
        <v>0.9</v>
      </c>
      <c r="AP282" s="616">
        <f t="shared" si="428"/>
        <v>13.21</v>
      </c>
      <c r="AQ282" s="637">
        <f t="shared" si="429"/>
        <v>14.25</v>
      </c>
      <c r="AR282" s="639">
        <f t="shared" si="430"/>
        <v>91.4089856</v>
      </c>
      <c r="AS282" s="616">
        <f t="shared" si="368"/>
        <v>44.218688</v>
      </c>
      <c r="AT282" s="616">
        <f t="shared" si="369"/>
        <v>14.086656</v>
      </c>
      <c r="AU282" s="616">
        <f t="shared" si="370"/>
        <v>10.564992</v>
      </c>
      <c r="AV282" s="616">
        <f t="shared" si="371"/>
        <v>0.3521664</v>
      </c>
      <c r="AW282" s="616">
        <f t="shared" si="372"/>
        <v>1.0564992</v>
      </c>
      <c r="AX282" s="616">
        <f t="shared" si="373"/>
        <v>21.129984</v>
      </c>
      <c r="AY282" s="618"/>
      <c r="AZ282" s="615">
        <f t="shared" si="374"/>
        <v>-3.15316</v>
      </c>
      <c r="BA282" s="616">
        <f t="shared" si="375"/>
        <v>0.296</v>
      </c>
      <c r="BB282" s="616">
        <f t="shared" si="376"/>
        <v>-1.0296</v>
      </c>
      <c r="BC282" s="616">
        <f t="shared" si="377"/>
        <v>-0.7722</v>
      </c>
      <c r="BD282" s="616">
        <f t="shared" si="378"/>
        <v>-0.02574</v>
      </c>
      <c r="BE282" s="616">
        <f t="shared" si="379"/>
        <v>-0.07722</v>
      </c>
      <c r="BF282" s="616">
        <f t="shared" si="380"/>
        <v>-1.5444</v>
      </c>
      <c r="BG282" s="616"/>
      <c r="BH282" s="615">
        <f t="shared" si="381"/>
        <v>88.2558256</v>
      </c>
      <c r="BI282" s="616">
        <f t="shared" si="382"/>
        <v>44.514688</v>
      </c>
      <c r="BJ282" s="616">
        <f t="shared" si="383"/>
        <v>13.057056</v>
      </c>
      <c r="BK282" s="616">
        <f t="shared" si="384"/>
        <v>9.792792</v>
      </c>
      <c r="BL282" s="616">
        <f t="shared" si="385"/>
        <v>0.3264264</v>
      </c>
      <c r="BM282" s="616">
        <f t="shared" si="386"/>
        <v>0.9792792</v>
      </c>
      <c r="BN282" s="616">
        <f t="shared" si="387"/>
        <v>19.585584</v>
      </c>
      <c r="BO282" s="616"/>
      <c r="BP282" s="304"/>
    </row>
    <row r="283" s="131" customFormat="1" ht="24" spans="1:68">
      <c r="A283" s="497" t="s">
        <v>590</v>
      </c>
      <c r="B283" s="497" t="s">
        <v>206</v>
      </c>
      <c r="C283" s="497" t="s">
        <v>595</v>
      </c>
      <c r="D283" s="497" t="s">
        <v>596</v>
      </c>
      <c r="E283" s="617">
        <f t="shared" si="411"/>
        <v>0</v>
      </c>
      <c r="F283" s="617">
        <f t="shared" si="412"/>
        <v>0</v>
      </c>
      <c r="G283" s="618"/>
      <c r="H283" s="618"/>
      <c r="I283" s="618"/>
      <c r="J283" s="618"/>
      <c r="K283" s="618"/>
      <c r="L283" s="618"/>
      <c r="M283" s="617">
        <f t="shared" si="413"/>
        <v>0</v>
      </c>
      <c r="N283" s="618"/>
      <c r="O283" s="618"/>
      <c r="P283" s="618"/>
      <c r="Q283" s="618"/>
      <c r="R283" s="617">
        <f t="shared" si="414"/>
        <v>0</v>
      </c>
      <c r="S283" s="615">
        <f t="shared" si="415"/>
        <v>0</v>
      </c>
      <c r="T283" s="619"/>
      <c r="U283" s="619"/>
      <c r="V283" s="619"/>
      <c r="W283" s="619"/>
      <c r="X283" s="619"/>
      <c r="Y283" s="618"/>
      <c r="Z283" s="617">
        <f t="shared" si="416"/>
        <v>0</v>
      </c>
      <c r="AA283" s="619"/>
      <c r="AB283" s="618"/>
      <c r="AC283" s="618"/>
      <c r="AD283" s="618"/>
      <c r="AE283" s="615">
        <f t="shared" si="417"/>
        <v>0</v>
      </c>
      <c r="AF283" s="615">
        <f t="shared" si="418"/>
        <v>0</v>
      </c>
      <c r="AG283" s="616">
        <f t="shared" si="419"/>
        <v>0</v>
      </c>
      <c r="AH283" s="616">
        <f t="shared" si="420"/>
        <v>0</v>
      </c>
      <c r="AI283" s="616">
        <f t="shared" si="421"/>
        <v>0</v>
      </c>
      <c r="AJ283" s="616">
        <f t="shared" si="422"/>
        <v>0</v>
      </c>
      <c r="AK283" s="616">
        <f t="shared" si="423"/>
        <v>0</v>
      </c>
      <c r="AL283" s="616">
        <f t="shared" si="424"/>
        <v>0</v>
      </c>
      <c r="AM283" s="615">
        <f t="shared" si="425"/>
        <v>0</v>
      </c>
      <c r="AN283" s="616">
        <f t="shared" si="426"/>
        <v>0</v>
      </c>
      <c r="AO283" s="616">
        <f t="shared" si="427"/>
        <v>0</v>
      </c>
      <c r="AP283" s="616">
        <f t="shared" si="428"/>
        <v>0</v>
      </c>
      <c r="AQ283" s="637">
        <f t="shared" si="429"/>
        <v>0</v>
      </c>
      <c r="AR283" s="639">
        <f t="shared" si="430"/>
        <v>0</v>
      </c>
      <c r="AS283" s="616">
        <f t="shared" si="368"/>
        <v>0</v>
      </c>
      <c r="AT283" s="616">
        <f t="shared" si="369"/>
        <v>0</v>
      </c>
      <c r="AU283" s="616">
        <f t="shared" si="370"/>
        <v>0</v>
      </c>
      <c r="AV283" s="616">
        <f t="shared" si="371"/>
        <v>0</v>
      </c>
      <c r="AW283" s="616">
        <f t="shared" si="372"/>
        <v>0</v>
      </c>
      <c r="AX283" s="616">
        <f t="shared" si="373"/>
        <v>0</v>
      </c>
      <c r="AY283" s="618"/>
      <c r="AZ283" s="615">
        <f t="shared" si="374"/>
        <v>0</v>
      </c>
      <c r="BA283" s="616">
        <f t="shared" si="375"/>
        <v>0</v>
      </c>
      <c r="BB283" s="616">
        <f t="shared" si="376"/>
        <v>0</v>
      </c>
      <c r="BC283" s="616">
        <f t="shared" si="377"/>
        <v>0</v>
      </c>
      <c r="BD283" s="616">
        <f t="shared" si="378"/>
        <v>0</v>
      </c>
      <c r="BE283" s="616">
        <f t="shared" si="379"/>
        <v>0</v>
      </c>
      <c r="BF283" s="616">
        <f t="shared" si="380"/>
        <v>0</v>
      </c>
      <c r="BG283" s="616"/>
      <c r="BH283" s="615">
        <f t="shared" si="381"/>
        <v>0</v>
      </c>
      <c r="BI283" s="616">
        <f t="shared" si="382"/>
        <v>0</v>
      </c>
      <c r="BJ283" s="616">
        <f t="shared" si="383"/>
        <v>0</v>
      </c>
      <c r="BK283" s="616">
        <f t="shared" si="384"/>
        <v>0</v>
      </c>
      <c r="BL283" s="616">
        <f t="shared" si="385"/>
        <v>0</v>
      </c>
      <c r="BM283" s="616">
        <f t="shared" si="386"/>
        <v>0</v>
      </c>
      <c r="BN283" s="616">
        <f t="shared" si="387"/>
        <v>0</v>
      </c>
      <c r="BO283" s="616"/>
      <c r="BP283" s="304"/>
    </row>
    <row r="284" s="131" customFormat="1" ht="24" spans="1:68">
      <c r="A284" s="497" t="s">
        <v>590</v>
      </c>
      <c r="B284" s="497" t="s">
        <v>206</v>
      </c>
      <c r="C284" s="497" t="s">
        <v>597</v>
      </c>
      <c r="D284" s="497" t="s">
        <v>598</v>
      </c>
      <c r="E284" s="617">
        <f t="shared" si="411"/>
        <v>0</v>
      </c>
      <c r="F284" s="617">
        <f t="shared" si="412"/>
        <v>0</v>
      </c>
      <c r="G284" s="618"/>
      <c r="H284" s="618"/>
      <c r="I284" s="618"/>
      <c r="J284" s="618"/>
      <c r="K284" s="618"/>
      <c r="L284" s="618"/>
      <c r="M284" s="617">
        <f t="shared" si="413"/>
        <v>0</v>
      </c>
      <c r="N284" s="618"/>
      <c r="O284" s="618"/>
      <c r="P284" s="618"/>
      <c r="Q284" s="618"/>
      <c r="R284" s="617">
        <f t="shared" si="414"/>
        <v>0</v>
      </c>
      <c r="S284" s="615">
        <f t="shared" si="415"/>
        <v>0</v>
      </c>
      <c r="T284" s="618"/>
      <c r="U284" s="618"/>
      <c r="V284" s="618"/>
      <c r="W284" s="618"/>
      <c r="X284" s="618"/>
      <c r="Y284" s="618"/>
      <c r="Z284" s="617">
        <f t="shared" si="416"/>
        <v>0</v>
      </c>
      <c r="AA284" s="618"/>
      <c r="AB284" s="618"/>
      <c r="AC284" s="618"/>
      <c r="AD284" s="618"/>
      <c r="AE284" s="615">
        <f t="shared" si="417"/>
        <v>0</v>
      </c>
      <c r="AF284" s="615">
        <f t="shared" si="418"/>
        <v>0</v>
      </c>
      <c r="AG284" s="616">
        <f t="shared" si="419"/>
        <v>0</v>
      </c>
      <c r="AH284" s="616">
        <f t="shared" si="420"/>
        <v>0</v>
      </c>
      <c r="AI284" s="616">
        <f t="shared" si="421"/>
        <v>0</v>
      </c>
      <c r="AJ284" s="616">
        <f t="shared" si="422"/>
        <v>0</v>
      </c>
      <c r="AK284" s="616">
        <f t="shared" si="423"/>
        <v>0</v>
      </c>
      <c r="AL284" s="616">
        <f t="shared" si="424"/>
        <v>0</v>
      </c>
      <c r="AM284" s="615">
        <f t="shared" si="425"/>
        <v>0</v>
      </c>
      <c r="AN284" s="616">
        <f t="shared" si="426"/>
        <v>0</v>
      </c>
      <c r="AO284" s="616">
        <f t="shared" si="427"/>
        <v>0</v>
      </c>
      <c r="AP284" s="616">
        <f t="shared" si="428"/>
        <v>0</v>
      </c>
      <c r="AQ284" s="637">
        <f t="shared" si="429"/>
        <v>0</v>
      </c>
      <c r="AR284" s="639">
        <f t="shared" si="430"/>
        <v>0</v>
      </c>
      <c r="AS284" s="616">
        <f t="shared" si="368"/>
        <v>0</v>
      </c>
      <c r="AT284" s="616">
        <f t="shared" si="369"/>
        <v>0</v>
      </c>
      <c r="AU284" s="616">
        <f t="shared" si="370"/>
        <v>0</v>
      </c>
      <c r="AV284" s="616">
        <f t="shared" si="371"/>
        <v>0</v>
      </c>
      <c r="AW284" s="616">
        <f t="shared" si="372"/>
        <v>0</v>
      </c>
      <c r="AX284" s="616">
        <f t="shared" si="373"/>
        <v>0</v>
      </c>
      <c r="AY284" s="618"/>
      <c r="AZ284" s="615">
        <f t="shared" si="374"/>
        <v>0</v>
      </c>
      <c r="BA284" s="616">
        <f t="shared" si="375"/>
        <v>0</v>
      </c>
      <c r="BB284" s="616">
        <f t="shared" si="376"/>
        <v>0</v>
      </c>
      <c r="BC284" s="616">
        <f t="shared" si="377"/>
        <v>0</v>
      </c>
      <c r="BD284" s="616">
        <f t="shared" si="378"/>
        <v>0</v>
      </c>
      <c r="BE284" s="616">
        <f t="shared" si="379"/>
        <v>0</v>
      </c>
      <c r="BF284" s="616">
        <f t="shared" si="380"/>
        <v>0</v>
      </c>
      <c r="BG284" s="616"/>
      <c r="BH284" s="615">
        <f t="shared" si="381"/>
        <v>0</v>
      </c>
      <c r="BI284" s="616">
        <f t="shared" si="382"/>
        <v>0</v>
      </c>
      <c r="BJ284" s="616">
        <f t="shared" si="383"/>
        <v>0</v>
      </c>
      <c r="BK284" s="616">
        <f t="shared" si="384"/>
        <v>0</v>
      </c>
      <c r="BL284" s="616">
        <f t="shared" si="385"/>
        <v>0</v>
      </c>
      <c r="BM284" s="616">
        <f t="shared" si="386"/>
        <v>0</v>
      </c>
      <c r="BN284" s="616">
        <f t="shared" si="387"/>
        <v>0</v>
      </c>
      <c r="BO284" s="616"/>
      <c r="BP284" s="304"/>
    </row>
    <row r="285" s="131" customFormat="1" ht="24" spans="1:68">
      <c r="A285" s="497" t="s">
        <v>584</v>
      </c>
      <c r="B285" s="497" t="s">
        <v>203</v>
      </c>
      <c r="C285" s="497" t="s">
        <v>599</v>
      </c>
      <c r="D285" s="497" t="s">
        <v>600</v>
      </c>
      <c r="E285" s="617">
        <f t="shared" si="411"/>
        <v>100.8409</v>
      </c>
      <c r="F285" s="617">
        <f t="shared" si="412"/>
        <v>93.4909</v>
      </c>
      <c r="G285" s="619">
        <v>39.6204</v>
      </c>
      <c r="H285" s="619">
        <v>23.1588</v>
      </c>
      <c r="I285" s="619">
        <v>3.3017</v>
      </c>
      <c r="J285" s="618"/>
      <c r="K285" s="618"/>
      <c r="L285" s="618">
        <v>27.41</v>
      </c>
      <c r="M285" s="617">
        <f t="shared" si="413"/>
        <v>7.35</v>
      </c>
      <c r="N285" s="618"/>
      <c r="O285" s="618"/>
      <c r="P285" s="618">
        <v>3.85</v>
      </c>
      <c r="Q285" s="618">
        <v>3.5</v>
      </c>
      <c r="R285" s="617">
        <f t="shared" si="414"/>
        <v>-26.09</v>
      </c>
      <c r="S285" s="615">
        <f t="shared" si="415"/>
        <v>-27.46</v>
      </c>
      <c r="T285" s="618">
        <v>-12.26</v>
      </c>
      <c r="U285" s="618">
        <v>-6.86</v>
      </c>
      <c r="V285" s="618">
        <v>-0.37</v>
      </c>
      <c r="W285" s="618"/>
      <c r="X285" s="618"/>
      <c r="Y285" s="618">
        <v>-7.97</v>
      </c>
      <c r="Z285" s="617">
        <f t="shared" si="416"/>
        <v>1.37</v>
      </c>
      <c r="AA285" s="618"/>
      <c r="AB285" s="618">
        <f>0.6+0.15</f>
        <v>0.75</v>
      </c>
      <c r="AC285" s="618">
        <v>0.7</v>
      </c>
      <c r="AD285" s="618">
        <v>-0.08</v>
      </c>
      <c r="AE285" s="615">
        <f t="shared" si="417"/>
        <v>74.7509</v>
      </c>
      <c r="AF285" s="615">
        <f t="shared" si="418"/>
        <v>66.0309</v>
      </c>
      <c r="AG285" s="616">
        <f t="shared" si="419"/>
        <v>27.3604</v>
      </c>
      <c r="AH285" s="616">
        <f t="shared" si="420"/>
        <v>16.2988</v>
      </c>
      <c r="AI285" s="616">
        <f t="shared" si="421"/>
        <v>2.9317</v>
      </c>
      <c r="AJ285" s="616">
        <f t="shared" si="422"/>
        <v>0</v>
      </c>
      <c r="AK285" s="616">
        <f t="shared" si="423"/>
        <v>0</v>
      </c>
      <c r="AL285" s="616">
        <f t="shared" si="424"/>
        <v>19.44</v>
      </c>
      <c r="AM285" s="615">
        <f t="shared" si="425"/>
        <v>8.72</v>
      </c>
      <c r="AN285" s="616">
        <f t="shared" si="426"/>
        <v>0</v>
      </c>
      <c r="AO285" s="616">
        <f t="shared" si="427"/>
        <v>0.75</v>
      </c>
      <c r="AP285" s="616">
        <f t="shared" si="428"/>
        <v>4.55</v>
      </c>
      <c r="AQ285" s="637">
        <f t="shared" si="429"/>
        <v>3.42</v>
      </c>
      <c r="AR285" s="639">
        <f t="shared" si="430"/>
        <v>31.7833696</v>
      </c>
      <c r="AS285" s="616">
        <f t="shared" si="368"/>
        <v>14.958544</v>
      </c>
      <c r="AT285" s="616">
        <f t="shared" si="369"/>
        <v>5.022336</v>
      </c>
      <c r="AU285" s="616">
        <f t="shared" si="370"/>
        <v>3.766752</v>
      </c>
      <c r="AV285" s="616">
        <f t="shared" si="371"/>
        <v>0.1255584</v>
      </c>
      <c r="AW285" s="616">
        <f t="shared" si="372"/>
        <v>0.3766752</v>
      </c>
      <c r="AX285" s="616">
        <f t="shared" si="373"/>
        <v>7.533504</v>
      </c>
      <c r="AY285" s="618"/>
      <c r="AZ285" s="615">
        <f t="shared" si="374"/>
        <v>-9.51776</v>
      </c>
      <c r="BA285" s="616">
        <f t="shared" si="375"/>
        <v>-4.3936</v>
      </c>
      <c r="BB285" s="616">
        <f t="shared" si="376"/>
        <v>-1.5296</v>
      </c>
      <c r="BC285" s="616">
        <f t="shared" si="377"/>
        <v>-1.1472</v>
      </c>
      <c r="BD285" s="616">
        <f t="shared" si="378"/>
        <v>-0.03824</v>
      </c>
      <c r="BE285" s="616">
        <f t="shared" si="379"/>
        <v>-0.11472</v>
      </c>
      <c r="BF285" s="616">
        <f t="shared" si="380"/>
        <v>-2.2944</v>
      </c>
      <c r="BG285" s="616"/>
      <c r="BH285" s="615">
        <f t="shared" si="381"/>
        <v>22.2656096</v>
      </c>
      <c r="BI285" s="616">
        <f t="shared" si="382"/>
        <v>10.564944</v>
      </c>
      <c r="BJ285" s="616">
        <f t="shared" si="383"/>
        <v>3.492736</v>
      </c>
      <c r="BK285" s="616">
        <f t="shared" si="384"/>
        <v>2.619552</v>
      </c>
      <c r="BL285" s="616">
        <f t="shared" si="385"/>
        <v>0.0873184</v>
      </c>
      <c r="BM285" s="616">
        <f t="shared" si="386"/>
        <v>0.2619552</v>
      </c>
      <c r="BN285" s="616">
        <f t="shared" si="387"/>
        <v>5.239104</v>
      </c>
      <c r="BO285" s="616"/>
      <c r="BP285" s="304" t="s">
        <v>317</v>
      </c>
    </row>
    <row r="286" s="131" customFormat="1" ht="24" spans="1:68">
      <c r="A286" s="497" t="s">
        <v>584</v>
      </c>
      <c r="B286" s="497" t="s">
        <v>206</v>
      </c>
      <c r="C286" s="497" t="s">
        <v>601</v>
      </c>
      <c r="D286" s="497" t="s">
        <v>602</v>
      </c>
      <c r="E286" s="617">
        <f t="shared" si="411"/>
        <v>0</v>
      </c>
      <c r="F286" s="617">
        <f t="shared" si="412"/>
        <v>0</v>
      </c>
      <c r="G286" s="618"/>
      <c r="H286" s="618"/>
      <c r="I286" s="618"/>
      <c r="J286" s="618"/>
      <c r="K286" s="618"/>
      <c r="L286" s="618"/>
      <c r="M286" s="617">
        <f t="shared" si="413"/>
        <v>0</v>
      </c>
      <c r="N286" s="618"/>
      <c r="O286" s="618"/>
      <c r="P286" s="618"/>
      <c r="Q286" s="618"/>
      <c r="R286" s="617">
        <f t="shared" si="414"/>
        <v>0</v>
      </c>
      <c r="S286" s="615">
        <f t="shared" si="415"/>
        <v>0</v>
      </c>
      <c r="T286" s="619"/>
      <c r="U286" s="619"/>
      <c r="V286" s="619"/>
      <c r="W286" s="618"/>
      <c r="X286" s="618"/>
      <c r="Y286" s="618"/>
      <c r="Z286" s="617">
        <f t="shared" si="416"/>
        <v>0</v>
      </c>
      <c r="AA286" s="619"/>
      <c r="AB286" s="618"/>
      <c r="AC286" s="618"/>
      <c r="AD286" s="618"/>
      <c r="AE286" s="615">
        <f t="shared" si="417"/>
        <v>0</v>
      </c>
      <c r="AF286" s="615">
        <f t="shared" si="418"/>
        <v>0</v>
      </c>
      <c r="AG286" s="616">
        <f t="shared" si="419"/>
        <v>0</v>
      </c>
      <c r="AH286" s="616">
        <f t="shared" si="420"/>
        <v>0</v>
      </c>
      <c r="AI286" s="616">
        <f t="shared" si="421"/>
        <v>0</v>
      </c>
      <c r="AJ286" s="616">
        <f t="shared" si="422"/>
        <v>0</v>
      </c>
      <c r="AK286" s="616">
        <f t="shared" si="423"/>
        <v>0</v>
      </c>
      <c r="AL286" s="616">
        <f t="shared" si="424"/>
        <v>0</v>
      </c>
      <c r="AM286" s="615">
        <f t="shared" si="425"/>
        <v>0</v>
      </c>
      <c r="AN286" s="616">
        <f t="shared" si="426"/>
        <v>0</v>
      </c>
      <c r="AO286" s="616">
        <f t="shared" si="427"/>
        <v>0</v>
      </c>
      <c r="AP286" s="616">
        <f t="shared" si="428"/>
        <v>0</v>
      </c>
      <c r="AQ286" s="637">
        <f t="shared" si="429"/>
        <v>0</v>
      </c>
      <c r="AR286" s="639">
        <f t="shared" si="430"/>
        <v>0</v>
      </c>
      <c r="AS286" s="616">
        <f t="shared" si="368"/>
        <v>0</v>
      </c>
      <c r="AT286" s="616">
        <f t="shared" si="369"/>
        <v>0</v>
      </c>
      <c r="AU286" s="616">
        <f t="shared" si="370"/>
        <v>0</v>
      </c>
      <c r="AV286" s="616">
        <f t="shared" si="371"/>
        <v>0</v>
      </c>
      <c r="AW286" s="616">
        <f t="shared" si="372"/>
        <v>0</v>
      </c>
      <c r="AX286" s="616">
        <f t="shared" si="373"/>
        <v>0</v>
      </c>
      <c r="AY286" s="618"/>
      <c r="AZ286" s="615">
        <f t="shared" si="374"/>
        <v>0</v>
      </c>
      <c r="BA286" s="616">
        <f t="shared" si="375"/>
        <v>0</v>
      </c>
      <c r="BB286" s="616">
        <f t="shared" si="376"/>
        <v>0</v>
      </c>
      <c r="BC286" s="616">
        <f t="shared" si="377"/>
        <v>0</v>
      </c>
      <c r="BD286" s="616">
        <f t="shared" si="378"/>
        <v>0</v>
      </c>
      <c r="BE286" s="616">
        <f t="shared" si="379"/>
        <v>0</v>
      </c>
      <c r="BF286" s="616">
        <f t="shared" si="380"/>
        <v>0</v>
      </c>
      <c r="BG286" s="616"/>
      <c r="BH286" s="615">
        <f t="shared" si="381"/>
        <v>0</v>
      </c>
      <c r="BI286" s="616">
        <f t="shared" si="382"/>
        <v>0</v>
      </c>
      <c r="BJ286" s="616">
        <f t="shared" si="383"/>
        <v>0</v>
      </c>
      <c r="BK286" s="616">
        <f t="shared" si="384"/>
        <v>0</v>
      </c>
      <c r="BL286" s="616">
        <f t="shared" si="385"/>
        <v>0</v>
      </c>
      <c r="BM286" s="616">
        <f t="shared" si="386"/>
        <v>0</v>
      </c>
      <c r="BN286" s="616">
        <f t="shared" si="387"/>
        <v>0</v>
      </c>
      <c r="BO286" s="616"/>
      <c r="BP286" s="304"/>
    </row>
    <row r="287" s="131" customFormat="1" ht="24" spans="1:68">
      <c r="A287" s="497" t="s">
        <v>584</v>
      </c>
      <c r="B287" s="497" t="s">
        <v>483</v>
      </c>
      <c r="C287" s="497" t="s">
        <v>603</v>
      </c>
      <c r="D287" s="497" t="s">
        <v>604</v>
      </c>
      <c r="E287" s="617">
        <f t="shared" si="411"/>
        <v>0</v>
      </c>
      <c r="F287" s="617">
        <f t="shared" si="412"/>
        <v>0</v>
      </c>
      <c r="G287" s="618"/>
      <c r="H287" s="618"/>
      <c r="I287" s="618"/>
      <c r="J287" s="618"/>
      <c r="K287" s="618"/>
      <c r="L287" s="618"/>
      <c r="M287" s="617">
        <f t="shared" si="413"/>
        <v>0</v>
      </c>
      <c r="N287" s="618"/>
      <c r="O287" s="618"/>
      <c r="P287" s="618"/>
      <c r="Q287" s="618"/>
      <c r="R287" s="617">
        <f t="shared" si="414"/>
        <v>0</v>
      </c>
      <c r="S287" s="615">
        <f t="shared" si="415"/>
        <v>0</v>
      </c>
      <c r="T287" s="619"/>
      <c r="U287" s="619"/>
      <c r="V287" s="619"/>
      <c r="W287" s="619"/>
      <c r="X287" s="619"/>
      <c r="Y287" s="618"/>
      <c r="Z287" s="617">
        <f t="shared" si="416"/>
        <v>0</v>
      </c>
      <c r="AA287" s="619"/>
      <c r="AB287" s="618"/>
      <c r="AC287" s="618"/>
      <c r="AD287" s="618"/>
      <c r="AE287" s="615">
        <f t="shared" si="417"/>
        <v>0</v>
      </c>
      <c r="AF287" s="615">
        <f t="shared" si="418"/>
        <v>0</v>
      </c>
      <c r="AG287" s="616">
        <f t="shared" si="419"/>
        <v>0</v>
      </c>
      <c r="AH287" s="616">
        <f t="shared" si="420"/>
        <v>0</v>
      </c>
      <c r="AI287" s="616">
        <f t="shared" si="421"/>
        <v>0</v>
      </c>
      <c r="AJ287" s="616">
        <f t="shared" si="422"/>
        <v>0</v>
      </c>
      <c r="AK287" s="616">
        <f t="shared" si="423"/>
        <v>0</v>
      </c>
      <c r="AL287" s="616">
        <f t="shared" si="424"/>
        <v>0</v>
      </c>
      <c r="AM287" s="615">
        <f t="shared" si="425"/>
        <v>0</v>
      </c>
      <c r="AN287" s="616">
        <f t="shared" si="426"/>
        <v>0</v>
      </c>
      <c r="AO287" s="616">
        <f t="shared" si="427"/>
        <v>0</v>
      </c>
      <c r="AP287" s="616">
        <f t="shared" si="428"/>
        <v>0</v>
      </c>
      <c r="AQ287" s="637">
        <f t="shared" si="429"/>
        <v>0</v>
      </c>
      <c r="AR287" s="639">
        <f t="shared" si="430"/>
        <v>0</v>
      </c>
      <c r="AS287" s="616">
        <f t="shared" si="368"/>
        <v>0</v>
      </c>
      <c r="AT287" s="616">
        <f t="shared" si="369"/>
        <v>0</v>
      </c>
      <c r="AU287" s="616">
        <f t="shared" si="370"/>
        <v>0</v>
      </c>
      <c r="AV287" s="616">
        <f t="shared" si="371"/>
        <v>0</v>
      </c>
      <c r="AW287" s="616">
        <f t="shared" si="372"/>
        <v>0</v>
      </c>
      <c r="AX287" s="616">
        <f t="shared" si="373"/>
        <v>0</v>
      </c>
      <c r="AY287" s="618"/>
      <c r="AZ287" s="615">
        <f t="shared" si="374"/>
        <v>0</v>
      </c>
      <c r="BA287" s="616">
        <f t="shared" si="375"/>
        <v>0</v>
      </c>
      <c r="BB287" s="616">
        <f t="shared" si="376"/>
        <v>0</v>
      </c>
      <c r="BC287" s="616">
        <f t="shared" si="377"/>
        <v>0</v>
      </c>
      <c r="BD287" s="616">
        <f t="shared" si="378"/>
        <v>0</v>
      </c>
      <c r="BE287" s="616">
        <f t="shared" si="379"/>
        <v>0</v>
      </c>
      <c r="BF287" s="616">
        <f t="shared" si="380"/>
        <v>0</v>
      </c>
      <c r="BG287" s="616"/>
      <c r="BH287" s="615">
        <f t="shared" si="381"/>
        <v>0</v>
      </c>
      <c r="BI287" s="616">
        <f t="shared" si="382"/>
        <v>0</v>
      </c>
      <c r="BJ287" s="616">
        <f t="shared" si="383"/>
        <v>0</v>
      </c>
      <c r="BK287" s="616">
        <f t="shared" si="384"/>
        <v>0</v>
      </c>
      <c r="BL287" s="616">
        <f t="shared" si="385"/>
        <v>0</v>
      </c>
      <c r="BM287" s="616">
        <f t="shared" si="386"/>
        <v>0</v>
      </c>
      <c r="BN287" s="616">
        <f t="shared" si="387"/>
        <v>0</v>
      </c>
      <c r="BO287" s="616"/>
      <c r="BP287" s="304"/>
    </row>
    <row r="288" s="131" customFormat="1" ht="24" spans="1:68">
      <c r="A288" s="497" t="s">
        <v>584</v>
      </c>
      <c r="B288" s="497" t="s">
        <v>483</v>
      </c>
      <c r="C288" s="497" t="s">
        <v>605</v>
      </c>
      <c r="D288" s="497" t="s">
        <v>604</v>
      </c>
      <c r="E288" s="617">
        <f t="shared" si="411"/>
        <v>0</v>
      </c>
      <c r="F288" s="617">
        <f t="shared" si="412"/>
        <v>0</v>
      </c>
      <c r="G288" s="618"/>
      <c r="H288" s="618"/>
      <c r="I288" s="618"/>
      <c r="J288" s="618"/>
      <c r="K288" s="618"/>
      <c r="L288" s="618"/>
      <c r="M288" s="617">
        <f t="shared" si="413"/>
        <v>0</v>
      </c>
      <c r="N288" s="618"/>
      <c r="O288" s="618"/>
      <c r="P288" s="618"/>
      <c r="Q288" s="618"/>
      <c r="R288" s="617">
        <f t="shared" si="414"/>
        <v>0</v>
      </c>
      <c r="S288" s="615">
        <f t="shared" si="415"/>
        <v>0</v>
      </c>
      <c r="T288" s="618"/>
      <c r="U288" s="618"/>
      <c r="V288" s="618"/>
      <c r="W288" s="618"/>
      <c r="X288" s="618"/>
      <c r="Y288" s="618"/>
      <c r="Z288" s="617">
        <f t="shared" si="416"/>
        <v>0</v>
      </c>
      <c r="AA288" s="618"/>
      <c r="AB288" s="618"/>
      <c r="AC288" s="618"/>
      <c r="AD288" s="618"/>
      <c r="AE288" s="615">
        <f t="shared" si="417"/>
        <v>0</v>
      </c>
      <c r="AF288" s="615">
        <f t="shared" si="418"/>
        <v>0</v>
      </c>
      <c r="AG288" s="616">
        <f t="shared" si="419"/>
        <v>0</v>
      </c>
      <c r="AH288" s="616">
        <f t="shared" si="420"/>
        <v>0</v>
      </c>
      <c r="AI288" s="616">
        <f t="shared" si="421"/>
        <v>0</v>
      </c>
      <c r="AJ288" s="616">
        <f t="shared" si="422"/>
        <v>0</v>
      </c>
      <c r="AK288" s="616">
        <f t="shared" si="423"/>
        <v>0</v>
      </c>
      <c r="AL288" s="616">
        <f t="shared" si="424"/>
        <v>0</v>
      </c>
      <c r="AM288" s="615">
        <f t="shared" si="425"/>
        <v>0</v>
      </c>
      <c r="AN288" s="616">
        <f t="shared" si="426"/>
        <v>0</v>
      </c>
      <c r="AO288" s="616">
        <f t="shared" si="427"/>
        <v>0</v>
      </c>
      <c r="AP288" s="616">
        <f t="shared" si="428"/>
        <v>0</v>
      </c>
      <c r="AQ288" s="637">
        <f t="shared" si="429"/>
        <v>0</v>
      </c>
      <c r="AR288" s="639">
        <f t="shared" si="430"/>
        <v>0</v>
      </c>
      <c r="AS288" s="616">
        <f t="shared" si="368"/>
        <v>0</v>
      </c>
      <c r="AT288" s="616">
        <f t="shared" si="369"/>
        <v>0</v>
      </c>
      <c r="AU288" s="616">
        <f t="shared" si="370"/>
        <v>0</v>
      </c>
      <c r="AV288" s="616">
        <f t="shared" si="371"/>
        <v>0</v>
      </c>
      <c r="AW288" s="616">
        <f t="shared" si="372"/>
        <v>0</v>
      </c>
      <c r="AX288" s="616">
        <f t="shared" si="373"/>
        <v>0</v>
      </c>
      <c r="AY288" s="618"/>
      <c r="AZ288" s="615">
        <f t="shared" si="374"/>
        <v>0</v>
      </c>
      <c r="BA288" s="616">
        <f t="shared" si="375"/>
        <v>0</v>
      </c>
      <c r="BB288" s="616">
        <f t="shared" si="376"/>
        <v>0</v>
      </c>
      <c r="BC288" s="616">
        <f t="shared" si="377"/>
        <v>0</v>
      </c>
      <c r="BD288" s="616">
        <f t="shared" si="378"/>
        <v>0</v>
      </c>
      <c r="BE288" s="616">
        <f t="shared" si="379"/>
        <v>0</v>
      </c>
      <c r="BF288" s="616">
        <f t="shared" si="380"/>
        <v>0</v>
      </c>
      <c r="BG288" s="616"/>
      <c r="BH288" s="615">
        <f t="shared" si="381"/>
        <v>0</v>
      </c>
      <c r="BI288" s="616">
        <f t="shared" si="382"/>
        <v>0</v>
      </c>
      <c r="BJ288" s="616">
        <f t="shared" si="383"/>
        <v>0</v>
      </c>
      <c r="BK288" s="616">
        <f t="shared" si="384"/>
        <v>0</v>
      </c>
      <c r="BL288" s="616">
        <f t="shared" si="385"/>
        <v>0</v>
      </c>
      <c r="BM288" s="616">
        <f t="shared" si="386"/>
        <v>0</v>
      </c>
      <c r="BN288" s="616">
        <f t="shared" si="387"/>
        <v>0</v>
      </c>
      <c r="BO288" s="616"/>
      <c r="BP288" s="304"/>
    </row>
    <row r="289" s="508" customFormat="1" spans="1:69">
      <c r="A289" s="647"/>
      <c r="B289" s="647"/>
      <c r="C289" s="647" t="s">
        <v>137</v>
      </c>
      <c r="D289" s="648">
        <v>214</v>
      </c>
      <c r="E289" s="612">
        <f t="shared" ref="E289:P289" si="431">SUM(E290:E297)</f>
        <v>247.984</v>
      </c>
      <c r="F289" s="612">
        <f t="shared" si="431"/>
        <v>225.934</v>
      </c>
      <c r="G289" s="612">
        <f t="shared" si="431"/>
        <v>90.9024</v>
      </c>
      <c r="H289" s="612">
        <f t="shared" si="431"/>
        <v>56.8164</v>
      </c>
      <c r="I289" s="612">
        <f t="shared" si="431"/>
        <v>7.5752</v>
      </c>
      <c r="J289" s="612">
        <f t="shared" si="431"/>
        <v>0</v>
      </c>
      <c r="K289" s="612">
        <f t="shared" si="431"/>
        <v>0</v>
      </c>
      <c r="L289" s="612">
        <f t="shared" si="431"/>
        <v>70.64</v>
      </c>
      <c r="M289" s="612">
        <f t="shared" si="431"/>
        <v>22.05</v>
      </c>
      <c r="N289" s="612">
        <f t="shared" si="431"/>
        <v>0</v>
      </c>
      <c r="O289" s="612">
        <f t="shared" si="431"/>
        <v>0</v>
      </c>
      <c r="P289" s="612">
        <f t="shared" si="431"/>
        <v>11.55</v>
      </c>
      <c r="Q289" s="612">
        <f t="shared" ref="Q289:AE289" si="432">SUM(Q290:Q297)</f>
        <v>10.5</v>
      </c>
      <c r="R289" s="612">
        <f t="shared" si="432"/>
        <v>2.37</v>
      </c>
      <c r="S289" s="612">
        <f t="shared" si="432"/>
        <v>1.33</v>
      </c>
      <c r="T289" s="612">
        <f t="shared" si="432"/>
        <v>-1.51</v>
      </c>
      <c r="U289" s="612">
        <f t="shared" si="432"/>
        <v>1.18</v>
      </c>
      <c r="V289" s="612">
        <f t="shared" si="432"/>
        <v>0</v>
      </c>
      <c r="W289" s="612">
        <f t="shared" si="432"/>
        <v>0</v>
      </c>
      <c r="X289" s="612">
        <f t="shared" si="432"/>
        <v>0</v>
      </c>
      <c r="Y289" s="612">
        <f t="shared" si="432"/>
        <v>1.66</v>
      </c>
      <c r="Z289" s="612">
        <f t="shared" si="432"/>
        <v>1.04</v>
      </c>
      <c r="AA289" s="612">
        <f t="shared" si="432"/>
        <v>0</v>
      </c>
      <c r="AB289" s="612">
        <f t="shared" si="432"/>
        <v>1.05</v>
      </c>
      <c r="AC289" s="612">
        <f t="shared" si="432"/>
        <v>-0.01</v>
      </c>
      <c r="AD289" s="612">
        <f t="shared" si="432"/>
        <v>0</v>
      </c>
      <c r="AE289" s="612">
        <f t="shared" ref="AE289:AQ289" si="433">SUM(AE290:AE297)</f>
        <v>250.354</v>
      </c>
      <c r="AF289" s="612">
        <f t="shared" si="433"/>
        <v>227.264</v>
      </c>
      <c r="AG289" s="612">
        <f t="shared" si="433"/>
        <v>89.3924</v>
      </c>
      <c r="AH289" s="612">
        <f t="shared" si="433"/>
        <v>57.9964</v>
      </c>
      <c r="AI289" s="612">
        <f t="shared" si="433"/>
        <v>7.5752</v>
      </c>
      <c r="AJ289" s="612">
        <f t="shared" si="433"/>
        <v>0</v>
      </c>
      <c r="AK289" s="612">
        <f t="shared" si="433"/>
        <v>0</v>
      </c>
      <c r="AL289" s="612">
        <f t="shared" si="433"/>
        <v>72.3</v>
      </c>
      <c r="AM289" s="612">
        <f t="shared" si="433"/>
        <v>23.09</v>
      </c>
      <c r="AN289" s="612">
        <f t="shared" si="433"/>
        <v>0</v>
      </c>
      <c r="AO289" s="612">
        <f t="shared" si="433"/>
        <v>1.05</v>
      </c>
      <c r="AP289" s="612">
        <f t="shared" si="433"/>
        <v>11.54</v>
      </c>
      <c r="AQ289" s="635">
        <f t="shared" si="433"/>
        <v>10.5</v>
      </c>
      <c r="AR289" s="636">
        <f t="shared" ref="AR289:AY289" si="434">SUM(AR290:AR297)</f>
        <v>75.7380784</v>
      </c>
      <c r="AS289" s="612">
        <f t="shared" si="434"/>
        <v>36.14944</v>
      </c>
      <c r="AT289" s="612">
        <f t="shared" si="434"/>
        <v>11.817504</v>
      </c>
      <c r="AU289" s="612">
        <f t="shared" si="434"/>
        <v>8.863128</v>
      </c>
      <c r="AV289" s="612">
        <f t="shared" si="434"/>
        <v>0.2954376</v>
      </c>
      <c r="AW289" s="612">
        <f t="shared" si="434"/>
        <v>0.8863128</v>
      </c>
      <c r="AX289" s="612">
        <f t="shared" si="434"/>
        <v>17.726256</v>
      </c>
      <c r="AY289" s="612">
        <f t="shared" si="434"/>
        <v>0</v>
      </c>
      <c r="AZ289" s="612">
        <f t="shared" ref="AZ289:BO289" si="435">SUM(AZ290:AZ297)</f>
        <v>0.12436</v>
      </c>
      <c r="BA289" s="612">
        <f t="shared" si="435"/>
        <v>0.2128</v>
      </c>
      <c r="BB289" s="612">
        <f t="shared" si="435"/>
        <v>-0.0264</v>
      </c>
      <c r="BC289" s="612">
        <f t="shared" si="435"/>
        <v>-0.0198</v>
      </c>
      <c r="BD289" s="612">
        <f t="shared" si="435"/>
        <v>-0.00066</v>
      </c>
      <c r="BE289" s="612">
        <f t="shared" si="435"/>
        <v>-0.00198</v>
      </c>
      <c r="BF289" s="612">
        <f t="shared" si="435"/>
        <v>-0.0396</v>
      </c>
      <c r="BG289" s="612">
        <f t="shared" si="435"/>
        <v>0</v>
      </c>
      <c r="BH289" s="612">
        <f t="shared" si="435"/>
        <v>75.8624384</v>
      </c>
      <c r="BI289" s="612">
        <f t="shared" si="435"/>
        <v>36.36224</v>
      </c>
      <c r="BJ289" s="612">
        <f t="shared" si="435"/>
        <v>11.791104</v>
      </c>
      <c r="BK289" s="612">
        <f t="shared" si="435"/>
        <v>8.843328</v>
      </c>
      <c r="BL289" s="612">
        <f t="shared" si="435"/>
        <v>0.2947776</v>
      </c>
      <c r="BM289" s="612">
        <f t="shared" si="435"/>
        <v>0.8843328</v>
      </c>
      <c r="BN289" s="612">
        <f t="shared" si="435"/>
        <v>17.686656</v>
      </c>
      <c r="BO289" s="612">
        <f t="shared" si="435"/>
        <v>0</v>
      </c>
      <c r="BP289" s="334"/>
      <c r="BQ289" s="580"/>
    </row>
    <row r="290" s="130" customFormat="1" ht="24" spans="1:68">
      <c r="A290" s="497" t="s">
        <v>261</v>
      </c>
      <c r="B290" s="497" t="s">
        <v>203</v>
      </c>
      <c r="C290" s="497" t="s">
        <v>606</v>
      </c>
      <c r="D290" s="497" t="s">
        <v>607</v>
      </c>
      <c r="E290" s="615">
        <f t="shared" ref="E290:E297" si="436">F290+M290</f>
        <v>170.2835</v>
      </c>
      <c r="F290" s="615">
        <f t="shared" ref="F290:F297" si="437">SUM(G290:L290)</f>
        <v>148.2335</v>
      </c>
      <c r="G290" s="616">
        <v>45.8964</v>
      </c>
      <c r="H290" s="616">
        <v>27.8724</v>
      </c>
      <c r="I290" s="616">
        <v>3.8247</v>
      </c>
      <c r="J290" s="616"/>
      <c r="K290" s="616"/>
      <c r="L290" s="616">
        <v>70.64</v>
      </c>
      <c r="M290" s="615">
        <f t="shared" ref="M290:M297" si="438">SUM(N290:Q290)</f>
        <v>22.05</v>
      </c>
      <c r="N290" s="616"/>
      <c r="O290" s="616"/>
      <c r="P290" s="616">
        <v>11.55</v>
      </c>
      <c r="Q290" s="616">
        <v>10.5</v>
      </c>
      <c r="R290" s="615">
        <f t="shared" ref="R290:R297" si="439">S290+Z290</f>
        <v>3.05</v>
      </c>
      <c r="S290" s="615">
        <f t="shared" ref="S290:S297" si="440">SUM(T290:Y290)</f>
        <v>2.46</v>
      </c>
      <c r="T290" s="616">
        <v>0.62</v>
      </c>
      <c r="U290" s="616">
        <v>0.18</v>
      </c>
      <c r="V290" s="616"/>
      <c r="W290" s="616"/>
      <c r="X290" s="616"/>
      <c r="Y290" s="616">
        <v>1.66</v>
      </c>
      <c r="Z290" s="615">
        <f t="shared" ref="Z290:Z297" si="441">SUM(AA290:AD290)</f>
        <v>0.59</v>
      </c>
      <c r="AA290" s="616"/>
      <c r="AB290" s="616">
        <v>0.6</v>
      </c>
      <c r="AC290" s="616">
        <v>-0.01</v>
      </c>
      <c r="AD290" s="616"/>
      <c r="AE290" s="615">
        <f t="shared" ref="AE290:AE297" si="442">AF290+AM290</f>
        <v>173.3335</v>
      </c>
      <c r="AF290" s="615">
        <f t="shared" ref="AF290:AF297" si="443">SUM(AG290:AL290)</f>
        <v>150.6935</v>
      </c>
      <c r="AG290" s="616">
        <f t="shared" ref="AG290:AG297" si="444">G290+T290</f>
        <v>46.5164</v>
      </c>
      <c r="AH290" s="616">
        <f t="shared" ref="AH290:AH297" si="445">H290+U290</f>
        <v>28.0524</v>
      </c>
      <c r="AI290" s="616">
        <f t="shared" ref="AI290:AI297" si="446">I290+V290</f>
        <v>3.8247</v>
      </c>
      <c r="AJ290" s="616">
        <f t="shared" ref="AJ290:AJ297" si="447">J290+W290</f>
        <v>0</v>
      </c>
      <c r="AK290" s="616">
        <f t="shared" ref="AK290:AK297" si="448">K290+X290</f>
        <v>0</v>
      </c>
      <c r="AL290" s="616">
        <f t="shared" ref="AL290:AL297" si="449">L290+Y290</f>
        <v>72.3</v>
      </c>
      <c r="AM290" s="615">
        <f t="shared" ref="AM290:AM297" si="450">SUM(AN290:AQ290)</f>
        <v>22.64</v>
      </c>
      <c r="AN290" s="616">
        <f t="shared" ref="AN290:AN297" si="451">N290+AA290</f>
        <v>0</v>
      </c>
      <c r="AO290" s="616">
        <f t="shared" ref="AO290:AO297" si="452">O290+AB290</f>
        <v>0.6</v>
      </c>
      <c r="AP290" s="616">
        <f t="shared" ref="AP290:AP297" si="453">P290+AC290</f>
        <v>11.54</v>
      </c>
      <c r="AQ290" s="637">
        <f t="shared" ref="AQ290:AQ297" si="454">Q290+AD290</f>
        <v>10.5</v>
      </c>
      <c r="AR290" s="638">
        <f t="shared" ref="AR290:AR297" si="455">SUM(AS290:AY290)</f>
        <v>43.4873984</v>
      </c>
      <c r="AS290" s="616">
        <f t="shared" si="368"/>
        <v>23.71736</v>
      </c>
      <c r="AT290" s="616">
        <f t="shared" si="369"/>
        <v>5.901504</v>
      </c>
      <c r="AU290" s="616">
        <f t="shared" si="370"/>
        <v>4.426128</v>
      </c>
      <c r="AV290" s="616">
        <f t="shared" si="371"/>
        <v>0.1475376</v>
      </c>
      <c r="AW290" s="616">
        <f t="shared" si="372"/>
        <v>0.4426128</v>
      </c>
      <c r="AX290" s="616">
        <f t="shared" si="373"/>
        <v>8.852256</v>
      </c>
      <c r="AY290" s="616"/>
      <c r="AZ290" s="615">
        <f t="shared" si="374"/>
        <v>0.608</v>
      </c>
      <c r="BA290" s="616">
        <f t="shared" si="375"/>
        <v>0.3936</v>
      </c>
      <c r="BB290" s="616">
        <f t="shared" si="376"/>
        <v>0.064</v>
      </c>
      <c r="BC290" s="616">
        <f t="shared" si="377"/>
        <v>0.048</v>
      </c>
      <c r="BD290" s="616">
        <f t="shared" si="378"/>
        <v>0.0016</v>
      </c>
      <c r="BE290" s="616">
        <f t="shared" si="379"/>
        <v>0.0048</v>
      </c>
      <c r="BF290" s="616">
        <f t="shared" si="380"/>
        <v>0.096</v>
      </c>
      <c r="BG290" s="616"/>
      <c r="BH290" s="615">
        <f t="shared" si="381"/>
        <v>44.0953984</v>
      </c>
      <c r="BI290" s="616">
        <f t="shared" si="382"/>
        <v>24.11096</v>
      </c>
      <c r="BJ290" s="616">
        <f t="shared" si="383"/>
        <v>5.965504</v>
      </c>
      <c r="BK290" s="616">
        <f t="shared" si="384"/>
        <v>4.474128</v>
      </c>
      <c r="BL290" s="616">
        <f t="shared" si="385"/>
        <v>0.1491376</v>
      </c>
      <c r="BM290" s="616">
        <f t="shared" si="386"/>
        <v>0.4474128</v>
      </c>
      <c r="BN290" s="616">
        <f t="shared" si="387"/>
        <v>8.948256</v>
      </c>
      <c r="BO290" s="616"/>
      <c r="BP290" s="304"/>
    </row>
    <row r="291" s="130" customFormat="1" ht="24" spans="1:68">
      <c r="A291" s="497" t="s">
        <v>261</v>
      </c>
      <c r="B291" s="497" t="s">
        <v>203</v>
      </c>
      <c r="C291" s="497" t="s">
        <v>608</v>
      </c>
      <c r="D291" s="497" t="s">
        <v>607</v>
      </c>
      <c r="E291" s="615">
        <f t="shared" si="436"/>
        <v>77.7005</v>
      </c>
      <c r="F291" s="615">
        <f t="shared" si="437"/>
        <v>77.7005</v>
      </c>
      <c r="G291" s="616">
        <v>45.006</v>
      </c>
      <c r="H291" s="616">
        <v>28.944</v>
      </c>
      <c r="I291" s="616">
        <v>3.7505</v>
      </c>
      <c r="J291" s="616"/>
      <c r="K291" s="616"/>
      <c r="L291" s="616"/>
      <c r="M291" s="615">
        <f t="shared" si="438"/>
        <v>0</v>
      </c>
      <c r="N291" s="616"/>
      <c r="O291" s="616"/>
      <c r="P291" s="616"/>
      <c r="Q291" s="616"/>
      <c r="R291" s="615">
        <f t="shared" si="439"/>
        <v>-0.68</v>
      </c>
      <c r="S291" s="615">
        <f t="shared" si="440"/>
        <v>-1.13</v>
      </c>
      <c r="T291" s="616">
        <v>-2.13</v>
      </c>
      <c r="U291" s="616">
        <v>1</v>
      </c>
      <c r="V291" s="616"/>
      <c r="W291" s="616"/>
      <c r="X291" s="616"/>
      <c r="Y291" s="616"/>
      <c r="Z291" s="615">
        <f t="shared" si="441"/>
        <v>0.45</v>
      </c>
      <c r="AA291" s="616"/>
      <c r="AB291" s="616">
        <v>0.45</v>
      </c>
      <c r="AC291" s="616"/>
      <c r="AD291" s="616"/>
      <c r="AE291" s="615">
        <f t="shared" si="442"/>
        <v>77.0205</v>
      </c>
      <c r="AF291" s="615">
        <f t="shared" si="443"/>
        <v>76.5705</v>
      </c>
      <c r="AG291" s="616">
        <f t="shared" si="444"/>
        <v>42.876</v>
      </c>
      <c r="AH291" s="616">
        <f t="shared" si="445"/>
        <v>29.944</v>
      </c>
      <c r="AI291" s="616">
        <f t="shared" si="446"/>
        <v>3.7505</v>
      </c>
      <c r="AJ291" s="616">
        <f t="shared" si="447"/>
        <v>0</v>
      </c>
      <c r="AK291" s="616">
        <f t="shared" si="448"/>
        <v>0</v>
      </c>
      <c r="AL291" s="616">
        <f t="shared" si="449"/>
        <v>0</v>
      </c>
      <c r="AM291" s="615">
        <f t="shared" si="450"/>
        <v>0.45</v>
      </c>
      <c r="AN291" s="616">
        <f t="shared" si="451"/>
        <v>0</v>
      </c>
      <c r="AO291" s="616">
        <f t="shared" si="452"/>
        <v>0.45</v>
      </c>
      <c r="AP291" s="616">
        <f t="shared" si="453"/>
        <v>0</v>
      </c>
      <c r="AQ291" s="637">
        <f t="shared" si="454"/>
        <v>0</v>
      </c>
      <c r="AR291" s="638">
        <f t="shared" si="455"/>
        <v>32.25068</v>
      </c>
      <c r="AS291" s="616">
        <f t="shared" si="368"/>
        <v>12.43208</v>
      </c>
      <c r="AT291" s="616">
        <f t="shared" si="369"/>
        <v>5.916</v>
      </c>
      <c r="AU291" s="616">
        <f t="shared" si="370"/>
        <v>4.437</v>
      </c>
      <c r="AV291" s="616">
        <f t="shared" si="371"/>
        <v>0.1479</v>
      </c>
      <c r="AW291" s="616">
        <f t="shared" si="372"/>
        <v>0.4437</v>
      </c>
      <c r="AX291" s="616">
        <f t="shared" si="373"/>
        <v>8.874</v>
      </c>
      <c r="AY291" s="616"/>
      <c r="AZ291" s="615">
        <f t="shared" si="374"/>
        <v>-0.48364</v>
      </c>
      <c r="BA291" s="616">
        <f t="shared" si="375"/>
        <v>-0.1808</v>
      </c>
      <c r="BB291" s="616">
        <f t="shared" si="376"/>
        <v>-0.0904</v>
      </c>
      <c r="BC291" s="616">
        <f t="shared" si="377"/>
        <v>-0.0678</v>
      </c>
      <c r="BD291" s="616">
        <f t="shared" si="378"/>
        <v>-0.00226</v>
      </c>
      <c r="BE291" s="616">
        <f t="shared" si="379"/>
        <v>-0.00678</v>
      </c>
      <c r="BF291" s="616">
        <f t="shared" si="380"/>
        <v>-0.1356</v>
      </c>
      <c r="BG291" s="616"/>
      <c r="BH291" s="615">
        <f t="shared" si="381"/>
        <v>31.76704</v>
      </c>
      <c r="BI291" s="616">
        <f t="shared" si="382"/>
        <v>12.25128</v>
      </c>
      <c r="BJ291" s="616">
        <f t="shared" si="383"/>
        <v>5.8256</v>
      </c>
      <c r="BK291" s="616">
        <f t="shared" si="384"/>
        <v>4.3692</v>
      </c>
      <c r="BL291" s="616">
        <f t="shared" si="385"/>
        <v>0.14564</v>
      </c>
      <c r="BM291" s="616">
        <f t="shared" si="386"/>
        <v>0.43692</v>
      </c>
      <c r="BN291" s="616">
        <f t="shared" si="387"/>
        <v>8.7384</v>
      </c>
      <c r="BO291" s="616"/>
      <c r="BP291" s="304"/>
    </row>
    <row r="292" s="130" customFormat="1" ht="36" spans="1:68">
      <c r="A292" s="497" t="s">
        <v>261</v>
      </c>
      <c r="B292" s="497" t="s">
        <v>206</v>
      </c>
      <c r="C292" s="497" t="s">
        <v>609</v>
      </c>
      <c r="D292" s="497" t="s">
        <v>610</v>
      </c>
      <c r="E292" s="615">
        <f t="shared" si="436"/>
        <v>0</v>
      </c>
      <c r="F292" s="615">
        <f t="shared" si="437"/>
        <v>0</v>
      </c>
      <c r="G292" s="616"/>
      <c r="H292" s="616"/>
      <c r="I292" s="616"/>
      <c r="J292" s="616"/>
      <c r="K292" s="616"/>
      <c r="L292" s="616"/>
      <c r="M292" s="615">
        <f t="shared" si="438"/>
        <v>0</v>
      </c>
      <c r="N292" s="616"/>
      <c r="O292" s="616"/>
      <c r="P292" s="616"/>
      <c r="Q292" s="616"/>
      <c r="R292" s="615">
        <f t="shared" si="439"/>
        <v>0</v>
      </c>
      <c r="S292" s="615">
        <f t="shared" si="440"/>
        <v>0</v>
      </c>
      <c r="T292" s="616"/>
      <c r="U292" s="616"/>
      <c r="V292" s="616"/>
      <c r="W292" s="616"/>
      <c r="X292" s="616"/>
      <c r="Y292" s="616"/>
      <c r="Z292" s="615">
        <f t="shared" si="441"/>
        <v>0</v>
      </c>
      <c r="AA292" s="616"/>
      <c r="AB292" s="616"/>
      <c r="AC292" s="616"/>
      <c r="AD292" s="616"/>
      <c r="AE292" s="615">
        <f t="shared" si="442"/>
        <v>0</v>
      </c>
      <c r="AF292" s="615">
        <f t="shared" si="443"/>
        <v>0</v>
      </c>
      <c r="AG292" s="616">
        <f t="shared" si="444"/>
        <v>0</v>
      </c>
      <c r="AH292" s="616">
        <f t="shared" si="445"/>
        <v>0</v>
      </c>
      <c r="AI292" s="616">
        <f t="shared" si="446"/>
        <v>0</v>
      </c>
      <c r="AJ292" s="616">
        <f t="shared" si="447"/>
        <v>0</v>
      </c>
      <c r="AK292" s="616">
        <f t="shared" si="448"/>
        <v>0</v>
      </c>
      <c r="AL292" s="616">
        <f t="shared" si="449"/>
        <v>0</v>
      </c>
      <c r="AM292" s="615">
        <f t="shared" si="450"/>
        <v>0</v>
      </c>
      <c r="AN292" s="616">
        <f t="shared" si="451"/>
        <v>0</v>
      </c>
      <c r="AO292" s="616">
        <f t="shared" si="452"/>
        <v>0</v>
      </c>
      <c r="AP292" s="616">
        <f t="shared" si="453"/>
        <v>0</v>
      </c>
      <c r="AQ292" s="637">
        <f t="shared" si="454"/>
        <v>0</v>
      </c>
      <c r="AR292" s="638">
        <f t="shared" si="455"/>
        <v>0</v>
      </c>
      <c r="AS292" s="616">
        <f t="shared" si="368"/>
        <v>0</v>
      </c>
      <c r="AT292" s="616">
        <f t="shared" si="369"/>
        <v>0</v>
      </c>
      <c r="AU292" s="616">
        <f t="shared" si="370"/>
        <v>0</v>
      </c>
      <c r="AV292" s="616">
        <f t="shared" si="371"/>
        <v>0</v>
      </c>
      <c r="AW292" s="616">
        <f t="shared" si="372"/>
        <v>0</v>
      </c>
      <c r="AX292" s="616">
        <f t="shared" si="373"/>
        <v>0</v>
      </c>
      <c r="AY292" s="616"/>
      <c r="AZ292" s="615">
        <f t="shared" si="374"/>
        <v>0</v>
      </c>
      <c r="BA292" s="616">
        <f t="shared" si="375"/>
        <v>0</v>
      </c>
      <c r="BB292" s="616">
        <f t="shared" si="376"/>
        <v>0</v>
      </c>
      <c r="BC292" s="616">
        <f t="shared" si="377"/>
        <v>0</v>
      </c>
      <c r="BD292" s="616">
        <f t="shared" si="378"/>
        <v>0</v>
      </c>
      <c r="BE292" s="616">
        <f t="shared" si="379"/>
        <v>0</v>
      </c>
      <c r="BF292" s="616">
        <f t="shared" si="380"/>
        <v>0</v>
      </c>
      <c r="BG292" s="616"/>
      <c r="BH292" s="615">
        <f t="shared" si="381"/>
        <v>0</v>
      </c>
      <c r="BI292" s="616">
        <f t="shared" si="382"/>
        <v>0</v>
      </c>
      <c r="BJ292" s="616">
        <f t="shared" si="383"/>
        <v>0</v>
      </c>
      <c r="BK292" s="616">
        <f t="shared" si="384"/>
        <v>0</v>
      </c>
      <c r="BL292" s="616">
        <f t="shared" si="385"/>
        <v>0</v>
      </c>
      <c r="BM292" s="616">
        <f t="shared" si="386"/>
        <v>0</v>
      </c>
      <c r="BN292" s="616">
        <f t="shared" si="387"/>
        <v>0</v>
      </c>
      <c r="BO292" s="616"/>
      <c r="BP292" s="304"/>
    </row>
    <row r="293" s="130" customFormat="1" ht="36" spans="1:68">
      <c r="A293" s="497" t="s">
        <v>261</v>
      </c>
      <c r="B293" s="497" t="s">
        <v>206</v>
      </c>
      <c r="C293" s="497" t="s">
        <v>611</v>
      </c>
      <c r="D293" s="497" t="s">
        <v>610</v>
      </c>
      <c r="E293" s="615">
        <f t="shared" si="436"/>
        <v>0</v>
      </c>
      <c r="F293" s="615">
        <f t="shared" si="437"/>
        <v>0</v>
      </c>
      <c r="G293" s="616"/>
      <c r="H293" s="616"/>
      <c r="I293" s="616"/>
      <c r="J293" s="616"/>
      <c r="K293" s="616"/>
      <c r="L293" s="616"/>
      <c r="M293" s="615">
        <f t="shared" si="438"/>
        <v>0</v>
      </c>
      <c r="N293" s="616"/>
      <c r="O293" s="616"/>
      <c r="P293" s="616"/>
      <c r="Q293" s="616"/>
      <c r="R293" s="615">
        <f t="shared" si="439"/>
        <v>0</v>
      </c>
      <c r="S293" s="615">
        <f t="shared" si="440"/>
        <v>0</v>
      </c>
      <c r="T293" s="616"/>
      <c r="U293" s="616"/>
      <c r="V293" s="616"/>
      <c r="W293" s="616"/>
      <c r="X293" s="616"/>
      <c r="Y293" s="616"/>
      <c r="Z293" s="615">
        <f t="shared" si="441"/>
        <v>0</v>
      </c>
      <c r="AA293" s="616"/>
      <c r="AB293" s="616"/>
      <c r="AC293" s="616"/>
      <c r="AD293" s="616"/>
      <c r="AE293" s="615">
        <f t="shared" si="442"/>
        <v>0</v>
      </c>
      <c r="AF293" s="615">
        <f t="shared" si="443"/>
        <v>0</v>
      </c>
      <c r="AG293" s="616">
        <f t="shared" si="444"/>
        <v>0</v>
      </c>
      <c r="AH293" s="616">
        <f t="shared" si="445"/>
        <v>0</v>
      </c>
      <c r="AI293" s="616">
        <f t="shared" si="446"/>
        <v>0</v>
      </c>
      <c r="AJ293" s="616">
        <f t="shared" si="447"/>
        <v>0</v>
      </c>
      <c r="AK293" s="616">
        <f t="shared" si="448"/>
        <v>0</v>
      </c>
      <c r="AL293" s="616">
        <f t="shared" si="449"/>
        <v>0</v>
      </c>
      <c r="AM293" s="615">
        <f t="shared" si="450"/>
        <v>0</v>
      </c>
      <c r="AN293" s="616">
        <f t="shared" si="451"/>
        <v>0</v>
      </c>
      <c r="AO293" s="616">
        <f t="shared" si="452"/>
        <v>0</v>
      </c>
      <c r="AP293" s="616">
        <f t="shared" si="453"/>
        <v>0</v>
      </c>
      <c r="AQ293" s="637">
        <f t="shared" si="454"/>
        <v>0</v>
      </c>
      <c r="AR293" s="638">
        <f t="shared" si="455"/>
        <v>0</v>
      </c>
      <c r="AS293" s="616">
        <f t="shared" si="368"/>
        <v>0</v>
      </c>
      <c r="AT293" s="616">
        <f t="shared" si="369"/>
        <v>0</v>
      </c>
      <c r="AU293" s="616">
        <f t="shared" si="370"/>
        <v>0</v>
      </c>
      <c r="AV293" s="616">
        <f t="shared" si="371"/>
        <v>0</v>
      </c>
      <c r="AW293" s="616">
        <f t="shared" si="372"/>
        <v>0</v>
      </c>
      <c r="AX293" s="616">
        <f t="shared" si="373"/>
        <v>0</v>
      </c>
      <c r="AY293" s="616"/>
      <c r="AZ293" s="615">
        <f t="shared" si="374"/>
        <v>0</v>
      </c>
      <c r="BA293" s="616">
        <f t="shared" si="375"/>
        <v>0</v>
      </c>
      <c r="BB293" s="616">
        <f t="shared" si="376"/>
        <v>0</v>
      </c>
      <c r="BC293" s="616">
        <f t="shared" si="377"/>
        <v>0</v>
      </c>
      <c r="BD293" s="616">
        <f t="shared" si="378"/>
        <v>0</v>
      </c>
      <c r="BE293" s="616">
        <f t="shared" si="379"/>
        <v>0</v>
      </c>
      <c r="BF293" s="616">
        <f t="shared" si="380"/>
        <v>0</v>
      </c>
      <c r="BG293" s="616"/>
      <c r="BH293" s="615">
        <f t="shared" si="381"/>
        <v>0</v>
      </c>
      <c r="BI293" s="616">
        <f t="shared" si="382"/>
        <v>0</v>
      </c>
      <c r="BJ293" s="616">
        <f t="shared" si="383"/>
        <v>0</v>
      </c>
      <c r="BK293" s="616">
        <f t="shared" si="384"/>
        <v>0</v>
      </c>
      <c r="BL293" s="616">
        <f t="shared" si="385"/>
        <v>0</v>
      </c>
      <c r="BM293" s="616">
        <f t="shared" si="386"/>
        <v>0</v>
      </c>
      <c r="BN293" s="616">
        <f t="shared" si="387"/>
        <v>0</v>
      </c>
      <c r="BO293" s="616"/>
      <c r="BP293" s="304"/>
    </row>
    <row r="294" s="130" customFormat="1" ht="36" spans="1:68">
      <c r="A294" s="497" t="s">
        <v>261</v>
      </c>
      <c r="B294" s="497" t="s">
        <v>206</v>
      </c>
      <c r="C294" s="497" t="s">
        <v>612</v>
      </c>
      <c r="D294" s="497" t="s">
        <v>610</v>
      </c>
      <c r="E294" s="615">
        <f t="shared" si="436"/>
        <v>0</v>
      </c>
      <c r="F294" s="615">
        <f t="shared" si="437"/>
        <v>0</v>
      </c>
      <c r="G294" s="616"/>
      <c r="H294" s="616"/>
      <c r="I294" s="616"/>
      <c r="J294" s="616"/>
      <c r="K294" s="616"/>
      <c r="L294" s="616"/>
      <c r="M294" s="615">
        <f t="shared" si="438"/>
        <v>0</v>
      </c>
      <c r="N294" s="616"/>
      <c r="O294" s="616"/>
      <c r="P294" s="616"/>
      <c r="Q294" s="616"/>
      <c r="R294" s="615">
        <f t="shared" si="439"/>
        <v>0</v>
      </c>
      <c r="S294" s="615">
        <f t="shared" si="440"/>
        <v>0</v>
      </c>
      <c r="T294" s="616"/>
      <c r="U294" s="616"/>
      <c r="V294" s="616"/>
      <c r="W294" s="616"/>
      <c r="X294" s="616"/>
      <c r="Y294" s="616"/>
      <c r="Z294" s="615">
        <f t="shared" si="441"/>
        <v>0</v>
      </c>
      <c r="AA294" s="616"/>
      <c r="AB294" s="616"/>
      <c r="AC294" s="616"/>
      <c r="AD294" s="616"/>
      <c r="AE294" s="615">
        <f t="shared" si="442"/>
        <v>0</v>
      </c>
      <c r="AF294" s="615">
        <f t="shared" si="443"/>
        <v>0</v>
      </c>
      <c r="AG294" s="616">
        <f t="shared" si="444"/>
        <v>0</v>
      </c>
      <c r="AH294" s="616">
        <f t="shared" si="445"/>
        <v>0</v>
      </c>
      <c r="AI294" s="616">
        <f t="shared" si="446"/>
        <v>0</v>
      </c>
      <c r="AJ294" s="616">
        <f t="shared" si="447"/>
        <v>0</v>
      </c>
      <c r="AK294" s="616">
        <f t="shared" si="448"/>
        <v>0</v>
      </c>
      <c r="AL294" s="616">
        <f t="shared" si="449"/>
        <v>0</v>
      </c>
      <c r="AM294" s="615">
        <f t="shared" si="450"/>
        <v>0</v>
      </c>
      <c r="AN294" s="616">
        <f t="shared" si="451"/>
        <v>0</v>
      </c>
      <c r="AO294" s="616">
        <f t="shared" si="452"/>
        <v>0</v>
      </c>
      <c r="AP294" s="616">
        <f t="shared" si="453"/>
        <v>0</v>
      </c>
      <c r="AQ294" s="637">
        <f t="shared" si="454"/>
        <v>0</v>
      </c>
      <c r="AR294" s="638">
        <f t="shared" si="455"/>
        <v>0</v>
      </c>
      <c r="AS294" s="616">
        <f t="shared" si="368"/>
        <v>0</v>
      </c>
      <c r="AT294" s="616">
        <f t="shared" si="369"/>
        <v>0</v>
      </c>
      <c r="AU294" s="616">
        <f t="shared" si="370"/>
        <v>0</v>
      </c>
      <c r="AV294" s="616">
        <f t="shared" si="371"/>
        <v>0</v>
      </c>
      <c r="AW294" s="616">
        <f t="shared" si="372"/>
        <v>0</v>
      </c>
      <c r="AX294" s="616">
        <f t="shared" si="373"/>
        <v>0</v>
      </c>
      <c r="AY294" s="616"/>
      <c r="AZ294" s="615">
        <f t="shared" si="374"/>
        <v>0</v>
      </c>
      <c r="BA294" s="616">
        <f t="shared" si="375"/>
        <v>0</v>
      </c>
      <c r="BB294" s="616">
        <f t="shared" si="376"/>
        <v>0</v>
      </c>
      <c r="BC294" s="616">
        <f t="shared" si="377"/>
        <v>0</v>
      </c>
      <c r="BD294" s="616">
        <f t="shared" si="378"/>
        <v>0</v>
      </c>
      <c r="BE294" s="616">
        <f t="shared" si="379"/>
        <v>0</v>
      </c>
      <c r="BF294" s="616">
        <f t="shared" si="380"/>
        <v>0</v>
      </c>
      <c r="BG294" s="616"/>
      <c r="BH294" s="615">
        <f t="shared" si="381"/>
        <v>0</v>
      </c>
      <c r="BI294" s="616">
        <f t="shared" si="382"/>
        <v>0</v>
      </c>
      <c r="BJ294" s="616">
        <f t="shared" si="383"/>
        <v>0</v>
      </c>
      <c r="BK294" s="616">
        <f t="shared" si="384"/>
        <v>0</v>
      </c>
      <c r="BL294" s="616">
        <f t="shared" si="385"/>
        <v>0</v>
      </c>
      <c r="BM294" s="616">
        <f t="shared" si="386"/>
        <v>0</v>
      </c>
      <c r="BN294" s="616">
        <f t="shared" si="387"/>
        <v>0</v>
      </c>
      <c r="BO294" s="616"/>
      <c r="BP294" s="304"/>
    </row>
    <row r="295" s="130" customFormat="1" ht="36" spans="1:68">
      <c r="A295" s="497" t="s">
        <v>261</v>
      </c>
      <c r="B295" s="497" t="s">
        <v>206</v>
      </c>
      <c r="C295" s="497" t="s">
        <v>613</v>
      </c>
      <c r="D295" s="497" t="s">
        <v>614</v>
      </c>
      <c r="E295" s="615">
        <f t="shared" si="436"/>
        <v>0</v>
      </c>
      <c r="F295" s="615">
        <f t="shared" si="437"/>
        <v>0</v>
      </c>
      <c r="G295" s="616"/>
      <c r="H295" s="616"/>
      <c r="I295" s="616"/>
      <c r="J295" s="616"/>
      <c r="K295" s="616"/>
      <c r="L295" s="616"/>
      <c r="M295" s="615">
        <f t="shared" si="438"/>
        <v>0</v>
      </c>
      <c r="N295" s="616"/>
      <c r="O295" s="616"/>
      <c r="P295" s="616"/>
      <c r="Q295" s="616"/>
      <c r="R295" s="615">
        <f t="shared" si="439"/>
        <v>0</v>
      </c>
      <c r="S295" s="615">
        <f t="shared" si="440"/>
        <v>0</v>
      </c>
      <c r="T295" s="616"/>
      <c r="U295" s="616"/>
      <c r="V295" s="616"/>
      <c r="W295" s="616"/>
      <c r="X295" s="616"/>
      <c r="Y295" s="616"/>
      <c r="Z295" s="615">
        <f t="shared" si="441"/>
        <v>0</v>
      </c>
      <c r="AA295" s="616"/>
      <c r="AB295" s="616"/>
      <c r="AC295" s="616"/>
      <c r="AD295" s="616"/>
      <c r="AE295" s="615">
        <f t="shared" si="442"/>
        <v>0</v>
      </c>
      <c r="AF295" s="615">
        <f t="shared" si="443"/>
        <v>0</v>
      </c>
      <c r="AG295" s="616">
        <f t="shared" si="444"/>
        <v>0</v>
      </c>
      <c r="AH295" s="616">
        <f t="shared" si="445"/>
        <v>0</v>
      </c>
      <c r="AI295" s="616">
        <f t="shared" si="446"/>
        <v>0</v>
      </c>
      <c r="AJ295" s="616">
        <f t="shared" si="447"/>
        <v>0</v>
      </c>
      <c r="AK295" s="616">
        <f t="shared" si="448"/>
        <v>0</v>
      </c>
      <c r="AL295" s="616">
        <f t="shared" si="449"/>
        <v>0</v>
      </c>
      <c r="AM295" s="615">
        <f t="shared" si="450"/>
        <v>0</v>
      </c>
      <c r="AN295" s="616">
        <f t="shared" si="451"/>
        <v>0</v>
      </c>
      <c r="AO295" s="616">
        <f t="shared" si="452"/>
        <v>0</v>
      </c>
      <c r="AP295" s="616">
        <f t="shared" si="453"/>
        <v>0</v>
      </c>
      <c r="AQ295" s="637">
        <f t="shared" si="454"/>
        <v>0</v>
      </c>
      <c r="AR295" s="638">
        <f t="shared" si="455"/>
        <v>0</v>
      </c>
      <c r="AS295" s="616">
        <f t="shared" si="368"/>
        <v>0</v>
      </c>
      <c r="AT295" s="616">
        <f t="shared" si="369"/>
        <v>0</v>
      </c>
      <c r="AU295" s="616">
        <f t="shared" si="370"/>
        <v>0</v>
      </c>
      <c r="AV295" s="616">
        <f t="shared" si="371"/>
        <v>0</v>
      </c>
      <c r="AW295" s="616">
        <f t="shared" si="372"/>
        <v>0</v>
      </c>
      <c r="AX295" s="616">
        <f t="shared" si="373"/>
        <v>0</v>
      </c>
      <c r="AY295" s="616"/>
      <c r="AZ295" s="615">
        <f t="shared" si="374"/>
        <v>0</v>
      </c>
      <c r="BA295" s="616">
        <f t="shared" si="375"/>
        <v>0</v>
      </c>
      <c r="BB295" s="616">
        <f t="shared" si="376"/>
        <v>0</v>
      </c>
      <c r="BC295" s="616">
        <f t="shared" si="377"/>
        <v>0</v>
      </c>
      <c r="BD295" s="616">
        <f t="shared" si="378"/>
        <v>0</v>
      </c>
      <c r="BE295" s="616">
        <f t="shared" si="379"/>
        <v>0</v>
      </c>
      <c r="BF295" s="616">
        <f t="shared" si="380"/>
        <v>0</v>
      </c>
      <c r="BG295" s="616"/>
      <c r="BH295" s="615">
        <f t="shared" si="381"/>
        <v>0</v>
      </c>
      <c r="BI295" s="616">
        <f t="shared" si="382"/>
        <v>0</v>
      </c>
      <c r="BJ295" s="616">
        <f t="shared" si="383"/>
        <v>0</v>
      </c>
      <c r="BK295" s="616">
        <f t="shared" si="384"/>
        <v>0</v>
      </c>
      <c r="BL295" s="616">
        <f t="shared" si="385"/>
        <v>0</v>
      </c>
      <c r="BM295" s="616">
        <f t="shared" si="386"/>
        <v>0</v>
      </c>
      <c r="BN295" s="616">
        <f t="shared" si="387"/>
        <v>0</v>
      </c>
      <c r="BO295" s="616"/>
      <c r="BP295" s="304"/>
    </row>
    <row r="296" s="130" customFormat="1" ht="36" spans="1:68">
      <c r="A296" s="497" t="s">
        <v>202</v>
      </c>
      <c r="B296" s="497" t="s">
        <v>206</v>
      </c>
      <c r="C296" s="497" t="s">
        <v>615</v>
      </c>
      <c r="D296" s="497" t="s">
        <v>616</v>
      </c>
      <c r="E296" s="615">
        <f t="shared" si="436"/>
        <v>0</v>
      </c>
      <c r="F296" s="615">
        <f t="shared" si="437"/>
        <v>0</v>
      </c>
      <c r="G296" s="616"/>
      <c r="H296" s="616"/>
      <c r="I296" s="616"/>
      <c r="J296" s="616"/>
      <c r="K296" s="616"/>
      <c r="L296" s="616"/>
      <c r="M296" s="615">
        <f t="shared" si="438"/>
        <v>0</v>
      </c>
      <c r="N296" s="616"/>
      <c r="O296" s="616"/>
      <c r="P296" s="616"/>
      <c r="Q296" s="616"/>
      <c r="R296" s="615">
        <f t="shared" si="439"/>
        <v>0</v>
      </c>
      <c r="S296" s="615">
        <f t="shared" si="440"/>
        <v>0</v>
      </c>
      <c r="T296" s="616"/>
      <c r="U296" s="616"/>
      <c r="V296" s="616"/>
      <c r="W296" s="616"/>
      <c r="X296" s="616"/>
      <c r="Y296" s="616"/>
      <c r="Z296" s="615">
        <f t="shared" si="441"/>
        <v>0</v>
      </c>
      <c r="AA296" s="616"/>
      <c r="AB296" s="616"/>
      <c r="AC296" s="616"/>
      <c r="AD296" s="616"/>
      <c r="AE296" s="615">
        <f t="shared" si="442"/>
        <v>0</v>
      </c>
      <c r="AF296" s="615">
        <f t="shared" si="443"/>
        <v>0</v>
      </c>
      <c r="AG296" s="616">
        <f t="shared" si="444"/>
        <v>0</v>
      </c>
      <c r="AH296" s="616">
        <f t="shared" si="445"/>
        <v>0</v>
      </c>
      <c r="AI296" s="616">
        <f t="shared" si="446"/>
        <v>0</v>
      </c>
      <c r="AJ296" s="616">
        <f t="shared" si="447"/>
        <v>0</v>
      </c>
      <c r="AK296" s="616">
        <f t="shared" si="448"/>
        <v>0</v>
      </c>
      <c r="AL296" s="616">
        <f t="shared" si="449"/>
        <v>0</v>
      </c>
      <c r="AM296" s="615">
        <f t="shared" si="450"/>
        <v>0</v>
      </c>
      <c r="AN296" s="616">
        <f t="shared" si="451"/>
        <v>0</v>
      </c>
      <c r="AO296" s="616">
        <f t="shared" si="452"/>
        <v>0</v>
      </c>
      <c r="AP296" s="616">
        <f t="shared" si="453"/>
        <v>0</v>
      </c>
      <c r="AQ296" s="637">
        <f t="shared" si="454"/>
        <v>0</v>
      </c>
      <c r="AR296" s="638">
        <f t="shared" si="455"/>
        <v>0</v>
      </c>
      <c r="AS296" s="616">
        <f t="shared" si="368"/>
        <v>0</v>
      </c>
      <c r="AT296" s="616">
        <f t="shared" si="369"/>
        <v>0</v>
      </c>
      <c r="AU296" s="616">
        <f t="shared" si="370"/>
        <v>0</v>
      </c>
      <c r="AV296" s="616">
        <f t="shared" si="371"/>
        <v>0</v>
      </c>
      <c r="AW296" s="616">
        <f t="shared" si="372"/>
        <v>0</v>
      </c>
      <c r="AX296" s="616">
        <f t="shared" si="373"/>
        <v>0</v>
      </c>
      <c r="AY296" s="616"/>
      <c r="AZ296" s="615">
        <f t="shared" si="374"/>
        <v>0</v>
      </c>
      <c r="BA296" s="616">
        <f t="shared" si="375"/>
        <v>0</v>
      </c>
      <c r="BB296" s="616">
        <f t="shared" si="376"/>
        <v>0</v>
      </c>
      <c r="BC296" s="616">
        <f t="shared" si="377"/>
        <v>0</v>
      </c>
      <c r="BD296" s="616">
        <f t="shared" si="378"/>
        <v>0</v>
      </c>
      <c r="BE296" s="616">
        <f t="shared" si="379"/>
        <v>0</v>
      </c>
      <c r="BF296" s="616">
        <f t="shared" si="380"/>
        <v>0</v>
      </c>
      <c r="BG296" s="616"/>
      <c r="BH296" s="615">
        <f t="shared" si="381"/>
        <v>0</v>
      </c>
      <c r="BI296" s="616">
        <f t="shared" si="382"/>
        <v>0</v>
      </c>
      <c r="BJ296" s="616">
        <f t="shared" si="383"/>
        <v>0</v>
      </c>
      <c r="BK296" s="616">
        <f t="shared" si="384"/>
        <v>0</v>
      </c>
      <c r="BL296" s="616">
        <f t="shared" si="385"/>
        <v>0</v>
      </c>
      <c r="BM296" s="616">
        <f t="shared" si="386"/>
        <v>0</v>
      </c>
      <c r="BN296" s="616">
        <f t="shared" si="387"/>
        <v>0</v>
      </c>
      <c r="BO296" s="616"/>
      <c r="BP296" s="304"/>
    </row>
    <row r="297" s="130" customFormat="1" ht="36" spans="1:68">
      <c r="A297" s="497" t="s">
        <v>261</v>
      </c>
      <c r="B297" s="497" t="s">
        <v>206</v>
      </c>
      <c r="C297" s="497" t="s">
        <v>617</v>
      </c>
      <c r="D297" s="497" t="s">
        <v>616</v>
      </c>
      <c r="E297" s="615">
        <f t="shared" si="436"/>
        <v>0</v>
      </c>
      <c r="F297" s="615">
        <f t="shared" si="437"/>
        <v>0</v>
      </c>
      <c r="G297" s="616"/>
      <c r="H297" s="616"/>
      <c r="I297" s="616"/>
      <c r="J297" s="616"/>
      <c r="K297" s="616"/>
      <c r="L297" s="616"/>
      <c r="M297" s="615">
        <f t="shared" si="438"/>
        <v>0</v>
      </c>
      <c r="N297" s="616"/>
      <c r="O297" s="616"/>
      <c r="P297" s="616"/>
      <c r="Q297" s="616"/>
      <c r="R297" s="615">
        <f t="shared" si="439"/>
        <v>0</v>
      </c>
      <c r="S297" s="615">
        <f t="shared" si="440"/>
        <v>0</v>
      </c>
      <c r="T297" s="616"/>
      <c r="U297" s="616"/>
      <c r="V297" s="616"/>
      <c r="W297" s="616"/>
      <c r="X297" s="616"/>
      <c r="Y297" s="616"/>
      <c r="Z297" s="615">
        <f t="shared" si="441"/>
        <v>0</v>
      </c>
      <c r="AA297" s="616"/>
      <c r="AB297" s="616"/>
      <c r="AC297" s="616"/>
      <c r="AD297" s="616"/>
      <c r="AE297" s="615">
        <f t="shared" si="442"/>
        <v>0</v>
      </c>
      <c r="AF297" s="615">
        <f t="shared" si="443"/>
        <v>0</v>
      </c>
      <c r="AG297" s="616">
        <f t="shared" si="444"/>
        <v>0</v>
      </c>
      <c r="AH297" s="616">
        <f t="shared" si="445"/>
        <v>0</v>
      </c>
      <c r="AI297" s="616">
        <f t="shared" si="446"/>
        <v>0</v>
      </c>
      <c r="AJ297" s="616">
        <f t="shared" si="447"/>
        <v>0</v>
      </c>
      <c r="AK297" s="616">
        <f t="shared" si="448"/>
        <v>0</v>
      </c>
      <c r="AL297" s="616">
        <f t="shared" si="449"/>
        <v>0</v>
      </c>
      <c r="AM297" s="615">
        <f t="shared" si="450"/>
        <v>0</v>
      </c>
      <c r="AN297" s="616">
        <f t="shared" si="451"/>
        <v>0</v>
      </c>
      <c r="AO297" s="616">
        <f t="shared" si="452"/>
        <v>0</v>
      </c>
      <c r="AP297" s="616">
        <f t="shared" si="453"/>
        <v>0</v>
      </c>
      <c r="AQ297" s="637">
        <f t="shared" si="454"/>
        <v>0</v>
      </c>
      <c r="AR297" s="638">
        <f t="shared" si="455"/>
        <v>0</v>
      </c>
      <c r="AS297" s="616">
        <f t="shared" si="368"/>
        <v>0</v>
      </c>
      <c r="AT297" s="616">
        <f t="shared" si="369"/>
        <v>0</v>
      </c>
      <c r="AU297" s="616">
        <f t="shared" si="370"/>
        <v>0</v>
      </c>
      <c r="AV297" s="616">
        <f t="shared" si="371"/>
        <v>0</v>
      </c>
      <c r="AW297" s="616">
        <f t="shared" si="372"/>
        <v>0</v>
      </c>
      <c r="AX297" s="616">
        <f t="shared" si="373"/>
        <v>0</v>
      </c>
      <c r="AY297" s="616"/>
      <c r="AZ297" s="615">
        <f t="shared" si="374"/>
        <v>0</v>
      </c>
      <c r="BA297" s="616">
        <f t="shared" si="375"/>
        <v>0</v>
      </c>
      <c r="BB297" s="616">
        <f t="shared" si="376"/>
        <v>0</v>
      </c>
      <c r="BC297" s="616">
        <f t="shared" si="377"/>
        <v>0</v>
      </c>
      <c r="BD297" s="616">
        <f t="shared" si="378"/>
        <v>0</v>
      </c>
      <c r="BE297" s="616">
        <f t="shared" si="379"/>
        <v>0</v>
      </c>
      <c r="BF297" s="616">
        <f t="shared" si="380"/>
        <v>0</v>
      </c>
      <c r="BG297" s="616"/>
      <c r="BH297" s="615">
        <f t="shared" si="381"/>
        <v>0</v>
      </c>
      <c r="BI297" s="616">
        <f t="shared" si="382"/>
        <v>0</v>
      </c>
      <c r="BJ297" s="616">
        <f t="shared" si="383"/>
        <v>0</v>
      </c>
      <c r="BK297" s="616">
        <f t="shared" si="384"/>
        <v>0</v>
      </c>
      <c r="BL297" s="616">
        <f t="shared" si="385"/>
        <v>0</v>
      </c>
      <c r="BM297" s="616">
        <f t="shared" si="386"/>
        <v>0</v>
      </c>
      <c r="BN297" s="616">
        <f t="shared" si="387"/>
        <v>0</v>
      </c>
      <c r="BO297" s="616"/>
      <c r="BP297" s="304"/>
    </row>
    <row r="298" s="508" customFormat="1" spans="1:69">
      <c r="A298" s="647"/>
      <c r="B298" s="647"/>
      <c r="C298" s="647" t="s">
        <v>139</v>
      </c>
      <c r="D298" s="648">
        <v>216</v>
      </c>
      <c r="E298" s="612">
        <f t="shared" ref="E298:P298" si="456">SUM(E299:E300)</f>
        <v>149.32</v>
      </c>
      <c r="F298" s="612">
        <f t="shared" si="456"/>
        <v>136.72</v>
      </c>
      <c r="G298" s="612">
        <f t="shared" si="456"/>
        <v>56.64</v>
      </c>
      <c r="H298" s="612">
        <f t="shared" si="456"/>
        <v>34.04</v>
      </c>
      <c r="I298" s="612">
        <f t="shared" si="456"/>
        <v>4.5</v>
      </c>
      <c r="J298" s="612">
        <f t="shared" si="456"/>
        <v>0</v>
      </c>
      <c r="K298" s="612">
        <f t="shared" si="456"/>
        <v>0</v>
      </c>
      <c r="L298" s="612">
        <f t="shared" si="456"/>
        <v>41.54</v>
      </c>
      <c r="M298" s="612">
        <f t="shared" si="456"/>
        <v>12.6</v>
      </c>
      <c r="N298" s="612">
        <f t="shared" si="456"/>
        <v>0</v>
      </c>
      <c r="O298" s="612">
        <f t="shared" si="456"/>
        <v>0</v>
      </c>
      <c r="P298" s="612">
        <f t="shared" si="456"/>
        <v>6.6</v>
      </c>
      <c r="Q298" s="612">
        <f t="shared" ref="Q298:AE298" si="457">SUM(Q299:Q300)</f>
        <v>6</v>
      </c>
      <c r="R298" s="612">
        <f t="shared" si="457"/>
        <v>-18.46</v>
      </c>
      <c r="S298" s="612">
        <f t="shared" si="457"/>
        <v>-18.61</v>
      </c>
      <c r="T298" s="612">
        <f t="shared" si="457"/>
        <v>-15.77</v>
      </c>
      <c r="U298" s="612">
        <f t="shared" si="457"/>
        <v>0</v>
      </c>
      <c r="V298" s="612">
        <f t="shared" si="457"/>
        <v>-0.27</v>
      </c>
      <c r="W298" s="612">
        <f t="shared" si="457"/>
        <v>0</v>
      </c>
      <c r="X298" s="612">
        <f t="shared" si="457"/>
        <v>0</v>
      </c>
      <c r="Y298" s="612">
        <f t="shared" si="457"/>
        <v>-2.57</v>
      </c>
      <c r="Z298" s="612">
        <f t="shared" si="457"/>
        <v>0.15</v>
      </c>
      <c r="AA298" s="612">
        <f t="shared" si="457"/>
        <v>0</v>
      </c>
      <c r="AB298" s="612">
        <f t="shared" si="457"/>
        <v>0.15</v>
      </c>
      <c r="AC298" s="612">
        <f t="shared" si="457"/>
        <v>0</v>
      </c>
      <c r="AD298" s="612">
        <f t="shared" si="457"/>
        <v>0</v>
      </c>
      <c r="AE298" s="612">
        <f t="shared" ref="AE298:AQ298" si="458">SUM(AE299:AE300)</f>
        <v>130.86</v>
      </c>
      <c r="AF298" s="612">
        <f t="shared" si="458"/>
        <v>118.11</v>
      </c>
      <c r="AG298" s="612">
        <f t="shared" si="458"/>
        <v>40.87</v>
      </c>
      <c r="AH298" s="612">
        <f t="shared" si="458"/>
        <v>34.04</v>
      </c>
      <c r="AI298" s="612">
        <f t="shared" si="458"/>
        <v>4.23</v>
      </c>
      <c r="AJ298" s="612">
        <f t="shared" si="458"/>
        <v>0</v>
      </c>
      <c r="AK298" s="612">
        <f t="shared" si="458"/>
        <v>0</v>
      </c>
      <c r="AL298" s="612">
        <f t="shared" si="458"/>
        <v>38.97</v>
      </c>
      <c r="AM298" s="612">
        <f t="shared" si="458"/>
        <v>12.75</v>
      </c>
      <c r="AN298" s="612">
        <f t="shared" si="458"/>
        <v>0</v>
      </c>
      <c r="AO298" s="612">
        <f t="shared" si="458"/>
        <v>0.15</v>
      </c>
      <c r="AP298" s="612">
        <f t="shared" si="458"/>
        <v>6.6</v>
      </c>
      <c r="AQ298" s="635">
        <f t="shared" si="458"/>
        <v>6</v>
      </c>
      <c r="AR298" s="636">
        <f t="shared" ref="AR298:AY298" si="459">SUM(AR299:AR300)</f>
        <v>46.17744</v>
      </c>
      <c r="AS298" s="612">
        <f t="shared" si="459"/>
        <v>21.8752</v>
      </c>
      <c r="AT298" s="612">
        <f t="shared" si="459"/>
        <v>7.2544</v>
      </c>
      <c r="AU298" s="612">
        <f t="shared" si="459"/>
        <v>5.4408</v>
      </c>
      <c r="AV298" s="612">
        <f t="shared" si="459"/>
        <v>0.18136</v>
      </c>
      <c r="AW298" s="612">
        <f t="shared" si="459"/>
        <v>0.54408</v>
      </c>
      <c r="AX298" s="612">
        <f t="shared" si="459"/>
        <v>10.8816</v>
      </c>
      <c r="AY298" s="612">
        <f t="shared" si="459"/>
        <v>0</v>
      </c>
      <c r="AZ298" s="612">
        <f t="shared" ref="AZ298:BO298" si="460">SUM(AZ299:AZ300)</f>
        <v>-7.20396</v>
      </c>
      <c r="BA298" s="612">
        <f t="shared" si="460"/>
        <v>-2.9776</v>
      </c>
      <c r="BB298" s="612">
        <f t="shared" si="460"/>
        <v>-1.2616</v>
      </c>
      <c r="BC298" s="612">
        <f t="shared" si="460"/>
        <v>-0.9462</v>
      </c>
      <c r="BD298" s="612">
        <f t="shared" si="460"/>
        <v>-0.03154</v>
      </c>
      <c r="BE298" s="612">
        <f t="shared" si="460"/>
        <v>-0.09462</v>
      </c>
      <c r="BF298" s="612">
        <f t="shared" si="460"/>
        <v>-1.8924</v>
      </c>
      <c r="BG298" s="612">
        <f t="shared" si="460"/>
        <v>0</v>
      </c>
      <c r="BH298" s="612">
        <f t="shared" si="460"/>
        <v>38.97348</v>
      </c>
      <c r="BI298" s="612">
        <f t="shared" si="460"/>
        <v>18.8976</v>
      </c>
      <c r="BJ298" s="612">
        <f t="shared" si="460"/>
        <v>5.9928</v>
      </c>
      <c r="BK298" s="612">
        <f t="shared" si="460"/>
        <v>4.4946</v>
      </c>
      <c r="BL298" s="612">
        <f t="shared" si="460"/>
        <v>0.14982</v>
      </c>
      <c r="BM298" s="612">
        <f t="shared" si="460"/>
        <v>0.44946</v>
      </c>
      <c r="BN298" s="612">
        <f t="shared" si="460"/>
        <v>8.9892</v>
      </c>
      <c r="BO298" s="612">
        <f t="shared" si="460"/>
        <v>0</v>
      </c>
      <c r="BP298" s="334"/>
      <c r="BQ298" s="580"/>
    </row>
    <row r="299" s="131" customFormat="1" ht="24" spans="1:68">
      <c r="A299" s="497" t="s">
        <v>261</v>
      </c>
      <c r="B299" s="497" t="s">
        <v>203</v>
      </c>
      <c r="C299" s="497" t="s">
        <v>618</v>
      </c>
      <c r="D299" s="497" t="s">
        <v>619</v>
      </c>
      <c r="E299" s="617">
        <f>F299+M299</f>
        <v>149.32</v>
      </c>
      <c r="F299" s="617">
        <f>SUM(G299:L299)</f>
        <v>136.72</v>
      </c>
      <c r="G299" s="619">
        <v>56.64</v>
      </c>
      <c r="H299" s="619">
        <v>34.04</v>
      </c>
      <c r="I299" s="619">
        <v>4.5</v>
      </c>
      <c r="J299" s="618"/>
      <c r="K299" s="618"/>
      <c r="L299" s="618">
        <v>41.54</v>
      </c>
      <c r="M299" s="617">
        <f>SUM(N299:Q299)</f>
        <v>12.6</v>
      </c>
      <c r="N299" s="618"/>
      <c r="O299" s="618"/>
      <c r="P299" s="618">
        <v>6.6</v>
      </c>
      <c r="Q299" s="618">
        <v>6</v>
      </c>
      <c r="R299" s="617">
        <f>S299+Z299</f>
        <v>-18.46</v>
      </c>
      <c r="S299" s="615">
        <f t="shared" ref="S299:S308" si="461">SUM(T299:Y299)</f>
        <v>-18.61</v>
      </c>
      <c r="T299" s="618">
        <v>-15.77</v>
      </c>
      <c r="U299" s="618"/>
      <c r="V299" s="618">
        <v>-0.27</v>
      </c>
      <c r="W299" s="618"/>
      <c r="X299" s="618"/>
      <c r="Y299" s="618">
        <v>-2.57</v>
      </c>
      <c r="Z299" s="617">
        <f>SUM(AA299:AD299)</f>
        <v>0.15</v>
      </c>
      <c r="AA299" s="618"/>
      <c r="AB299" s="618">
        <v>0.15</v>
      </c>
      <c r="AC299" s="618"/>
      <c r="AD299" s="618"/>
      <c r="AE299" s="615">
        <f t="shared" ref="AE299:AE308" si="462">AF299+AM299</f>
        <v>130.86</v>
      </c>
      <c r="AF299" s="615">
        <f t="shared" ref="AF299:AF308" si="463">SUM(AG299:AL299)</f>
        <v>118.11</v>
      </c>
      <c r="AG299" s="616">
        <f t="shared" ref="AG299:AL299" si="464">G299+T299</f>
        <v>40.87</v>
      </c>
      <c r="AH299" s="616">
        <f t="shared" si="464"/>
        <v>34.04</v>
      </c>
      <c r="AI299" s="616">
        <f t="shared" si="464"/>
        <v>4.23</v>
      </c>
      <c r="AJ299" s="616">
        <f t="shared" si="464"/>
        <v>0</v>
      </c>
      <c r="AK299" s="616">
        <f t="shared" si="464"/>
        <v>0</v>
      </c>
      <c r="AL299" s="616">
        <f t="shared" si="464"/>
        <v>38.97</v>
      </c>
      <c r="AM299" s="615">
        <f t="shared" ref="AM299:AM308" si="465">SUM(AN299:AQ299)</f>
        <v>12.75</v>
      </c>
      <c r="AN299" s="616">
        <f t="shared" ref="AN299:AQ299" si="466">N299+AA299</f>
        <v>0</v>
      </c>
      <c r="AO299" s="616">
        <f t="shared" si="466"/>
        <v>0.15</v>
      </c>
      <c r="AP299" s="616">
        <f t="shared" si="466"/>
        <v>6.6</v>
      </c>
      <c r="AQ299" s="637">
        <f t="shared" si="466"/>
        <v>6</v>
      </c>
      <c r="AR299" s="639">
        <f>SUM(AS299:AY299)</f>
        <v>46.17744</v>
      </c>
      <c r="AS299" s="616">
        <f t="shared" si="368"/>
        <v>21.8752</v>
      </c>
      <c r="AT299" s="616">
        <f t="shared" si="369"/>
        <v>7.2544</v>
      </c>
      <c r="AU299" s="616">
        <f t="shared" si="370"/>
        <v>5.4408</v>
      </c>
      <c r="AV299" s="616">
        <f t="shared" si="371"/>
        <v>0.18136</v>
      </c>
      <c r="AW299" s="616">
        <f t="shared" si="372"/>
        <v>0.54408</v>
      </c>
      <c r="AX299" s="616">
        <f t="shared" si="373"/>
        <v>10.8816</v>
      </c>
      <c r="AY299" s="618"/>
      <c r="AZ299" s="615">
        <f t="shared" si="374"/>
        <v>-7.20396</v>
      </c>
      <c r="BA299" s="616">
        <f t="shared" si="375"/>
        <v>-2.9776</v>
      </c>
      <c r="BB299" s="616">
        <f t="shared" si="376"/>
        <v>-1.2616</v>
      </c>
      <c r="BC299" s="616">
        <f t="shared" si="377"/>
        <v>-0.9462</v>
      </c>
      <c r="BD299" s="616">
        <f t="shared" si="378"/>
        <v>-0.03154</v>
      </c>
      <c r="BE299" s="616">
        <f t="shared" si="379"/>
        <v>-0.09462</v>
      </c>
      <c r="BF299" s="616">
        <f t="shared" si="380"/>
        <v>-1.8924</v>
      </c>
      <c r="BG299" s="616"/>
      <c r="BH299" s="615">
        <f t="shared" si="381"/>
        <v>38.97348</v>
      </c>
      <c r="BI299" s="616">
        <f t="shared" si="382"/>
        <v>18.8976</v>
      </c>
      <c r="BJ299" s="616">
        <f t="shared" si="383"/>
        <v>5.9928</v>
      </c>
      <c r="BK299" s="616">
        <f t="shared" si="384"/>
        <v>4.4946</v>
      </c>
      <c r="BL299" s="616">
        <f t="shared" si="385"/>
        <v>0.14982</v>
      </c>
      <c r="BM299" s="616">
        <f t="shared" si="386"/>
        <v>0.44946</v>
      </c>
      <c r="BN299" s="616">
        <f t="shared" si="387"/>
        <v>8.9892</v>
      </c>
      <c r="BO299" s="616"/>
      <c r="BP299" s="304"/>
    </row>
    <row r="300" s="131" customFormat="1" ht="24" spans="1:68">
      <c r="A300" s="497" t="s">
        <v>261</v>
      </c>
      <c r="B300" s="497" t="s">
        <v>206</v>
      </c>
      <c r="C300" s="497" t="s">
        <v>620</v>
      </c>
      <c r="D300" s="497" t="s">
        <v>621</v>
      </c>
      <c r="E300" s="617">
        <f>F300+M300</f>
        <v>0</v>
      </c>
      <c r="F300" s="617">
        <f>SUM(G300:L300)</f>
        <v>0</v>
      </c>
      <c r="G300" s="618"/>
      <c r="H300" s="618"/>
      <c r="I300" s="618"/>
      <c r="J300" s="618"/>
      <c r="K300" s="618"/>
      <c r="L300" s="618"/>
      <c r="M300" s="617">
        <f>SUM(N300:Q300)</f>
        <v>0</v>
      </c>
      <c r="N300" s="618"/>
      <c r="O300" s="618"/>
      <c r="P300" s="618"/>
      <c r="Q300" s="618"/>
      <c r="R300" s="617">
        <f>S300+Z300</f>
        <v>0</v>
      </c>
      <c r="S300" s="615">
        <f t="shared" si="461"/>
        <v>0</v>
      </c>
      <c r="T300" s="619"/>
      <c r="U300" s="619"/>
      <c r="V300" s="619"/>
      <c r="W300" s="618"/>
      <c r="X300" s="618"/>
      <c r="Y300" s="618"/>
      <c r="Z300" s="617">
        <f>SUM(AA300:AD300)</f>
        <v>0</v>
      </c>
      <c r="AA300" s="619"/>
      <c r="AB300" s="618"/>
      <c r="AC300" s="618"/>
      <c r="AD300" s="618"/>
      <c r="AE300" s="615">
        <f t="shared" si="462"/>
        <v>0</v>
      </c>
      <c r="AF300" s="615">
        <f t="shared" si="463"/>
        <v>0</v>
      </c>
      <c r="AG300" s="616">
        <f t="shared" ref="AG300:AL300" si="467">G300+T300</f>
        <v>0</v>
      </c>
      <c r="AH300" s="616">
        <f t="shared" si="467"/>
        <v>0</v>
      </c>
      <c r="AI300" s="616">
        <f t="shared" si="467"/>
        <v>0</v>
      </c>
      <c r="AJ300" s="616">
        <f t="shared" si="467"/>
        <v>0</v>
      </c>
      <c r="AK300" s="616">
        <f t="shared" si="467"/>
        <v>0</v>
      </c>
      <c r="AL300" s="616">
        <f t="shared" si="467"/>
        <v>0</v>
      </c>
      <c r="AM300" s="615">
        <f t="shared" si="465"/>
        <v>0</v>
      </c>
      <c r="AN300" s="616">
        <f t="shared" ref="AN300:AQ300" si="468">N300+AA300</f>
        <v>0</v>
      </c>
      <c r="AO300" s="616">
        <f t="shared" si="468"/>
        <v>0</v>
      </c>
      <c r="AP300" s="616">
        <f t="shared" si="468"/>
        <v>0</v>
      </c>
      <c r="AQ300" s="637">
        <f t="shared" si="468"/>
        <v>0</v>
      </c>
      <c r="AR300" s="639">
        <f>SUM(AS300:AY300)</f>
        <v>0</v>
      </c>
      <c r="AS300" s="616">
        <f t="shared" si="368"/>
        <v>0</v>
      </c>
      <c r="AT300" s="616">
        <f t="shared" si="369"/>
        <v>0</v>
      </c>
      <c r="AU300" s="616">
        <f t="shared" si="370"/>
        <v>0</v>
      </c>
      <c r="AV300" s="616">
        <f t="shared" si="371"/>
        <v>0</v>
      </c>
      <c r="AW300" s="616">
        <f t="shared" si="372"/>
        <v>0</v>
      </c>
      <c r="AX300" s="616">
        <f t="shared" si="373"/>
        <v>0</v>
      </c>
      <c r="AY300" s="618"/>
      <c r="AZ300" s="615">
        <f t="shared" si="374"/>
        <v>0</v>
      </c>
      <c r="BA300" s="616">
        <f t="shared" si="375"/>
        <v>0</v>
      </c>
      <c r="BB300" s="616">
        <f t="shared" si="376"/>
        <v>0</v>
      </c>
      <c r="BC300" s="616">
        <f t="shared" si="377"/>
        <v>0</v>
      </c>
      <c r="BD300" s="616">
        <f t="shared" si="378"/>
        <v>0</v>
      </c>
      <c r="BE300" s="616">
        <f t="shared" si="379"/>
        <v>0</v>
      </c>
      <c r="BF300" s="616">
        <f t="shared" si="380"/>
        <v>0</v>
      </c>
      <c r="BG300" s="616"/>
      <c r="BH300" s="615">
        <f t="shared" si="381"/>
        <v>0</v>
      </c>
      <c r="BI300" s="616">
        <f t="shared" si="382"/>
        <v>0</v>
      </c>
      <c r="BJ300" s="616">
        <f t="shared" si="383"/>
        <v>0</v>
      </c>
      <c r="BK300" s="616">
        <f t="shared" si="384"/>
        <v>0</v>
      </c>
      <c r="BL300" s="616">
        <f t="shared" si="385"/>
        <v>0</v>
      </c>
      <c r="BM300" s="616">
        <f t="shared" si="386"/>
        <v>0</v>
      </c>
      <c r="BN300" s="616">
        <f t="shared" si="387"/>
        <v>0</v>
      </c>
      <c r="BO300" s="616"/>
      <c r="BP300" s="304"/>
    </row>
    <row r="301" s="508" customFormat="1" ht="24" spans="1:69">
      <c r="A301" s="647"/>
      <c r="B301" s="647"/>
      <c r="C301" s="647" t="s">
        <v>142</v>
      </c>
      <c r="D301" s="648">
        <v>220</v>
      </c>
      <c r="E301" s="612">
        <f t="shared" ref="E301:P301" si="469">SUM(E302:E308)</f>
        <v>711.5579</v>
      </c>
      <c r="F301" s="612">
        <f t="shared" si="469"/>
        <v>554.2979</v>
      </c>
      <c r="G301" s="612">
        <f t="shared" si="469"/>
        <v>218.0484</v>
      </c>
      <c r="H301" s="612">
        <f t="shared" si="469"/>
        <v>139.4988</v>
      </c>
      <c r="I301" s="612">
        <f t="shared" si="469"/>
        <v>18.1707</v>
      </c>
      <c r="J301" s="612">
        <f t="shared" si="469"/>
        <v>3.96</v>
      </c>
      <c r="K301" s="612">
        <f t="shared" si="469"/>
        <v>0</v>
      </c>
      <c r="L301" s="612">
        <f t="shared" si="469"/>
        <v>174.62</v>
      </c>
      <c r="M301" s="612">
        <f t="shared" si="469"/>
        <v>157.26</v>
      </c>
      <c r="N301" s="612">
        <f t="shared" si="469"/>
        <v>101.61</v>
      </c>
      <c r="O301" s="612">
        <f t="shared" si="469"/>
        <v>0</v>
      </c>
      <c r="P301" s="612">
        <f t="shared" si="469"/>
        <v>29.15</v>
      </c>
      <c r="Q301" s="612">
        <f t="shared" ref="Q301:AE301" si="470">SUM(Q302:Q308)</f>
        <v>26.5</v>
      </c>
      <c r="R301" s="612">
        <f t="shared" si="470"/>
        <v>11.95</v>
      </c>
      <c r="S301" s="612">
        <f t="shared" si="470"/>
        <v>4.12</v>
      </c>
      <c r="T301" s="612">
        <f t="shared" si="470"/>
        <v>5.11</v>
      </c>
      <c r="U301" s="612">
        <f t="shared" si="470"/>
        <v>0</v>
      </c>
      <c r="V301" s="612">
        <f t="shared" si="470"/>
        <v>-0.47</v>
      </c>
      <c r="W301" s="612">
        <f t="shared" si="470"/>
        <v>-0.45</v>
      </c>
      <c r="X301" s="612">
        <f t="shared" si="470"/>
        <v>0</v>
      </c>
      <c r="Y301" s="612">
        <f t="shared" si="470"/>
        <v>-0.07</v>
      </c>
      <c r="Z301" s="612">
        <f t="shared" si="470"/>
        <v>7.83</v>
      </c>
      <c r="AA301" s="612">
        <f t="shared" si="470"/>
        <v>2.83</v>
      </c>
      <c r="AB301" s="612">
        <f t="shared" si="470"/>
        <v>2.7</v>
      </c>
      <c r="AC301" s="612">
        <f t="shared" si="470"/>
        <v>0</v>
      </c>
      <c r="AD301" s="612">
        <f t="shared" si="470"/>
        <v>2.3</v>
      </c>
      <c r="AE301" s="612">
        <f t="shared" ref="AE301:AQ301" si="471">SUM(AE302:AE308)</f>
        <v>723.5079</v>
      </c>
      <c r="AF301" s="612">
        <f t="shared" si="471"/>
        <v>558.4179</v>
      </c>
      <c r="AG301" s="612">
        <f t="shared" si="471"/>
        <v>223.1584</v>
      </c>
      <c r="AH301" s="612">
        <f t="shared" si="471"/>
        <v>139.4988</v>
      </c>
      <c r="AI301" s="612">
        <f t="shared" si="471"/>
        <v>17.7007</v>
      </c>
      <c r="AJ301" s="612">
        <f t="shared" si="471"/>
        <v>3.51</v>
      </c>
      <c r="AK301" s="612">
        <f t="shared" si="471"/>
        <v>0</v>
      </c>
      <c r="AL301" s="612">
        <f t="shared" si="471"/>
        <v>174.55</v>
      </c>
      <c r="AM301" s="612">
        <f t="shared" si="471"/>
        <v>165.09</v>
      </c>
      <c r="AN301" s="612">
        <f t="shared" si="471"/>
        <v>104.44</v>
      </c>
      <c r="AO301" s="612">
        <f t="shared" si="471"/>
        <v>2.7</v>
      </c>
      <c r="AP301" s="612">
        <f t="shared" si="471"/>
        <v>29.15</v>
      </c>
      <c r="AQ301" s="635">
        <f t="shared" si="471"/>
        <v>28.8</v>
      </c>
      <c r="AR301" s="636">
        <f t="shared" ref="AR301:AY301" si="472">SUM(AR302:AR308)</f>
        <v>183.8767136</v>
      </c>
      <c r="AS301" s="612">
        <f t="shared" si="472"/>
        <v>88.054064</v>
      </c>
      <c r="AT301" s="612">
        <f t="shared" si="472"/>
        <v>28.603776</v>
      </c>
      <c r="AU301" s="612">
        <f t="shared" si="472"/>
        <v>21.452832</v>
      </c>
      <c r="AV301" s="612">
        <f t="shared" si="472"/>
        <v>0.7150944</v>
      </c>
      <c r="AW301" s="612">
        <f t="shared" si="472"/>
        <v>2.1452832</v>
      </c>
      <c r="AX301" s="612">
        <f t="shared" si="472"/>
        <v>42.905664</v>
      </c>
      <c r="AY301" s="612">
        <f t="shared" si="472"/>
        <v>0</v>
      </c>
      <c r="AZ301" s="612">
        <f t="shared" ref="AZ301:BO301" si="473">SUM(AZ302:AZ308)</f>
        <v>2.10068</v>
      </c>
      <c r="BA301" s="612">
        <f t="shared" si="473"/>
        <v>0.7312</v>
      </c>
      <c r="BB301" s="612">
        <f t="shared" si="473"/>
        <v>0.4088</v>
      </c>
      <c r="BC301" s="612">
        <f t="shared" si="473"/>
        <v>0.3066</v>
      </c>
      <c r="BD301" s="612">
        <f t="shared" si="473"/>
        <v>0.01022</v>
      </c>
      <c r="BE301" s="612">
        <f t="shared" si="473"/>
        <v>0.03066</v>
      </c>
      <c r="BF301" s="612">
        <f t="shared" si="473"/>
        <v>0.6132</v>
      </c>
      <c r="BG301" s="612">
        <f t="shared" si="473"/>
        <v>0</v>
      </c>
      <c r="BH301" s="612">
        <f t="shared" si="473"/>
        <v>185.9773936</v>
      </c>
      <c r="BI301" s="612">
        <f t="shared" si="473"/>
        <v>88.785264</v>
      </c>
      <c r="BJ301" s="612">
        <f t="shared" si="473"/>
        <v>29.012576</v>
      </c>
      <c r="BK301" s="612">
        <f t="shared" si="473"/>
        <v>21.759432</v>
      </c>
      <c r="BL301" s="612">
        <f t="shared" si="473"/>
        <v>0.7253144</v>
      </c>
      <c r="BM301" s="612">
        <f t="shared" si="473"/>
        <v>2.1759432</v>
      </c>
      <c r="BN301" s="612">
        <f t="shared" si="473"/>
        <v>43.518864</v>
      </c>
      <c r="BO301" s="612">
        <f t="shared" si="473"/>
        <v>0</v>
      </c>
      <c r="BP301" s="334"/>
      <c r="BQ301" s="580"/>
    </row>
    <row r="302" s="131" customFormat="1" ht="24" spans="1:68">
      <c r="A302" s="497" t="s">
        <v>590</v>
      </c>
      <c r="B302" s="497" t="s">
        <v>203</v>
      </c>
      <c r="C302" s="497" t="s">
        <v>622</v>
      </c>
      <c r="D302" s="497" t="s">
        <v>623</v>
      </c>
      <c r="E302" s="617">
        <f t="shared" ref="E302:E308" si="474">F302+M302</f>
        <v>711.5579</v>
      </c>
      <c r="F302" s="617">
        <f t="shared" ref="F302:F308" si="475">SUM(G302:L302)</f>
        <v>554.2979</v>
      </c>
      <c r="G302" s="618">
        <v>218.0484</v>
      </c>
      <c r="H302" s="618">
        <v>139.4988</v>
      </c>
      <c r="I302" s="618">
        <v>18.1707</v>
      </c>
      <c r="J302" s="618">
        <v>3.96</v>
      </c>
      <c r="K302" s="618"/>
      <c r="L302" s="618">
        <v>174.62</v>
      </c>
      <c r="M302" s="617">
        <f t="shared" ref="M302:M308" si="476">SUM(N302:Q302)</f>
        <v>157.26</v>
      </c>
      <c r="N302" s="618">
        <v>101.61</v>
      </c>
      <c r="O302" s="618"/>
      <c r="P302" s="618">
        <v>29.15</v>
      </c>
      <c r="Q302" s="618">
        <v>26.5</v>
      </c>
      <c r="R302" s="617">
        <f t="shared" ref="R302:R308" si="477">S302+Z302</f>
        <v>11.95</v>
      </c>
      <c r="S302" s="615">
        <f t="shared" si="461"/>
        <v>4.12</v>
      </c>
      <c r="T302" s="618">
        <v>5.11</v>
      </c>
      <c r="U302" s="618"/>
      <c r="V302" s="618">
        <v>-0.47</v>
      </c>
      <c r="W302" s="618">
        <v>-0.45</v>
      </c>
      <c r="X302" s="618"/>
      <c r="Y302" s="618">
        <v>-0.07</v>
      </c>
      <c r="Z302" s="617">
        <f t="shared" ref="Z302:Z308" si="478">SUM(AA302:AD302)</f>
        <v>7.83</v>
      </c>
      <c r="AA302" s="618">
        <v>2.83</v>
      </c>
      <c r="AB302" s="618">
        <f>1.35+0.6+0.75</f>
        <v>2.7</v>
      </c>
      <c r="AC302" s="618"/>
      <c r="AD302" s="618">
        <v>2.3</v>
      </c>
      <c r="AE302" s="615">
        <f t="shared" si="462"/>
        <v>723.5079</v>
      </c>
      <c r="AF302" s="615">
        <f t="shared" si="463"/>
        <v>558.4179</v>
      </c>
      <c r="AG302" s="616">
        <f t="shared" ref="AG302:AG308" si="479">G302+T302</f>
        <v>223.1584</v>
      </c>
      <c r="AH302" s="616">
        <f t="shared" ref="AH302:AH308" si="480">H302+U302</f>
        <v>139.4988</v>
      </c>
      <c r="AI302" s="616">
        <f t="shared" ref="AI302:AI308" si="481">I302+V302</f>
        <v>17.7007</v>
      </c>
      <c r="AJ302" s="616">
        <f t="shared" ref="AJ302:AJ308" si="482">J302+W302</f>
        <v>3.51</v>
      </c>
      <c r="AK302" s="616">
        <f t="shared" ref="AK302:AK308" si="483">K302+X302</f>
        <v>0</v>
      </c>
      <c r="AL302" s="616">
        <f t="shared" ref="AL302:AL308" si="484">L302+Y302</f>
        <v>174.55</v>
      </c>
      <c r="AM302" s="615">
        <f t="shared" si="465"/>
        <v>165.09</v>
      </c>
      <c r="AN302" s="616">
        <f t="shared" ref="AN302:AN308" si="485">N302+AA302</f>
        <v>104.44</v>
      </c>
      <c r="AO302" s="616">
        <f t="shared" ref="AO302:AO308" si="486">O302+AB302</f>
        <v>2.7</v>
      </c>
      <c r="AP302" s="616">
        <f t="shared" ref="AP302:AP308" si="487">P302+AC302</f>
        <v>29.15</v>
      </c>
      <c r="AQ302" s="637">
        <f t="shared" ref="AQ302:AQ308" si="488">Q302+AD302</f>
        <v>28.8</v>
      </c>
      <c r="AR302" s="639">
        <f t="shared" ref="AR302:AR308" si="489">SUM(AS302:AY302)</f>
        <v>183.8767136</v>
      </c>
      <c r="AS302" s="616">
        <f t="shared" si="368"/>
        <v>88.054064</v>
      </c>
      <c r="AT302" s="616">
        <f t="shared" si="369"/>
        <v>28.603776</v>
      </c>
      <c r="AU302" s="616">
        <f t="shared" si="370"/>
        <v>21.452832</v>
      </c>
      <c r="AV302" s="616">
        <f t="shared" si="371"/>
        <v>0.7150944</v>
      </c>
      <c r="AW302" s="616">
        <f t="shared" si="372"/>
        <v>2.1452832</v>
      </c>
      <c r="AX302" s="616">
        <f t="shared" si="373"/>
        <v>42.905664</v>
      </c>
      <c r="AY302" s="618"/>
      <c r="AZ302" s="615">
        <f t="shared" si="374"/>
        <v>2.10068</v>
      </c>
      <c r="BA302" s="616">
        <f t="shared" si="375"/>
        <v>0.7312</v>
      </c>
      <c r="BB302" s="616">
        <f t="shared" si="376"/>
        <v>0.4088</v>
      </c>
      <c r="BC302" s="616">
        <f t="shared" si="377"/>
        <v>0.3066</v>
      </c>
      <c r="BD302" s="616">
        <f t="shared" si="378"/>
        <v>0.01022</v>
      </c>
      <c r="BE302" s="616">
        <f t="shared" si="379"/>
        <v>0.03066</v>
      </c>
      <c r="BF302" s="616">
        <f t="shared" si="380"/>
        <v>0.6132</v>
      </c>
      <c r="BG302" s="616"/>
      <c r="BH302" s="615">
        <f t="shared" si="381"/>
        <v>185.9773936</v>
      </c>
      <c r="BI302" s="616">
        <f t="shared" si="382"/>
        <v>88.785264</v>
      </c>
      <c r="BJ302" s="616">
        <f t="shared" si="383"/>
        <v>29.012576</v>
      </c>
      <c r="BK302" s="616">
        <f t="shared" si="384"/>
        <v>21.759432</v>
      </c>
      <c r="BL302" s="616">
        <f t="shared" si="385"/>
        <v>0.7253144</v>
      </c>
      <c r="BM302" s="616">
        <f t="shared" si="386"/>
        <v>2.1759432</v>
      </c>
      <c r="BN302" s="616">
        <f t="shared" si="387"/>
        <v>43.518864</v>
      </c>
      <c r="BO302" s="616"/>
      <c r="BP302" s="304" t="s">
        <v>624</v>
      </c>
    </row>
    <row r="303" s="131" customFormat="1" ht="24" spans="1:68">
      <c r="A303" s="497" t="s">
        <v>590</v>
      </c>
      <c r="B303" s="497" t="s">
        <v>206</v>
      </c>
      <c r="C303" s="497" t="s">
        <v>625</v>
      </c>
      <c r="D303" s="497" t="s">
        <v>626</v>
      </c>
      <c r="E303" s="617">
        <f t="shared" si="474"/>
        <v>0</v>
      </c>
      <c r="F303" s="617">
        <f t="shared" si="475"/>
        <v>0</v>
      </c>
      <c r="G303" s="618"/>
      <c r="H303" s="618"/>
      <c r="I303" s="618"/>
      <c r="J303" s="618"/>
      <c r="K303" s="618"/>
      <c r="L303" s="618"/>
      <c r="M303" s="617">
        <f t="shared" si="476"/>
        <v>0</v>
      </c>
      <c r="N303" s="618"/>
      <c r="O303" s="618"/>
      <c r="P303" s="618"/>
      <c r="Q303" s="618"/>
      <c r="R303" s="617">
        <f t="shared" si="477"/>
        <v>0</v>
      </c>
      <c r="S303" s="615">
        <f t="shared" si="461"/>
        <v>0</v>
      </c>
      <c r="T303" s="618"/>
      <c r="U303" s="618"/>
      <c r="V303" s="618"/>
      <c r="W303" s="618"/>
      <c r="X303" s="618"/>
      <c r="Y303" s="618"/>
      <c r="Z303" s="617">
        <f t="shared" si="478"/>
        <v>0</v>
      </c>
      <c r="AA303" s="618"/>
      <c r="AB303" s="618"/>
      <c r="AC303" s="618"/>
      <c r="AD303" s="618"/>
      <c r="AE303" s="615">
        <f t="shared" si="462"/>
        <v>0</v>
      </c>
      <c r="AF303" s="615">
        <f t="shared" si="463"/>
        <v>0</v>
      </c>
      <c r="AG303" s="616">
        <f t="shared" si="479"/>
        <v>0</v>
      </c>
      <c r="AH303" s="616">
        <f t="shared" si="480"/>
        <v>0</v>
      </c>
      <c r="AI303" s="616">
        <f t="shared" si="481"/>
        <v>0</v>
      </c>
      <c r="AJ303" s="616">
        <f t="shared" si="482"/>
        <v>0</v>
      </c>
      <c r="AK303" s="616">
        <f t="shared" si="483"/>
        <v>0</v>
      </c>
      <c r="AL303" s="616">
        <f t="shared" si="484"/>
        <v>0</v>
      </c>
      <c r="AM303" s="615">
        <f t="shared" si="465"/>
        <v>0</v>
      </c>
      <c r="AN303" s="616">
        <f t="shared" si="485"/>
        <v>0</v>
      </c>
      <c r="AO303" s="616">
        <f t="shared" si="486"/>
        <v>0</v>
      </c>
      <c r="AP303" s="616">
        <f t="shared" si="487"/>
        <v>0</v>
      </c>
      <c r="AQ303" s="637">
        <f t="shared" si="488"/>
        <v>0</v>
      </c>
      <c r="AR303" s="639">
        <f t="shared" si="489"/>
        <v>0</v>
      </c>
      <c r="AS303" s="616">
        <f t="shared" si="368"/>
        <v>0</v>
      </c>
      <c r="AT303" s="616">
        <f t="shared" si="369"/>
        <v>0</v>
      </c>
      <c r="AU303" s="616">
        <f t="shared" si="370"/>
        <v>0</v>
      </c>
      <c r="AV303" s="616">
        <f t="shared" si="371"/>
        <v>0</v>
      </c>
      <c r="AW303" s="616">
        <f t="shared" si="372"/>
        <v>0</v>
      </c>
      <c r="AX303" s="616">
        <f t="shared" si="373"/>
        <v>0</v>
      </c>
      <c r="AY303" s="618"/>
      <c r="AZ303" s="615">
        <f t="shared" si="374"/>
        <v>0</v>
      </c>
      <c r="BA303" s="616">
        <f t="shared" si="375"/>
        <v>0</v>
      </c>
      <c r="BB303" s="616">
        <f t="shared" si="376"/>
        <v>0</v>
      </c>
      <c r="BC303" s="616">
        <f t="shared" si="377"/>
        <v>0</v>
      </c>
      <c r="BD303" s="616">
        <f t="shared" si="378"/>
        <v>0</v>
      </c>
      <c r="BE303" s="616">
        <f t="shared" si="379"/>
        <v>0</v>
      </c>
      <c r="BF303" s="616">
        <f t="shared" si="380"/>
        <v>0</v>
      </c>
      <c r="BG303" s="616"/>
      <c r="BH303" s="615">
        <f t="shared" si="381"/>
        <v>0</v>
      </c>
      <c r="BI303" s="616">
        <f t="shared" si="382"/>
        <v>0</v>
      </c>
      <c r="BJ303" s="616">
        <f t="shared" si="383"/>
        <v>0</v>
      </c>
      <c r="BK303" s="616">
        <f t="shared" si="384"/>
        <v>0</v>
      </c>
      <c r="BL303" s="616">
        <f t="shared" si="385"/>
        <v>0</v>
      </c>
      <c r="BM303" s="616">
        <f t="shared" si="386"/>
        <v>0</v>
      </c>
      <c r="BN303" s="616">
        <f t="shared" si="387"/>
        <v>0</v>
      </c>
      <c r="BO303" s="616"/>
      <c r="BP303" s="304"/>
    </row>
    <row r="304" s="131" customFormat="1" ht="24" spans="1:68">
      <c r="A304" s="497" t="s">
        <v>590</v>
      </c>
      <c r="B304" s="497" t="s">
        <v>206</v>
      </c>
      <c r="C304" s="497" t="s">
        <v>627</v>
      </c>
      <c r="D304" s="497" t="s">
        <v>626</v>
      </c>
      <c r="E304" s="617">
        <f t="shared" si="474"/>
        <v>0</v>
      </c>
      <c r="F304" s="617">
        <f t="shared" si="475"/>
        <v>0</v>
      </c>
      <c r="G304" s="618"/>
      <c r="H304" s="618"/>
      <c r="I304" s="618"/>
      <c r="J304" s="618"/>
      <c r="K304" s="618"/>
      <c r="L304" s="618"/>
      <c r="M304" s="617">
        <f t="shared" si="476"/>
        <v>0</v>
      </c>
      <c r="N304" s="618"/>
      <c r="O304" s="618"/>
      <c r="P304" s="618"/>
      <c r="Q304" s="618"/>
      <c r="R304" s="617">
        <f t="shared" si="477"/>
        <v>0</v>
      </c>
      <c r="S304" s="615">
        <f t="shared" si="461"/>
        <v>0</v>
      </c>
      <c r="T304" s="618"/>
      <c r="U304" s="618"/>
      <c r="V304" s="618"/>
      <c r="W304" s="618"/>
      <c r="X304" s="618"/>
      <c r="Y304" s="618"/>
      <c r="Z304" s="617">
        <f t="shared" si="478"/>
        <v>0</v>
      </c>
      <c r="AA304" s="619"/>
      <c r="AB304" s="618"/>
      <c r="AC304" s="618"/>
      <c r="AD304" s="618"/>
      <c r="AE304" s="615">
        <f t="shared" si="462"/>
        <v>0</v>
      </c>
      <c r="AF304" s="615">
        <f t="shared" si="463"/>
        <v>0</v>
      </c>
      <c r="AG304" s="616">
        <f t="shared" si="479"/>
        <v>0</v>
      </c>
      <c r="AH304" s="616">
        <f t="shared" si="480"/>
        <v>0</v>
      </c>
      <c r="AI304" s="616">
        <f t="shared" si="481"/>
        <v>0</v>
      </c>
      <c r="AJ304" s="616">
        <f t="shared" si="482"/>
        <v>0</v>
      </c>
      <c r="AK304" s="616">
        <f t="shared" si="483"/>
        <v>0</v>
      </c>
      <c r="AL304" s="616">
        <f t="shared" si="484"/>
        <v>0</v>
      </c>
      <c r="AM304" s="615">
        <f t="shared" si="465"/>
        <v>0</v>
      </c>
      <c r="AN304" s="616">
        <f t="shared" si="485"/>
        <v>0</v>
      </c>
      <c r="AO304" s="616">
        <f t="shared" si="486"/>
        <v>0</v>
      </c>
      <c r="AP304" s="616">
        <f t="shared" si="487"/>
        <v>0</v>
      </c>
      <c r="AQ304" s="637">
        <f t="shared" si="488"/>
        <v>0</v>
      </c>
      <c r="AR304" s="639">
        <f t="shared" si="489"/>
        <v>0</v>
      </c>
      <c r="AS304" s="616">
        <f t="shared" si="368"/>
        <v>0</v>
      </c>
      <c r="AT304" s="616">
        <f t="shared" si="369"/>
        <v>0</v>
      </c>
      <c r="AU304" s="616">
        <f t="shared" si="370"/>
        <v>0</v>
      </c>
      <c r="AV304" s="616">
        <f t="shared" si="371"/>
        <v>0</v>
      </c>
      <c r="AW304" s="616">
        <f t="shared" si="372"/>
        <v>0</v>
      </c>
      <c r="AX304" s="616">
        <f t="shared" si="373"/>
        <v>0</v>
      </c>
      <c r="AY304" s="618"/>
      <c r="AZ304" s="615">
        <f t="shared" si="374"/>
        <v>0</v>
      </c>
      <c r="BA304" s="616">
        <f t="shared" si="375"/>
        <v>0</v>
      </c>
      <c r="BB304" s="616">
        <f t="shared" si="376"/>
        <v>0</v>
      </c>
      <c r="BC304" s="616">
        <f t="shared" si="377"/>
        <v>0</v>
      </c>
      <c r="BD304" s="616">
        <f t="shared" si="378"/>
        <v>0</v>
      </c>
      <c r="BE304" s="616">
        <f t="shared" si="379"/>
        <v>0</v>
      </c>
      <c r="BF304" s="616">
        <f t="shared" si="380"/>
        <v>0</v>
      </c>
      <c r="BG304" s="616"/>
      <c r="BH304" s="615">
        <f t="shared" si="381"/>
        <v>0</v>
      </c>
      <c r="BI304" s="616">
        <f t="shared" si="382"/>
        <v>0</v>
      </c>
      <c r="BJ304" s="616">
        <f t="shared" si="383"/>
        <v>0</v>
      </c>
      <c r="BK304" s="616">
        <f t="shared" si="384"/>
        <v>0</v>
      </c>
      <c r="BL304" s="616">
        <f t="shared" si="385"/>
        <v>0</v>
      </c>
      <c r="BM304" s="616">
        <f t="shared" si="386"/>
        <v>0</v>
      </c>
      <c r="BN304" s="616">
        <f t="shared" si="387"/>
        <v>0</v>
      </c>
      <c r="BO304" s="616"/>
      <c r="BP304" s="304"/>
    </row>
    <row r="305" s="131" customFormat="1" ht="24" spans="1:68">
      <c r="A305" s="497" t="s">
        <v>590</v>
      </c>
      <c r="B305" s="497" t="s">
        <v>206</v>
      </c>
      <c r="C305" s="497" t="s">
        <v>628</v>
      </c>
      <c r="D305" s="497" t="s">
        <v>626</v>
      </c>
      <c r="E305" s="617">
        <f t="shared" si="474"/>
        <v>0</v>
      </c>
      <c r="F305" s="617">
        <f t="shared" si="475"/>
        <v>0</v>
      </c>
      <c r="G305" s="618"/>
      <c r="H305" s="618"/>
      <c r="I305" s="618"/>
      <c r="J305" s="618"/>
      <c r="K305" s="618"/>
      <c r="L305" s="618"/>
      <c r="M305" s="617">
        <f t="shared" si="476"/>
        <v>0</v>
      </c>
      <c r="N305" s="618"/>
      <c r="O305" s="618"/>
      <c r="P305" s="618"/>
      <c r="Q305" s="618"/>
      <c r="R305" s="617">
        <f t="shared" si="477"/>
        <v>0</v>
      </c>
      <c r="S305" s="615">
        <f t="shared" si="461"/>
        <v>0</v>
      </c>
      <c r="T305" s="619"/>
      <c r="U305" s="619"/>
      <c r="V305" s="619"/>
      <c r="W305" s="619"/>
      <c r="X305" s="618"/>
      <c r="Y305" s="618"/>
      <c r="Z305" s="617">
        <f t="shared" si="478"/>
        <v>0</v>
      </c>
      <c r="AA305" s="618"/>
      <c r="AB305" s="618"/>
      <c r="AC305" s="618"/>
      <c r="AD305" s="618"/>
      <c r="AE305" s="615">
        <f t="shared" si="462"/>
        <v>0</v>
      </c>
      <c r="AF305" s="615">
        <f t="shared" si="463"/>
        <v>0</v>
      </c>
      <c r="AG305" s="616">
        <f t="shared" si="479"/>
        <v>0</v>
      </c>
      <c r="AH305" s="616">
        <f t="shared" si="480"/>
        <v>0</v>
      </c>
      <c r="AI305" s="616">
        <f t="shared" si="481"/>
        <v>0</v>
      </c>
      <c r="AJ305" s="616">
        <f t="shared" si="482"/>
        <v>0</v>
      </c>
      <c r="AK305" s="616">
        <f t="shared" si="483"/>
        <v>0</v>
      </c>
      <c r="AL305" s="616">
        <f t="shared" si="484"/>
        <v>0</v>
      </c>
      <c r="AM305" s="615">
        <f t="shared" si="465"/>
        <v>0</v>
      </c>
      <c r="AN305" s="616">
        <f t="shared" si="485"/>
        <v>0</v>
      </c>
      <c r="AO305" s="616">
        <f t="shared" si="486"/>
        <v>0</v>
      </c>
      <c r="AP305" s="616">
        <f t="shared" si="487"/>
        <v>0</v>
      </c>
      <c r="AQ305" s="637">
        <f t="shared" si="488"/>
        <v>0</v>
      </c>
      <c r="AR305" s="639">
        <f t="shared" si="489"/>
        <v>0</v>
      </c>
      <c r="AS305" s="616">
        <f t="shared" si="368"/>
        <v>0</v>
      </c>
      <c r="AT305" s="616">
        <f t="shared" si="369"/>
        <v>0</v>
      </c>
      <c r="AU305" s="616">
        <f t="shared" si="370"/>
        <v>0</v>
      </c>
      <c r="AV305" s="616">
        <f t="shared" si="371"/>
        <v>0</v>
      </c>
      <c r="AW305" s="616">
        <f t="shared" si="372"/>
        <v>0</v>
      </c>
      <c r="AX305" s="616">
        <f t="shared" si="373"/>
        <v>0</v>
      </c>
      <c r="AY305" s="618"/>
      <c r="AZ305" s="615">
        <f t="shared" si="374"/>
        <v>0</v>
      </c>
      <c r="BA305" s="616">
        <f t="shared" si="375"/>
        <v>0</v>
      </c>
      <c r="BB305" s="616">
        <f t="shared" si="376"/>
        <v>0</v>
      </c>
      <c r="BC305" s="616">
        <f t="shared" si="377"/>
        <v>0</v>
      </c>
      <c r="BD305" s="616">
        <f t="shared" si="378"/>
        <v>0</v>
      </c>
      <c r="BE305" s="616">
        <f t="shared" si="379"/>
        <v>0</v>
      </c>
      <c r="BF305" s="616">
        <f t="shared" si="380"/>
        <v>0</v>
      </c>
      <c r="BG305" s="616"/>
      <c r="BH305" s="615">
        <f t="shared" si="381"/>
        <v>0</v>
      </c>
      <c r="BI305" s="616">
        <f t="shared" si="382"/>
        <v>0</v>
      </c>
      <c r="BJ305" s="616">
        <f t="shared" si="383"/>
        <v>0</v>
      </c>
      <c r="BK305" s="616">
        <f t="shared" si="384"/>
        <v>0</v>
      </c>
      <c r="BL305" s="616">
        <f t="shared" si="385"/>
        <v>0</v>
      </c>
      <c r="BM305" s="616">
        <f t="shared" si="386"/>
        <v>0</v>
      </c>
      <c r="BN305" s="616">
        <f t="shared" si="387"/>
        <v>0</v>
      </c>
      <c r="BO305" s="616"/>
      <c r="BP305" s="304" t="s">
        <v>624</v>
      </c>
    </row>
    <row r="306" s="131" customFormat="1" ht="24" spans="1:68">
      <c r="A306" s="497" t="s">
        <v>590</v>
      </c>
      <c r="B306" s="497" t="s">
        <v>206</v>
      </c>
      <c r="C306" s="497" t="s">
        <v>629</v>
      </c>
      <c r="D306" s="497" t="s">
        <v>626</v>
      </c>
      <c r="E306" s="617">
        <f t="shared" si="474"/>
        <v>0</v>
      </c>
      <c r="F306" s="617">
        <f t="shared" si="475"/>
        <v>0</v>
      </c>
      <c r="G306" s="618"/>
      <c r="H306" s="618"/>
      <c r="I306" s="618"/>
      <c r="J306" s="618"/>
      <c r="K306" s="618"/>
      <c r="L306" s="618"/>
      <c r="M306" s="617">
        <f t="shared" si="476"/>
        <v>0</v>
      </c>
      <c r="N306" s="618"/>
      <c r="O306" s="618"/>
      <c r="P306" s="618"/>
      <c r="Q306" s="618"/>
      <c r="R306" s="617">
        <f t="shared" si="477"/>
        <v>0</v>
      </c>
      <c r="S306" s="615">
        <f t="shared" si="461"/>
        <v>0</v>
      </c>
      <c r="T306" s="618"/>
      <c r="U306" s="618"/>
      <c r="V306" s="618"/>
      <c r="W306" s="618"/>
      <c r="X306" s="618"/>
      <c r="Y306" s="618"/>
      <c r="Z306" s="617">
        <f t="shared" si="478"/>
        <v>0</v>
      </c>
      <c r="AA306" s="618"/>
      <c r="AB306" s="618"/>
      <c r="AC306" s="618"/>
      <c r="AD306" s="618"/>
      <c r="AE306" s="615">
        <f t="shared" si="462"/>
        <v>0</v>
      </c>
      <c r="AF306" s="615">
        <f t="shared" si="463"/>
        <v>0</v>
      </c>
      <c r="AG306" s="616">
        <f t="shared" si="479"/>
        <v>0</v>
      </c>
      <c r="AH306" s="616">
        <f t="shared" si="480"/>
        <v>0</v>
      </c>
      <c r="AI306" s="616">
        <f t="shared" si="481"/>
        <v>0</v>
      </c>
      <c r="AJ306" s="616">
        <f t="shared" si="482"/>
        <v>0</v>
      </c>
      <c r="AK306" s="616">
        <f t="shared" si="483"/>
        <v>0</v>
      </c>
      <c r="AL306" s="616">
        <f t="shared" si="484"/>
        <v>0</v>
      </c>
      <c r="AM306" s="615">
        <f t="shared" si="465"/>
        <v>0</v>
      </c>
      <c r="AN306" s="616">
        <f t="shared" si="485"/>
        <v>0</v>
      </c>
      <c r="AO306" s="616">
        <f t="shared" si="486"/>
        <v>0</v>
      </c>
      <c r="AP306" s="616">
        <f t="shared" si="487"/>
        <v>0</v>
      </c>
      <c r="AQ306" s="637">
        <f t="shared" si="488"/>
        <v>0</v>
      </c>
      <c r="AR306" s="639">
        <f t="shared" si="489"/>
        <v>0</v>
      </c>
      <c r="AS306" s="616">
        <f t="shared" si="368"/>
        <v>0</v>
      </c>
      <c r="AT306" s="616">
        <f t="shared" si="369"/>
        <v>0</v>
      </c>
      <c r="AU306" s="616">
        <f t="shared" si="370"/>
        <v>0</v>
      </c>
      <c r="AV306" s="616">
        <f t="shared" si="371"/>
        <v>0</v>
      </c>
      <c r="AW306" s="616">
        <f t="shared" si="372"/>
        <v>0</v>
      </c>
      <c r="AX306" s="616">
        <f t="shared" si="373"/>
        <v>0</v>
      </c>
      <c r="AY306" s="618"/>
      <c r="AZ306" s="615">
        <f t="shared" si="374"/>
        <v>0</v>
      </c>
      <c r="BA306" s="616">
        <f t="shared" si="375"/>
        <v>0</v>
      </c>
      <c r="BB306" s="616">
        <f t="shared" si="376"/>
        <v>0</v>
      </c>
      <c r="BC306" s="616">
        <f t="shared" si="377"/>
        <v>0</v>
      </c>
      <c r="BD306" s="616">
        <f t="shared" si="378"/>
        <v>0</v>
      </c>
      <c r="BE306" s="616">
        <f t="shared" si="379"/>
        <v>0</v>
      </c>
      <c r="BF306" s="616">
        <f t="shared" si="380"/>
        <v>0</v>
      </c>
      <c r="BG306" s="616"/>
      <c r="BH306" s="615">
        <f t="shared" si="381"/>
        <v>0</v>
      </c>
      <c r="BI306" s="616">
        <f t="shared" si="382"/>
        <v>0</v>
      </c>
      <c r="BJ306" s="616">
        <f t="shared" si="383"/>
        <v>0</v>
      </c>
      <c r="BK306" s="616">
        <f t="shared" si="384"/>
        <v>0</v>
      </c>
      <c r="BL306" s="616">
        <f t="shared" si="385"/>
        <v>0</v>
      </c>
      <c r="BM306" s="616">
        <f t="shared" si="386"/>
        <v>0</v>
      </c>
      <c r="BN306" s="616">
        <f t="shared" si="387"/>
        <v>0</v>
      </c>
      <c r="BO306" s="616"/>
      <c r="BP306" s="304"/>
    </row>
    <row r="307" s="131" customFormat="1" ht="36" spans="1:68">
      <c r="A307" s="497" t="s">
        <v>590</v>
      </c>
      <c r="B307" s="497" t="s">
        <v>206</v>
      </c>
      <c r="C307" s="497" t="s">
        <v>630</v>
      </c>
      <c r="D307" s="497" t="s">
        <v>631</v>
      </c>
      <c r="E307" s="617">
        <f t="shared" si="474"/>
        <v>0</v>
      </c>
      <c r="F307" s="617">
        <f t="shared" si="475"/>
        <v>0</v>
      </c>
      <c r="G307" s="618"/>
      <c r="H307" s="618"/>
      <c r="I307" s="618"/>
      <c r="J307" s="618"/>
      <c r="K307" s="618"/>
      <c r="L307" s="618"/>
      <c r="M307" s="617">
        <f t="shared" si="476"/>
        <v>0</v>
      </c>
      <c r="N307" s="618"/>
      <c r="O307" s="618"/>
      <c r="P307" s="618"/>
      <c r="Q307" s="618"/>
      <c r="R307" s="617">
        <f t="shared" si="477"/>
        <v>0</v>
      </c>
      <c r="S307" s="615">
        <f t="shared" si="461"/>
        <v>0</v>
      </c>
      <c r="T307" s="618"/>
      <c r="U307" s="618"/>
      <c r="V307" s="618"/>
      <c r="W307" s="618"/>
      <c r="X307" s="618"/>
      <c r="Y307" s="618"/>
      <c r="Z307" s="617">
        <f t="shared" si="478"/>
        <v>0</v>
      </c>
      <c r="AA307" s="618"/>
      <c r="AB307" s="618"/>
      <c r="AC307" s="618"/>
      <c r="AD307" s="618"/>
      <c r="AE307" s="615">
        <f t="shared" si="462"/>
        <v>0</v>
      </c>
      <c r="AF307" s="615">
        <f t="shared" si="463"/>
        <v>0</v>
      </c>
      <c r="AG307" s="616">
        <f t="shared" si="479"/>
        <v>0</v>
      </c>
      <c r="AH307" s="616">
        <f t="shared" si="480"/>
        <v>0</v>
      </c>
      <c r="AI307" s="616">
        <f t="shared" si="481"/>
        <v>0</v>
      </c>
      <c r="AJ307" s="616">
        <f t="shared" si="482"/>
        <v>0</v>
      </c>
      <c r="AK307" s="616">
        <f t="shared" si="483"/>
        <v>0</v>
      </c>
      <c r="AL307" s="616">
        <f t="shared" si="484"/>
        <v>0</v>
      </c>
      <c r="AM307" s="615">
        <f t="shared" si="465"/>
        <v>0</v>
      </c>
      <c r="AN307" s="616">
        <f t="shared" si="485"/>
        <v>0</v>
      </c>
      <c r="AO307" s="616">
        <f t="shared" si="486"/>
        <v>0</v>
      </c>
      <c r="AP307" s="616">
        <f t="shared" si="487"/>
        <v>0</v>
      </c>
      <c r="AQ307" s="637">
        <f t="shared" si="488"/>
        <v>0</v>
      </c>
      <c r="AR307" s="639">
        <f t="shared" si="489"/>
        <v>0</v>
      </c>
      <c r="AS307" s="616">
        <f t="shared" si="368"/>
        <v>0</v>
      </c>
      <c r="AT307" s="616">
        <f t="shared" si="369"/>
        <v>0</v>
      </c>
      <c r="AU307" s="616">
        <f t="shared" si="370"/>
        <v>0</v>
      </c>
      <c r="AV307" s="616">
        <f t="shared" si="371"/>
        <v>0</v>
      </c>
      <c r="AW307" s="616">
        <f t="shared" si="372"/>
        <v>0</v>
      </c>
      <c r="AX307" s="616">
        <f t="shared" si="373"/>
        <v>0</v>
      </c>
      <c r="AY307" s="618"/>
      <c r="AZ307" s="615">
        <f t="shared" si="374"/>
        <v>0</v>
      </c>
      <c r="BA307" s="616">
        <f t="shared" si="375"/>
        <v>0</v>
      </c>
      <c r="BB307" s="616">
        <f t="shared" si="376"/>
        <v>0</v>
      </c>
      <c r="BC307" s="616">
        <f t="shared" si="377"/>
        <v>0</v>
      </c>
      <c r="BD307" s="616">
        <f t="shared" si="378"/>
        <v>0</v>
      </c>
      <c r="BE307" s="616">
        <f t="shared" si="379"/>
        <v>0</v>
      </c>
      <c r="BF307" s="616">
        <f t="shared" si="380"/>
        <v>0</v>
      </c>
      <c r="BG307" s="616"/>
      <c r="BH307" s="615">
        <f t="shared" si="381"/>
        <v>0</v>
      </c>
      <c r="BI307" s="616">
        <f t="shared" si="382"/>
        <v>0</v>
      </c>
      <c r="BJ307" s="616">
        <f t="shared" si="383"/>
        <v>0</v>
      </c>
      <c r="BK307" s="616">
        <f t="shared" si="384"/>
        <v>0</v>
      </c>
      <c r="BL307" s="616">
        <f t="shared" si="385"/>
        <v>0</v>
      </c>
      <c r="BM307" s="616">
        <f t="shared" si="386"/>
        <v>0</v>
      </c>
      <c r="BN307" s="616">
        <f t="shared" si="387"/>
        <v>0</v>
      </c>
      <c r="BO307" s="616"/>
      <c r="BP307" s="304"/>
    </row>
    <row r="308" s="131" customFormat="1" ht="24" spans="1:68">
      <c r="A308" s="497" t="s">
        <v>584</v>
      </c>
      <c r="B308" s="497" t="s">
        <v>203</v>
      </c>
      <c r="C308" s="497" t="s">
        <v>632</v>
      </c>
      <c r="D308" s="497" t="s">
        <v>633</v>
      </c>
      <c r="E308" s="617">
        <f t="shared" si="474"/>
        <v>0</v>
      </c>
      <c r="F308" s="617">
        <f t="shared" si="475"/>
        <v>0</v>
      </c>
      <c r="G308" s="618"/>
      <c r="H308" s="618"/>
      <c r="I308" s="618"/>
      <c r="J308" s="618"/>
      <c r="K308" s="618"/>
      <c r="L308" s="618"/>
      <c r="M308" s="617">
        <f t="shared" si="476"/>
        <v>0</v>
      </c>
      <c r="N308" s="618"/>
      <c r="O308" s="618"/>
      <c r="P308" s="618"/>
      <c r="Q308" s="618"/>
      <c r="R308" s="617">
        <f t="shared" si="477"/>
        <v>0</v>
      </c>
      <c r="S308" s="615">
        <f t="shared" si="461"/>
        <v>0</v>
      </c>
      <c r="T308" s="618"/>
      <c r="U308" s="618"/>
      <c r="V308" s="618"/>
      <c r="W308" s="618"/>
      <c r="X308" s="618"/>
      <c r="Y308" s="618"/>
      <c r="Z308" s="617">
        <f t="shared" si="478"/>
        <v>0</v>
      </c>
      <c r="AA308" s="618"/>
      <c r="AB308" s="618"/>
      <c r="AC308" s="618"/>
      <c r="AD308" s="618"/>
      <c r="AE308" s="615">
        <f t="shared" si="462"/>
        <v>0</v>
      </c>
      <c r="AF308" s="615">
        <f t="shared" si="463"/>
        <v>0</v>
      </c>
      <c r="AG308" s="616">
        <f t="shared" si="479"/>
        <v>0</v>
      </c>
      <c r="AH308" s="616">
        <f t="shared" si="480"/>
        <v>0</v>
      </c>
      <c r="AI308" s="616">
        <f t="shared" si="481"/>
        <v>0</v>
      </c>
      <c r="AJ308" s="616">
        <f t="shared" si="482"/>
        <v>0</v>
      </c>
      <c r="AK308" s="616">
        <f t="shared" si="483"/>
        <v>0</v>
      </c>
      <c r="AL308" s="616">
        <f t="shared" si="484"/>
        <v>0</v>
      </c>
      <c r="AM308" s="615">
        <f t="shared" si="465"/>
        <v>0</v>
      </c>
      <c r="AN308" s="616">
        <f t="shared" si="485"/>
        <v>0</v>
      </c>
      <c r="AO308" s="616">
        <f t="shared" si="486"/>
        <v>0</v>
      </c>
      <c r="AP308" s="616">
        <f t="shared" si="487"/>
        <v>0</v>
      </c>
      <c r="AQ308" s="637">
        <f t="shared" si="488"/>
        <v>0</v>
      </c>
      <c r="AR308" s="639">
        <f t="shared" si="489"/>
        <v>0</v>
      </c>
      <c r="AS308" s="616">
        <f t="shared" si="368"/>
        <v>0</v>
      </c>
      <c r="AT308" s="616">
        <f t="shared" si="369"/>
        <v>0</v>
      </c>
      <c r="AU308" s="616">
        <f t="shared" si="370"/>
        <v>0</v>
      </c>
      <c r="AV308" s="616">
        <f t="shared" si="371"/>
        <v>0</v>
      </c>
      <c r="AW308" s="616">
        <f t="shared" si="372"/>
        <v>0</v>
      </c>
      <c r="AX308" s="616">
        <f t="shared" si="373"/>
        <v>0</v>
      </c>
      <c r="AY308" s="618"/>
      <c r="AZ308" s="615">
        <f t="shared" si="374"/>
        <v>0</v>
      </c>
      <c r="BA308" s="616">
        <f t="shared" si="375"/>
        <v>0</v>
      </c>
      <c r="BB308" s="616">
        <f t="shared" si="376"/>
        <v>0</v>
      </c>
      <c r="BC308" s="616">
        <f t="shared" si="377"/>
        <v>0</v>
      </c>
      <c r="BD308" s="616">
        <f t="shared" si="378"/>
        <v>0</v>
      </c>
      <c r="BE308" s="616">
        <f t="shared" si="379"/>
        <v>0</v>
      </c>
      <c r="BF308" s="616">
        <f t="shared" si="380"/>
        <v>0</v>
      </c>
      <c r="BG308" s="616"/>
      <c r="BH308" s="615">
        <f t="shared" si="381"/>
        <v>0</v>
      </c>
      <c r="BI308" s="616">
        <f t="shared" si="382"/>
        <v>0</v>
      </c>
      <c r="BJ308" s="616">
        <f t="shared" si="383"/>
        <v>0</v>
      </c>
      <c r="BK308" s="616">
        <f t="shared" si="384"/>
        <v>0</v>
      </c>
      <c r="BL308" s="616">
        <f t="shared" si="385"/>
        <v>0</v>
      </c>
      <c r="BM308" s="616">
        <f t="shared" si="386"/>
        <v>0</v>
      </c>
      <c r="BN308" s="616">
        <f t="shared" si="387"/>
        <v>0</v>
      </c>
      <c r="BO308" s="616"/>
      <c r="BP308" s="304"/>
    </row>
    <row r="309" s="508" customFormat="1" ht="24" spans="1:69">
      <c r="A309" s="647"/>
      <c r="B309" s="647"/>
      <c r="C309" s="647" t="s">
        <v>145</v>
      </c>
      <c r="D309" s="648">
        <v>224</v>
      </c>
      <c r="E309" s="612">
        <f t="shared" ref="E309:P309" si="490">SUM(E310:E313)</f>
        <v>655.2905</v>
      </c>
      <c r="F309" s="612">
        <f t="shared" si="490"/>
        <v>256.3205</v>
      </c>
      <c r="G309" s="612">
        <f t="shared" si="490"/>
        <v>96.054</v>
      </c>
      <c r="H309" s="612">
        <f t="shared" si="490"/>
        <v>59.442</v>
      </c>
      <c r="I309" s="612">
        <f t="shared" si="490"/>
        <v>8.0045</v>
      </c>
      <c r="J309" s="612">
        <f t="shared" si="490"/>
        <v>0</v>
      </c>
      <c r="K309" s="612">
        <f t="shared" si="490"/>
        <v>4.56</v>
      </c>
      <c r="L309" s="612">
        <f t="shared" si="490"/>
        <v>88.26</v>
      </c>
      <c r="M309" s="612">
        <f t="shared" si="490"/>
        <v>398.97</v>
      </c>
      <c r="N309" s="612">
        <f t="shared" si="490"/>
        <v>12.72</v>
      </c>
      <c r="O309" s="612">
        <f t="shared" si="490"/>
        <v>360</v>
      </c>
      <c r="P309" s="612">
        <f t="shared" si="490"/>
        <v>13.75</v>
      </c>
      <c r="Q309" s="612">
        <f t="shared" ref="Q309:AE309" si="491">SUM(Q310:Q313)</f>
        <v>12.5</v>
      </c>
      <c r="R309" s="612">
        <f t="shared" si="491"/>
        <v>-30.8</v>
      </c>
      <c r="S309" s="612">
        <f t="shared" si="491"/>
        <v>-41.94</v>
      </c>
      <c r="T309" s="612">
        <f t="shared" si="491"/>
        <v>-34.98</v>
      </c>
      <c r="U309" s="612">
        <f t="shared" si="491"/>
        <v>3.02</v>
      </c>
      <c r="V309" s="612">
        <f t="shared" si="491"/>
        <v>-1.06</v>
      </c>
      <c r="W309" s="612">
        <f t="shared" si="491"/>
        <v>0</v>
      </c>
      <c r="X309" s="612">
        <f t="shared" si="491"/>
        <v>18.94</v>
      </c>
      <c r="Y309" s="612">
        <f t="shared" si="491"/>
        <v>-27.86</v>
      </c>
      <c r="Z309" s="612">
        <f t="shared" si="491"/>
        <v>11.14</v>
      </c>
      <c r="AA309" s="612">
        <f t="shared" si="491"/>
        <v>0.89</v>
      </c>
      <c r="AB309" s="612">
        <f t="shared" si="491"/>
        <v>1.05</v>
      </c>
      <c r="AC309" s="612">
        <f t="shared" si="491"/>
        <v>11.74</v>
      </c>
      <c r="AD309" s="612">
        <f t="shared" si="491"/>
        <v>-2.54</v>
      </c>
      <c r="AE309" s="612">
        <f t="shared" ref="AE309:AQ309" si="492">SUM(AE310:AE313)</f>
        <v>624.4905</v>
      </c>
      <c r="AF309" s="612">
        <f t="shared" si="492"/>
        <v>214.3805</v>
      </c>
      <c r="AG309" s="612">
        <f t="shared" si="492"/>
        <v>61.074</v>
      </c>
      <c r="AH309" s="612">
        <f t="shared" si="492"/>
        <v>62.462</v>
      </c>
      <c r="AI309" s="612">
        <f t="shared" si="492"/>
        <v>6.9445</v>
      </c>
      <c r="AJ309" s="612">
        <f t="shared" si="492"/>
        <v>0</v>
      </c>
      <c r="AK309" s="612">
        <f t="shared" si="492"/>
        <v>23.5</v>
      </c>
      <c r="AL309" s="612">
        <f t="shared" si="492"/>
        <v>60.4</v>
      </c>
      <c r="AM309" s="612">
        <f t="shared" si="492"/>
        <v>410.11</v>
      </c>
      <c r="AN309" s="612">
        <f t="shared" si="492"/>
        <v>13.61</v>
      </c>
      <c r="AO309" s="612">
        <f t="shared" si="492"/>
        <v>361.05</v>
      </c>
      <c r="AP309" s="612">
        <f t="shared" si="492"/>
        <v>25.49</v>
      </c>
      <c r="AQ309" s="635">
        <f t="shared" si="492"/>
        <v>9.96</v>
      </c>
      <c r="AR309" s="636">
        <f t="shared" ref="AR309:AY309" si="493">SUM(AR310:AR313)</f>
        <v>81.954608</v>
      </c>
      <c r="AS309" s="612">
        <f t="shared" si="493"/>
        <v>40.28168</v>
      </c>
      <c r="AT309" s="612">
        <f t="shared" si="493"/>
        <v>12.43968</v>
      </c>
      <c r="AU309" s="612">
        <f t="shared" si="493"/>
        <v>9.32976</v>
      </c>
      <c r="AV309" s="612">
        <f t="shared" si="493"/>
        <v>0.310992</v>
      </c>
      <c r="AW309" s="612">
        <f t="shared" si="493"/>
        <v>0.932976</v>
      </c>
      <c r="AX309" s="612">
        <f t="shared" si="493"/>
        <v>18.65952</v>
      </c>
      <c r="AY309" s="612">
        <f t="shared" si="493"/>
        <v>0</v>
      </c>
      <c r="AZ309" s="612">
        <f t="shared" ref="AZ309:BO309" si="494">SUM(AZ310:AZ313)</f>
        <v>-18.30608</v>
      </c>
      <c r="BA309" s="612">
        <f t="shared" si="494"/>
        <v>-9.7408</v>
      </c>
      <c r="BB309" s="612">
        <f t="shared" si="494"/>
        <v>-2.5568</v>
      </c>
      <c r="BC309" s="612">
        <f t="shared" si="494"/>
        <v>-1.9176</v>
      </c>
      <c r="BD309" s="612">
        <f t="shared" si="494"/>
        <v>-0.06392</v>
      </c>
      <c r="BE309" s="612">
        <f t="shared" si="494"/>
        <v>-0.19176</v>
      </c>
      <c r="BF309" s="612">
        <f t="shared" si="494"/>
        <v>-3.8352</v>
      </c>
      <c r="BG309" s="612">
        <f t="shared" si="494"/>
        <v>0</v>
      </c>
      <c r="BH309" s="612">
        <f t="shared" si="494"/>
        <v>63.648528</v>
      </c>
      <c r="BI309" s="612">
        <f t="shared" si="494"/>
        <v>30.54088</v>
      </c>
      <c r="BJ309" s="612">
        <f t="shared" si="494"/>
        <v>9.88288</v>
      </c>
      <c r="BK309" s="612">
        <f t="shared" si="494"/>
        <v>7.41216</v>
      </c>
      <c r="BL309" s="612">
        <f t="shared" si="494"/>
        <v>0.247072</v>
      </c>
      <c r="BM309" s="612">
        <f t="shared" si="494"/>
        <v>0.741216</v>
      </c>
      <c r="BN309" s="612">
        <f t="shared" si="494"/>
        <v>14.82432</v>
      </c>
      <c r="BO309" s="612">
        <f t="shared" si="494"/>
        <v>0</v>
      </c>
      <c r="BP309" s="334"/>
      <c r="BQ309" s="580"/>
    </row>
    <row r="310" s="131" customFormat="1" ht="24" spans="1:68">
      <c r="A310" s="497" t="s">
        <v>261</v>
      </c>
      <c r="B310" s="497" t="s">
        <v>203</v>
      </c>
      <c r="C310" s="497" t="s">
        <v>634</v>
      </c>
      <c r="D310" s="497" t="s">
        <v>635</v>
      </c>
      <c r="E310" s="617">
        <f>F310+M310</f>
        <v>295.2905</v>
      </c>
      <c r="F310" s="617">
        <f>SUM(G310:L310)</f>
        <v>256.3205</v>
      </c>
      <c r="G310" s="619">
        <v>96.054</v>
      </c>
      <c r="H310" s="619">
        <v>59.442</v>
      </c>
      <c r="I310" s="619">
        <v>8.0045</v>
      </c>
      <c r="J310" s="619"/>
      <c r="K310" s="619">
        <v>4.56</v>
      </c>
      <c r="L310" s="618">
        <v>88.26</v>
      </c>
      <c r="M310" s="617">
        <f>SUM(N310:Q310)</f>
        <v>38.97</v>
      </c>
      <c r="N310" s="619">
        <v>12.72</v>
      </c>
      <c r="O310" s="618"/>
      <c r="P310" s="618">
        <v>13.75</v>
      </c>
      <c r="Q310" s="618">
        <v>12.5</v>
      </c>
      <c r="R310" s="617">
        <f>S310+Z310</f>
        <v>-30.8</v>
      </c>
      <c r="S310" s="615">
        <f t="shared" ref="S310:S313" si="495">SUM(T310:Y310)</f>
        <v>-41.94</v>
      </c>
      <c r="T310" s="618">
        <v>-34.98</v>
      </c>
      <c r="U310" s="618">
        <v>3.02</v>
      </c>
      <c r="V310" s="618">
        <v>-1.06</v>
      </c>
      <c r="W310" s="618"/>
      <c r="X310" s="618">
        <v>18.94</v>
      </c>
      <c r="Y310" s="618">
        <v>-27.86</v>
      </c>
      <c r="Z310" s="617">
        <f>SUM(AA310:AD310)</f>
        <v>11.14</v>
      </c>
      <c r="AA310" s="618">
        <v>0.89</v>
      </c>
      <c r="AB310" s="618">
        <v>1.05</v>
      </c>
      <c r="AC310" s="618">
        <v>11.74</v>
      </c>
      <c r="AD310" s="618">
        <v>-2.54</v>
      </c>
      <c r="AE310" s="615">
        <f t="shared" ref="AE310:AE313" si="496">AF310+AM310</f>
        <v>264.4905</v>
      </c>
      <c r="AF310" s="615">
        <f t="shared" ref="AF310:AF313" si="497">SUM(AG310:AL310)</f>
        <v>214.3805</v>
      </c>
      <c r="AG310" s="616">
        <f t="shared" ref="AG310:AG313" si="498">G310+T310</f>
        <v>61.074</v>
      </c>
      <c r="AH310" s="616">
        <f t="shared" ref="AH310:AH313" si="499">H310+U310</f>
        <v>62.462</v>
      </c>
      <c r="AI310" s="616">
        <f t="shared" ref="AI310:AI313" si="500">I310+V310</f>
        <v>6.9445</v>
      </c>
      <c r="AJ310" s="616">
        <f t="shared" ref="AJ310:AJ313" si="501">J310+W310</f>
        <v>0</v>
      </c>
      <c r="AK310" s="616">
        <f t="shared" ref="AK310:AK313" si="502">K310+X310</f>
        <v>23.5</v>
      </c>
      <c r="AL310" s="616">
        <f t="shared" ref="AL310:AL313" si="503">L310+Y310</f>
        <v>60.4</v>
      </c>
      <c r="AM310" s="615">
        <f t="shared" ref="AM310:AM313" si="504">SUM(AN310:AQ310)</f>
        <v>50.11</v>
      </c>
      <c r="AN310" s="616">
        <f t="shared" ref="AN310:AN313" si="505">N310+AA310</f>
        <v>13.61</v>
      </c>
      <c r="AO310" s="616">
        <f t="shared" ref="AO310:AO313" si="506">O310+AB310</f>
        <v>1.05</v>
      </c>
      <c r="AP310" s="616">
        <f t="shared" ref="AP310:AP313" si="507">P310+AC310</f>
        <v>25.49</v>
      </c>
      <c r="AQ310" s="637">
        <f t="shared" ref="AQ310:AQ313" si="508">Q310+AD310</f>
        <v>9.96</v>
      </c>
      <c r="AR310" s="639">
        <f>SUM(AS310:AY310)</f>
        <v>81.954608</v>
      </c>
      <c r="AS310" s="616">
        <f t="shared" si="368"/>
        <v>40.28168</v>
      </c>
      <c r="AT310" s="616">
        <f t="shared" si="369"/>
        <v>12.43968</v>
      </c>
      <c r="AU310" s="616">
        <f t="shared" si="370"/>
        <v>9.32976</v>
      </c>
      <c r="AV310" s="616">
        <f t="shared" si="371"/>
        <v>0.310992</v>
      </c>
      <c r="AW310" s="616">
        <f t="shared" si="372"/>
        <v>0.932976</v>
      </c>
      <c r="AX310" s="616">
        <f t="shared" si="373"/>
        <v>18.65952</v>
      </c>
      <c r="AY310" s="618"/>
      <c r="AZ310" s="615">
        <f t="shared" si="374"/>
        <v>-18.30608</v>
      </c>
      <c r="BA310" s="616">
        <f t="shared" si="375"/>
        <v>-9.7408</v>
      </c>
      <c r="BB310" s="616">
        <f t="shared" si="376"/>
        <v>-2.5568</v>
      </c>
      <c r="BC310" s="616">
        <f t="shared" si="377"/>
        <v>-1.9176</v>
      </c>
      <c r="BD310" s="616">
        <f t="shared" si="378"/>
        <v>-0.06392</v>
      </c>
      <c r="BE310" s="616">
        <f t="shared" si="379"/>
        <v>-0.19176</v>
      </c>
      <c r="BF310" s="616">
        <f t="shared" si="380"/>
        <v>-3.8352</v>
      </c>
      <c r="BG310" s="616"/>
      <c r="BH310" s="615">
        <f t="shared" si="381"/>
        <v>63.648528</v>
      </c>
      <c r="BI310" s="616">
        <f t="shared" si="382"/>
        <v>30.54088</v>
      </c>
      <c r="BJ310" s="616">
        <f t="shared" si="383"/>
        <v>9.88288</v>
      </c>
      <c r="BK310" s="616">
        <f t="shared" si="384"/>
        <v>7.41216</v>
      </c>
      <c r="BL310" s="616">
        <f t="shared" si="385"/>
        <v>0.247072</v>
      </c>
      <c r="BM310" s="616">
        <f t="shared" si="386"/>
        <v>0.741216</v>
      </c>
      <c r="BN310" s="616">
        <f t="shared" si="387"/>
        <v>14.82432</v>
      </c>
      <c r="BO310" s="616"/>
      <c r="BP310" s="304"/>
    </row>
    <row r="311" s="131" customFormat="1" ht="24" spans="1:68">
      <c r="A311" s="497" t="s">
        <v>261</v>
      </c>
      <c r="B311" s="497" t="s">
        <v>206</v>
      </c>
      <c r="C311" s="497" t="s">
        <v>636</v>
      </c>
      <c r="D311" s="497" t="s">
        <v>637</v>
      </c>
      <c r="E311" s="617">
        <f>F311+M311</f>
        <v>0</v>
      </c>
      <c r="F311" s="617">
        <f>SUM(G311:L311)</f>
        <v>0</v>
      </c>
      <c r="G311" s="618"/>
      <c r="H311" s="618"/>
      <c r="I311" s="618"/>
      <c r="J311" s="618"/>
      <c r="K311" s="618"/>
      <c r="L311" s="618"/>
      <c r="M311" s="617">
        <f>SUM(N311:Q311)</f>
        <v>0</v>
      </c>
      <c r="N311" s="618"/>
      <c r="O311" s="618"/>
      <c r="P311" s="618"/>
      <c r="Q311" s="618"/>
      <c r="R311" s="617">
        <f>S311+Z311</f>
        <v>0</v>
      </c>
      <c r="S311" s="615">
        <f t="shared" si="495"/>
        <v>0</v>
      </c>
      <c r="T311" s="618"/>
      <c r="U311" s="618"/>
      <c r="V311" s="618"/>
      <c r="W311" s="618"/>
      <c r="X311" s="618"/>
      <c r="Y311" s="618"/>
      <c r="Z311" s="617">
        <f>SUM(AA311:AD311)</f>
        <v>0</v>
      </c>
      <c r="AA311" s="618"/>
      <c r="AB311" s="618"/>
      <c r="AC311" s="618"/>
      <c r="AD311" s="618"/>
      <c r="AE311" s="615">
        <f t="shared" si="496"/>
        <v>0</v>
      </c>
      <c r="AF311" s="615">
        <f t="shared" si="497"/>
        <v>0</v>
      </c>
      <c r="AG311" s="616">
        <f t="shared" si="498"/>
        <v>0</v>
      </c>
      <c r="AH311" s="616">
        <f t="shared" si="499"/>
        <v>0</v>
      </c>
      <c r="AI311" s="616">
        <f t="shared" si="500"/>
        <v>0</v>
      </c>
      <c r="AJ311" s="616">
        <f t="shared" si="501"/>
        <v>0</v>
      </c>
      <c r="AK311" s="616">
        <f t="shared" si="502"/>
        <v>0</v>
      </c>
      <c r="AL311" s="616">
        <f t="shared" si="503"/>
        <v>0</v>
      </c>
      <c r="AM311" s="615">
        <f t="shared" si="504"/>
        <v>0</v>
      </c>
      <c r="AN311" s="616">
        <f t="shared" si="505"/>
        <v>0</v>
      </c>
      <c r="AO311" s="616">
        <f t="shared" si="506"/>
        <v>0</v>
      </c>
      <c r="AP311" s="616">
        <f t="shared" si="507"/>
        <v>0</v>
      </c>
      <c r="AQ311" s="637">
        <f t="shared" si="508"/>
        <v>0</v>
      </c>
      <c r="AR311" s="639">
        <f>SUM(AS311:AY311)</f>
        <v>0</v>
      </c>
      <c r="AS311" s="616">
        <f t="shared" si="368"/>
        <v>0</v>
      </c>
      <c r="AT311" s="616">
        <f t="shared" si="369"/>
        <v>0</v>
      </c>
      <c r="AU311" s="616">
        <f t="shared" si="370"/>
        <v>0</v>
      </c>
      <c r="AV311" s="616">
        <f t="shared" si="371"/>
        <v>0</v>
      </c>
      <c r="AW311" s="616">
        <f t="shared" si="372"/>
        <v>0</v>
      </c>
      <c r="AX311" s="616">
        <f t="shared" si="373"/>
        <v>0</v>
      </c>
      <c r="AY311" s="618"/>
      <c r="AZ311" s="615">
        <f t="shared" si="374"/>
        <v>0</v>
      </c>
      <c r="BA311" s="616">
        <f t="shared" si="375"/>
        <v>0</v>
      </c>
      <c r="BB311" s="616">
        <f t="shared" si="376"/>
        <v>0</v>
      </c>
      <c r="BC311" s="616">
        <f t="shared" si="377"/>
        <v>0</v>
      </c>
      <c r="BD311" s="616">
        <f t="shared" si="378"/>
        <v>0</v>
      </c>
      <c r="BE311" s="616">
        <f t="shared" si="379"/>
        <v>0</v>
      </c>
      <c r="BF311" s="616">
        <f t="shared" si="380"/>
        <v>0</v>
      </c>
      <c r="BG311" s="616"/>
      <c r="BH311" s="615">
        <f t="shared" si="381"/>
        <v>0</v>
      </c>
      <c r="BI311" s="616">
        <f t="shared" si="382"/>
        <v>0</v>
      </c>
      <c r="BJ311" s="616">
        <f t="shared" si="383"/>
        <v>0</v>
      </c>
      <c r="BK311" s="616">
        <f t="shared" si="384"/>
        <v>0</v>
      </c>
      <c r="BL311" s="616">
        <f t="shared" si="385"/>
        <v>0</v>
      </c>
      <c r="BM311" s="616">
        <f t="shared" si="386"/>
        <v>0</v>
      </c>
      <c r="BN311" s="616">
        <f t="shared" si="387"/>
        <v>0</v>
      </c>
      <c r="BO311" s="616"/>
      <c r="BP311" s="304"/>
    </row>
    <row r="312" s="131" customFormat="1" ht="24" spans="1:68">
      <c r="A312" s="497" t="s">
        <v>202</v>
      </c>
      <c r="B312" s="497" t="s">
        <v>203</v>
      </c>
      <c r="C312" s="497" t="s">
        <v>638</v>
      </c>
      <c r="D312" s="497" t="s">
        <v>639</v>
      </c>
      <c r="E312" s="617">
        <f>F312+M312</f>
        <v>360</v>
      </c>
      <c r="F312" s="617">
        <f>SUM(G312:L312)</f>
        <v>0</v>
      </c>
      <c r="G312" s="618"/>
      <c r="H312" s="618"/>
      <c r="I312" s="618"/>
      <c r="J312" s="618"/>
      <c r="K312" s="618"/>
      <c r="L312" s="618"/>
      <c r="M312" s="617">
        <f>SUM(N312:Q312)</f>
        <v>360</v>
      </c>
      <c r="N312" s="618"/>
      <c r="O312" s="618">
        <v>360</v>
      </c>
      <c r="P312" s="618"/>
      <c r="Q312" s="618"/>
      <c r="R312" s="617">
        <f>S312+Z312</f>
        <v>0</v>
      </c>
      <c r="S312" s="615">
        <f t="shared" si="495"/>
        <v>0</v>
      </c>
      <c r="T312" s="618"/>
      <c r="U312" s="618"/>
      <c r="V312" s="618"/>
      <c r="W312" s="618"/>
      <c r="X312" s="618"/>
      <c r="Y312" s="618"/>
      <c r="Z312" s="617">
        <f>SUM(AA312:AD312)</f>
        <v>0</v>
      </c>
      <c r="AA312" s="618"/>
      <c r="AB312" s="618"/>
      <c r="AC312" s="618"/>
      <c r="AD312" s="618"/>
      <c r="AE312" s="615">
        <f t="shared" si="496"/>
        <v>360</v>
      </c>
      <c r="AF312" s="615">
        <f t="shared" si="497"/>
        <v>0</v>
      </c>
      <c r="AG312" s="616">
        <f t="shared" si="498"/>
        <v>0</v>
      </c>
      <c r="AH312" s="616">
        <f t="shared" si="499"/>
        <v>0</v>
      </c>
      <c r="AI312" s="616">
        <f t="shared" si="500"/>
        <v>0</v>
      </c>
      <c r="AJ312" s="616">
        <f t="shared" si="501"/>
        <v>0</v>
      </c>
      <c r="AK312" s="616">
        <f t="shared" si="502"/>
        <v>0</v>
      </c>
      <c r="AL312" s="616">
        <f t="shared" si="503"/>
        <v>0</v>
      </c>
      <c r="AM312" s="615">
        <f t="shared" si="504"/>
        <v>360</v>
      </c>
      <c r="AN312" s="616">
        <f t="shared" si="505"/>
        <v>0</v>
      </c>
      <c r="AO312" s="616">
        <f t="shared" si="506"/>
        <v>360</v>
      </c>
      <c r="AP312" s="616">
        <f t="shared" si="507"/>
        <v>0</v>
      </c>
      <c r="AQ312" s="637">
        <f t="shared" si="508"/>
        <v>0</v>
      </c>
      <c r="AR312" s="639">
        <f>SUM(AS312:AY312)</f>
        <v>0</v>
      </c>
      <c r="AS312" s="616">
        <f t="shared" si="368"/>
        <v>0</v>
      </c>
      <c r="AT312" s="616">
        <f t="shared" si="369"/>
        <v>0</v>
      </c>
      <c r="AU312" s="616">
        <f t="shared" si="370"/>
        <v>0</v>
      </c>
      <c r="AV312" s="616">
        <f t="shared" si="371"/>
        <v>0</v>
      </c>
      <c r="AW312" s="616">
        <f t="shared" si="372"/>
        <v>0</v>
      </c>
      <c r="AX312" s="616">
        <f t="shared" si="373"/>
        <v>0</v>
      </c>
      <c r="AY312" s="618"/>
      <c r="AZ312" s="615">
        <f t="shared" si="374"/>
        <v>0</v>
      </c>
      <c r="BA312" s="616">
        <f t="shared" si="375"/>
        <v>0</v>
      </c>
      <c r="BB312" s="616">
        <f t="shared" si="376"/>
        <v>0</v>
      </c>
      <c r="BC312" s="616">
        <f t="shared" si="377"/>
        <v>0</v>
      </c>
      <c r="BD312" s="616">
        <f t="shared" si="378"/>
        <v>0</v>
      </c>
      <c r="BE312" s="616">
        <f t="shared" si="379"/>
        <v>0</v>
      </c>
      <c r="BF312" s="616">
        <f t="shared" si="380"/>
        <v>0</v>
      </c>
      <c r="BG312" s="616"/>
      <c r="BH312" s="615">
        <f t="shared" si="381"/>
        <v>0</v>
      </c>
      <c r="BI312" s="616">
        <f t="shared" si="382"/>
        <v>0</v>
      </c>
      <c r="BJ312" s="616">
        <f t="shared" si="383"/>
        <v>0</v>
      </c>
      <c r="BK312" s="616">
        <f t="shared" si="384"/>
        <v>0</v>
      </c>
      <c r="BL312" s="616">
        <f t="shared" si="385"/>
        <v>0</v>
      </c>
      <c r="BM312" s="616">
        <f t="shared" si="386"/>
        <v>0</v>
      </c>
      <c r="BN312" s="616">
        <f t="shared" si="387"/>
        <v>0</v>
      </c>
      <c r="BO312" s="616"/>
      <c r="BP312" s="304"/>
    </row>
    <row r="313" s="130" customFormat="1" ht="24" spans="1:68">
      <c r="A313" s="497" t="s">
        <v>215</v>
      </c>
      <c r="B313" s="497" t="s">
        <v>206</v>
      </c>
      <c r="C313" s="497" t="s">
        <v>640</v>
      </c>
      <c r="D313" s="497" t="s">
        <v>641</v>
      </c>
      <c r="E313" s="615">
        <f>F313+M313</f>
        <v>0</v>
      </c>
      <c r="F313" s="615">
        <f>SUM(G313:L313)</f>
        <v>0</v>
      </c>
      <c r="G313" s="616"/>
      <c r="H313" s="616"/>
      <c r="I313" s="616"/>
      <c r="J313" s="616"/>
      <c r="K313" s="616"/>
      <c r="L313" s="616"/>
      <c r="M313" s="615">
        <f>SUM(N313:Q313)</f>
        <v>0</v>
      </c>
      <c r="N313" s="616"/>
      <c r="O313" s="616"/>
      <c r="P313" s="616"/>
      <c r="Q313" s="616"/>
      <c r="R313" s="615">
        <f>S313+Z313</f>
        <v>0</v>
      </c>
      <c r="S313" s="615">
        <f t="shared" si="495"/>
        <v>0</v>
      </c>
      <c r="T313" s="616"/>
      <c r="U313" s="616"/>
      <c r="V313" s="616"/>
      <c r="W313" s="616"/>
      <c r="X313" s="616"/>
      <c r="Y313" s="616"/>
      <c r="Z313" s="615">
        <f>SUM(AA313:AD313)</f>
        <v>0</v>
      </c>
      <c r="AA313" s="616"/>
      <c r="AB313" s="616"/>
      <c r="AC313" s="616"/>
      <c r="AD313" s="616"/>
      <c r="AE313" s="615">
        <f t="shared" si="496"/>
        <v>0</v>
      </c>
      <c r="AF313" s="615">
        <f t="shared" si="497"/>
        <v>0</v>
      </c>
      <c r="AG313" s="616">
        <f t="shared" si="498"/>
        <v>0</v>
      </c>
      <c r="AH313" s="616">
        <f t="shared" si="499"/>
        <v>0</v>
      </c>
      <c r="AI313" s="616">
        <f t="shared" si="500"/>
        <v>0</v>
      </c>
      <c r="AJ313" s="616">
        <f t="shared" si="501"/>
        <v>0</v>
      </c>
      <c r="AK313" s="616">
        <f t="shared" si="502"/>
        <v>0</v>
      </c>
      <c r="AL313" s="616">
        <f t="shared" si="503"/>
        <v>0</v>
      </c>
      <c r="AM313" s="615">
        <f t="shared" si="504"/>
        <v>0</v>
      </c>
      <c r="AN313" s="616">
        <f t="shared" si="505"/>
        <v>0</v>
      </c>
      <c r="AO313" s="616">
        <f t="shared" si="506"/>
        <v>0</v>
      </c>
      <c r="AP313" s="616">
        <f t="shared" si="507"/>
        <v>0</v>
      </c>
      <c r="AQ313" s="637">
        <f t="shared" si="508"/>
        <v>0</v>
      </c>
      <c r="AR313" s="638">
        <f>SUM(AS313:AY313)</f>
        <v>0</v>
      </c>
      <c r="AS313" s="616">
        <f t="shared" si="368"/>
        <v>0</v>
      </c>
      <c r="AT313" s="616">
        <f t="shared" si="369"/>
        <v>0</v>
      </c>
      <c r="AU313" s="616">
        <f t="shared" si="370"/>
        <v>0</v>
      </c>
      <c r="AV313" s="616">
        <f t="shared" si="371"/>
        <v>0</v>
      </c>
      <c r="AW313" s="616">
        <f t="shared" si="372"/>
        <v>0</v>
      </c>
      <c r="AX313" s="616">
        <f t="shared" si="373"/>
        <v>0</v>
      </c>
      <c r="AY313" s="616"/>
      <c r="AZ313" s="615">
        <f t="shared" si="374"/>
        <v>0</v>
      </c>
      <c r="BA313" s="616">
        <f t="shared" si="375"/>
        <v>0</v>
      </c>
      <c r="BB313" s="616">
        <f t="shared" si="376"/>
        <v>0</v>
      </c>
      <c r="BC313" s="616">
        <f t="shared" si="377"/>
        <v>0</v>
      </c>
      <c r="BD313" s="616">
        <f t="shared" si="378"/>
        <v>0</v>
      </c>
      <c r="BE313" s="616">
        <f t="shared" si="379"/>
        <v>0</v>
      </c>
      <c r="BF313" s="616">
        <f t="shared" si="380"/>
        <v>0</v>
      </c>
      <c r="BG313" s="616"/>
      <c r="BH313" s="615">
        <f t="shared" si="381"/>
        <v>0</v>
      </c>
      <c r="BI313" s="616">
        <f t="shared" si="382"/>
        <v>0</v>
      </c>
      <c r="BJ313" s="616">
        <f t="shared" si="383"/>
        <v>0</v>
      </c>
      <c r="BK313" s="616">
        <f t="shared" si="384"/>
        <v>0</v>
      </c>
      <c r="BL313" s="616">
        <f t="shared" si="385"/>
        <v>0</v>
      </c>
      <c r="BM313" s="616">
        <f t="shared" si="386"/>
        <v>0</v>
      </c>
      <c r="BN313" s="616">
        <f t="shared" si="387"/>
        <v>0</v>
      </c>
      <c r="BO313" s="616"/>
      <c r="BP313" s="304"/>
    </row>
  </sheetData>
  <autoFilter ref="A5:BQ313">
    <extLst/>
  </autoFilter>
  <mergeCells count="22">
    <mergeCell ref="B2:D2"/>
    <mergeCell ref="E3:Q3"/>
    <mergeCell ref="R3:AD3"/>
    <mergeCell ref="AE3:AQ3"/>
    <mergeCell ref="AR3:BO3"/>
    <mergeCell ref="F4:L4"/>
    <mergeCell ref="M4:Q4"/>
    <mergeCell ref="S4:Y4"/>
    <mergeCell ref="Z4:AD4"/>
    <mergeCell ref="AF4:AL4"/>
    <mergeCell ref="AM4:AQ4"/>
    <mergeCell ref="AR4:AY4"/>
    <mergeCell ref="AZ4:BG4"/>
    <mergeCell ref="BH4:BO4"/>
    <mergeCell ref="A3:A5"/>
    <mergeCell ref="B3:B5"/>
    <mergeCell ref="C3:C5"/>
    <mergeCell ref="D3:D5"/>
    <mergeCell ref="E4:E5"/>
    <mergeCell ref="R4:R5"/>
    <mergeCell ref="AE4:AE5"/>
    <mergeCell ref="BP3:BP5"/>
  </mergeCells>
  <conditionalFormatting sqref="C263">
    <cfRule type="duplicateValues" dxfId="0" priority="3"/>
  </conditionalFormatting>
  <pageMargins left="0.699305555555556" right="0.699305555555556" top="0.75" bottom="0.75" header="0.3" footer="0.3"/>
  <pageSetup paperSize="9" scale="18" fitToHeight="0" orientation="landscape"/>
  <headerFooter>
    <oddFooter>&amp;C第 &amp;P 页，共 &amp;N 页</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BT313"/>
  <sheetViews>
    <sheetView workbookViewId="0">
      <pane xSplit="4" ySplit="7" topLeftCell="E8" activePane="bottomRight" state="frozen"/>
      <selection/>
      <selection pane="topRight"/>
      <selection pane="bottomLeft"/>
      <selection pane="bottomRight" activeCell="K17" sqref="K17"/>
    </sheetView>
  </sheetViews>
  <sheetFormatPr defaultColWidth="9" defaultRowHeight="13.5"/>
  <cols>
    <col min="1" max="1" width="10.1333333333333" style="137" customWidth="1"/>
    <col min="2" max="2" width="8.75" style="137" customWidth="1"/>
    <col min="3" max="3" width="20.375" style="317" customWidth="1"/>
    <col min="4" max="4" width="11.375" style="137" customWidth="1"/>
    <col min="5" max="5" width="10.375" style="134" customWidth="1"/>
    <col min="6" max="6" width="10.25" style="132" customWidth="1"/>
    <col min="7" max="7" width="11.9083333333333" style="132" customWidth="1"/>
    <col min="8" max="8" width="9.45" style="132" customWidth="1"/>
    <col min="9" max="9" width="10.6833333333333" style="132" customWidth="1"/>
    <col min="10" max="12" width="9.45" style="132" customWidth="1"/>
    <col min="13" max="13" width="10.375" style="134" customWidth="1"/>
    <col min="14" max="14" width="10.6833333333333" style="132" customWidth="1"/>
    <col min="15" max="16" width="9.45" style="132" customWidth="1"/>
    <col min="17" max="17" width="9.86666666666667" style="132" customWidth="1"/>
    <col min="18" max="25" width="10.6333333333333" style="132" customWidth="1"/>
    <col min="26" max="26" width="9.375" style="132" customWidth="1"/>
    <col min="27" max="28" width="10.6333333333333" style="132" customWidth="1"/>
    <col min="29" max="29" width="8.375" style="132" customWidth="1"/>
    <col min="30" max="30" width="9.375" style="132" customWidth="1"/>
    <col min="31" max="31" width="8.375" style="132" customWidth="1"/>
    <col min="32" max="32" width="11.25" style="132" customWidth="1"/>
    <col min="33" max="46" width="10.6333333333333" style="132" customWidth="1"/>
    <col min="47" max="47" width="11.9083333333333" style="134" customWidth="1"/>
    <col min="48" max="50" width="9.36666666666667" style="132" customWidth="1"/>
    <col min="51" max="52" width="9" style="132" customWidth="1"/>
    <col min="53" max="70" width="9.36666666666667" style="132" customWidth="1"/>
    <col min="71" max="71" width="37.5" style="548" customWidth="1"/>
    <col min="72" max="16384" width="9" style="590"/>
  </cols>
  <sheetData>
    <row r="1" ht="27" spans="1:71">
      <c r="A1" s="591" t="s">
        <v>642</v>
      </c>
      <c r="B1" s="591"/>
      <c r="C1" s="591"/>
      <c r="D1" s="591"/>
      <c r="E1" s="591"/>
      <c r="F1" s="591"/>
      <c r="G1" s="591"/>
      <c r="H1" s="591"/>
      <c r="I1" s="591"/>
      <c r="J1" s="591"/>
      <c r="K1" s="591"/>
      <c r="L1" s="591"/>
      <c r="M1" s="591"/>
      <c r="N1" s="591"/>
      <c r="O1" s="591"/>
      <c r="P1" s="591"/>
      <c r="Q1" s="591"/>
      <c r="R1" s="591"/>
      <c r="S1" s="591"/>
      <c r="T1" s="591"/>
      <c r="U1" s="591"/>
      <c r="V1" s="591"/>
      <c r="W1" s="591"/>
      <c r="X1" s="591"/>
      <c r="Y1" s="591"/>
      <c r="Z1" s="591"/>
      <c r="AA1" s="591"/>
      <c r="AB1" s="591"/>
      <c r="AC1" s="591"/>
      <c r="AD1" s="591"/>
      <c r="AE1" s="591"/>
      <c r="AF1" s="591"/>
      <c r="AG1" s="591"/>
      <c r="AH1" s="591"/>
      <c r="AI1" s="591"/>
      <c r="AJ1" s="591"/>
      <c r="AK1" s="591"/>
      <c r="AL1" s="591"/>
      <c r="AM1" s="591"/>
      <c r="AN1" s="591"/>
      <c r="AO1" s="591"/>
      <c r="AP1" s="591"/>
      <c r="AQ1" s="591"/>
      <c r="AR1" s="591"/>
      <c r="AS1" s="591"/>
      <c r="AT1" s="591"/>
      <c r="AU1" s="591"/>
      <c r="AV1" s="591"/>
      <c r="AW1" s="591"/>
      <c r="AX1" s="591"/>
      <c r="AY1" s="591"/>
      <c r="AZ1" s="591"/>
      <c r="BA1" s="591"/>
      <c r="BB1" s="591"/>
      <c r="BC1" s="591"/>
      <c r="BD1" s="591"/>
      <c r="BE1" s="591"/>
      <c r="BF1" s="591"/>
      <c r="BG1" s="591"/>
      <c r="BH1" s="591"/>
      <c r="BI1" s="591"/>
      <c r="BJ1" s="591"/>
      <c r="BK1" s="591"/>
      <c r="BL1" s="591"/>
      <c r="BM1" s="591"/>
      <c r="BN1" s="591"/>
      <c r="BO1" s="591"/>
      <c r="BP1" s="591"/>
      <c r="BQ1" s="591"/>
      <c r="BR1" s="591"/>
      <c r="BS1" s="644"/>
    </row>
    <row r="2" s="589" customFormat="1" spans="1:71">
      <c r="A2" s="592"/>
      <c r="B2" s="593"/>
      <c r="C2" s="593"/>
      <c r="D2" s="593"/>
      <c r="E2" s="594"/>
      <c r="F2" s="595"/>
      <c r="G2" s="595"/>
      <c r="H2" s="595"/>
      <c r="I2" s="595"/>
      <c r="J2" s="595"/>
      <c r="K2" s="595"/>
      <c r="L2" s="595"/>
      <c r="M2" s="594"/>
      <c r="N2" s="595"/>
      <c r="O2" s="595"/>
      <c r="P2" s="595"/>
      <c r="Q2" s="595"/>
      <c r="R2" s="595"/>
      <c r="S2" s="595"/>
      <c r="T2" s="595"/>
      <c r="U2" s="595"/>
      <c r="V2" s="595"/>
      <c r="W2" s="595"/>
      <c r="X2" s="595"/>
      <c r="Y2" s="595"/>
      <c r="Z2" s="595"/>
      <c r="AA2" s="595"/>
      <c r="AB2" s="595"/>
      <c r="AC2" s="595"/>
      <c r="AD2" s="595"/>
      <c r="AE2" s="595"/>
      <c r="AF2" s="595"/>
      <c r="AG2" s="595"/>
      <c r="AH2" s="595"/>
      <c r="AI2" s="595"/>
      <c r="AJ2" s="595"/>
      <c r="AK2" s="595"/>
      <c r="AL2" s="595"/>
      <c r="AM2" s="595"/>
      <c r="AN2" s="630">
        <f>AN6+AT6</f>
        <v>10591.54561</v>
      </c>
      <c r="AO2" s="630">
        <f>AN2+'工资福利（公务员、参公人员）'!AL2</f>
        <v>16743.70301</v>
      </c>
      <c r="AP2" s="595"/>
      <c r="AQ2" s="595"/>
      <c r="AR2" s="595"/>
      <c r="AS2" s="595"/>
      <c r="AT2" s="595"/>
      <c r="AU2" s="594"/>
      <c r="AV2" s="595"/>
      <c r="AW2" s="595"/>
      <c r="AX2" s="595"/>
      <c r="AY2" s="595"/>
      <c r="AZ2" s="595"/>
      <c r="BA2" s="595"/>
      <c r="BB2" s="595"/>
      <c r="BC2" s="595"/>
      <c r="BD2" s="595"/>
      <c r="BE2" s="595"/>
      <c r="BF2" s="595"/>
      <c r="BG2" s="595"/>
      <c r="BH2" s="595"/>
      <c r="BI2" s="595"/>
      <c r="BJ2" s="595"/>
      <c r="BK2" s="595"/>
      <c r="BL2" s="595"/>
      <c r="BM2" s="595"/>
      <c r="BN2" s="595"/>
      <c r="BO2" s="595"/>
      <c r="BP2" s="595"/>
      <c r="BQ2" s="595"/>
      <c r="BR2" s="595"/>
      <c r="BS2" s="592" t="s">
        <v>2</v>
      </c>
    </row>
    <row r="3" s="590" customFormat="1" ht="15" customHeight="1" spans="1:71">
      <c r="A3" s="596" t="s">
        <v>178</v>
      </c>
      <c r="B3" s="597" t="s">
        <v>179</v>
      </c>
      <c r="C3" s="596" t="s">
        <v>157</v>
      </c>
      <c r="D3" s="596" t="s">
        <v>156</v>
      </c>
      <c r="E3" s="598" t="s">
        <v>114</v>
      </c>
      <c r="F3" s="599"/>
      <c r="G3" s="599"/>
      <c r="H3" s="599"/>
      <c r="I3" s="599"/>
      <c r="J3" s="599"/>
      <c r="K3" s="599"/>
      <c r="L3" s="599"/>
      <c r="M3" s="599"/>
      <c r="N3" s="599"/>
      <c r="O3" s="599"/>
      <c r="P3" s="599"/>
      <c r="Q3" s="599"/>
      <c r="R3" s="626"/>
      <c r="S3" s="627" t="s">
        <v>158</v>
      </c>
      <c r="T3" s="628"/>
      <c r="U3" s="628"/>
      <c r="V3" s="628"/>
      <c r="W3" s="628"/>
      <c r="X3" s="628"/>
      <c r="Y3" s="628"/>
      <c r="Z3" s="628"/>
      <c r="AA3" s="628"/>
      <c r="AB3" s="628"/>
      <c r="AC3" s="628"/>
      <c r="AD3" s="628"/>
      <c r="AE3" s="628"/>
      <c r="AF3" s="629"/>
      <c r="AG3" s="598" t="s">
        <v>159</v>
      </c>
      <c r="AH3" s="599"/>
      <c r="AI3" s="599"/>
      <c r="AJ3" s="599"/>
      <c r="AK3" s="599"/>
      <c r="AL3" s="599"/>
      <c r="AM3" s="599"/>
      <c r="AN3" s="599"/>
      <c r="AO3" s="599"/>
      <c r="AP3" s="599"/>
      <c r="AQ3" s="599"/>
      <c r="AR3" s="599"/>
      <c r="AS3" s="599"/>
      <c r="AT3" s="599"/>
      <c r="AU3" s="631" t="s">
        <v>180</v>
      </c>
      <c r="AV3" s="603"/>
      <c r="AW3" s="603"/>
      <c r="AX3" s="603"/>
      <c r="AY3" s="603"/>
      <c r="AZ3" s="603"/>
      <c r="BA3" s="603"/>
      <c r="BB3" s="603"/>
      <c r="BC3" s="603"/>
      <c r="BD3" s="603"/>
      <c r="BE3" s="603"/>
      <c r="BF3" s="603"/>
      <c r="BG3" s="603"/>
      <c r="BH3" s="603"/>
      <c r="BI3" s="603"/>
      <c r="BJ3" s="603"/>
      <c r="BK3" s="603"/>
      <c r="BL3" s="603"/>
      <c r="BM3" s="603"/>
      <c r="BN3" s="603"/>
      <c r="BO3" s="603"/>
      <c r="BP3" s="603"/>
      <c r="BQ3" s="603"/>
      <c r="BR3" s="621"/>
      <c r="BS3" s="596" t="s">
        <v>181</v>
      </c>
    </row>
    <row r="4" s="590" customFormat="1" ht="15" customHeight="1" spans="1:71">
      <c r="A4" s="596"/>
      <c r="B4" s="600"/>
      <c r="C4" s="596"/>
      <c r="D4" s="596"/>
      <c r="E4" s="601" t="s">
        <v>22</v>
      </c>
      <c r="F4" s="602" t="s">
        <v>182</v>
      </c>
      <c r="G4" s="603"/>
      <c r="H4" s="603"/>
      <c r="I4" s="603"/>
      <c r="J4" s="603"/>
      <c r="K4" s="603"/>
      <c r="L4" s="621"/>
      <c r="M4" s="622" t="s">
        <v>183</v>
      </c>
      <c r="N4" s="623"/>
      <c r="O4" s="623"/>
      <c r="P4" s="623"/>
      <c r="Q4" s="623"/>
      <c r="R4" s="623"/>
      <c r="S4" s="601" t="s">
        <v>22</v>
      </c>
      <c r="T4" s="602" t="s">
        <v>182</v>
      </c>
      <c r="U4" s="603"/>
      <c r="V4" s="603"/>
      <c r="W4" s="603"/>
      <c r="X4" s="603"/>
      <c r="Y4" s="603"/>
      <c r="Z4" s="621"/>
      <c r="AA4" s="622" t="s">
        <v>183</v>
      </c>
      <c r="AB4" s="623"/>
      <c r="AC4" s="623"/>
      <c r="AD4" s="623"/>
      <c r="AE4" s="623"/>
      <c r="AF4" s="623"/>
      <c r="AG4" s="601" t="s">
        <v>22</v>
      </c>
      <c r="AH4" s="602" t="s">
        <v>182</v>
      </c>
      <c r="AI4" s="603"/>
      <c r="AJ4" s="603"/>
      <c r="AK4" s="603"/>
      <c r="AL4" s="603"/>
      <c r="AM4" s="603"/>
      <c r="AN4" s="621"/>
      <c r="AO4" s="622" t="s">
        <v>183</v>
      </c>
      <c r="AP4" s="623"/>
      <c r="AQ4" s="623"/>
      <c r="AR4" s="623"/>
      <c r="AS4" s="623"/>
      <c r="AT4" s="632"/>
      <c r="AU4" s="631" t="s">
        <v>114</v>
      </c>
      <c r="AV4" s="603"/>
      <c r="AW4" s="603"/>
      <c r="AX4" s="603"/>
      <c r="AY4" s="603"/>
      <c r="AZ4" s="603"/>
      <c r="BA4" s="603"/>
      <c r="BB4" s="621"/>
      <c r="BC4" s="640" t="s">
        <v>158</v>
      </c>
      <c r="BD4" s="641"/>
      <c r="BE4" s="641"/>
      <c r="BF4" s="641"/>
      <c r="BG4" s="641"/>
      <c r="BH4" s="641"/>
      <c r="BI4" s="641"/>
      <c r="BJ4" s="643"/>
      <c r="BK4" s="602" t="s">
        <v>159</v>
      </c>
      <c r="BL4" s="603"/>
      <c r="BM4" s="603"/>
      <c r="BN4" s="603"/>
      <c r="BO4" s="603"/>
      <c r="BP4" s="603"/>
      <c r="BQ4" s="603"/>
      <c r="BR4" s="621"/>
      <c r="BS4" s="596"/>
    </row>
    <row r="5" s="132" customFormat="1" ht="48" customHeight="1" spans="1:71">
      <c r="A5" s="604"/>
      <c r="B5" s="605"/>
      <c r="C5" s="604"/>
      <c r="D5" s="604"/>
      <c r="E5" s="606"/>
      <c r="F5" s="607" t="s">
        <v>184</v>
      </c>
      <c r="G5" s="607" t="s">
        <v>643</v>
      </c>
      <c r="H5" s="607" t="s">
        <v>644</v>
      </c>
      <c r="I5" s="607" t="s">
        <v>645</v>
      </c>
      <c r="J5" s="607" t="s">
        <v>646</v>
      </c>
      <c r="K5" s="607" t="s">
        <v>647</v>
      </c>
      <c r="L5" s="607" t="s">
        <v>648</v>
      </c>
      <c r="M5" s="624" t="s">
        <v>184</v>
      </c>
      <c r="N5" s="625" t="s">
        <v>649</v>
      </c>
      <c r="O5" s="607" t="s">
        <v>650</v>
      </c>
      <c r="P5" s="607" t="s">
        <v>191</v>
      </c>
      <c r="Q5" s="607" t="s">
        <v>192</v>
      </c>
      <c r="R5" s="607" t="s">
        <v>651</v>
      </c>
      <c r="S5" s="606"/>
      <c r="T5" s="607" t="s">
        <v>184</v>
      </c>
      <c r="U5" s="607" t="s">
        <v>643</v>
      </c>
      <c r="V5" s="607" t="s">
        <v>644</v>
      </c>
      <c r="W5" s="607" t="s">
        <v>645</v>
      </c>
      <c r="X5" s="607" t="s">
        <v>646</v>
      </c>
      <c r="Y5" s="607" t="s">
        <v>647</v>
      </c>
      <c r="Z5" s="607" t="s">
        <v>648</v>
      </c>
      <c r="AA5" s="624" t="s">
        <v>184</v>
      </c>
      <c r="AB5" s="625" t="s">
        <v>649</v>
      </c>
      <c r="AC5" s="607" t="s">
        <v>650</v>
      </c>
      <c r="AD5" s="607" t="s">
        <v>191</v>
      </c>
      <c r="AE5" s="607" t="s">
        <v>192</v>
      </c>
      <c r="AF5" s="607" t="s">
        <v>651</v>
      </c>
      <c r="AG5" s="606"/>
      <c r="AH5" s="607" t="s">
        <v>184</v>
      </c>
      <c r="AI5" s="607" t="s">
        <v>643</v>
      </c>
      <c r="AJ5" s="607" t="s">
        <v>644</v>
      </c>
      <c r="AK5" s="607" t="s">
        <v>645</v>
      </c>
      <c r="AL5" s="607" t="s">
        <v>646</v>
      </c>
      <c r="AM5" s="607" t="s">
        <v>647</v>
      </c>
      <c r="AN5" s="607" t="s">
        <v>648</v>
      </c>
      <c r="AO5" s="624" t="s">
        <v>184</v>
      </c>
      <c r="AP5" s="625" t="s">
        <v>649</v>
      </c>
      <c r="AQ5" s="607" t="s">
        <v>650</v>
      </c>
      <c r="AR5" s="607" t="s">
        <v>191</v>
      </c>
      <c r="AS5" s="607" t="s">
        <v>192</v>
      </c>
      <c r="AT5" s="633" t="s">
        <v>651</v>
      </c>
      <c r="AU5" s="634" t="s">
        <v>22</v>
      </c>
      <c r="AV5" s="625" t="s">
        <v>195</v>
      </c>
      <c r="AW5" s="625" t="s">
        <v>196</v>
      </c>
      <c r="AX5" s="625" t="s">
        <v>197</v>
      </c>
      <c r="AY5" s="625" t="s">
        <v>198</v>
      </c>
      <c r="AZ5" s="625" t="s">
        <v>199</v>
      </c>
      <c r="BA5" s="625" t="s">
        <v>200</v>
      </c>
      <c r="BB5" s="625" t="s">
        <v>201</v>
      </c>
      <c r="BC5" s="606" t="s">
        <v>22</v>
      </c>
      <c r="BD5" s="625" t="s">
        <v>195</v>
      </c>
      <c r="BE5" s="625" t="s">
        <v>196</v>
      </c>
      <c r="BF5" s="625" t="s">
        <v>197</v>
      </c>
      <c r="BG5" s="625" t="s">
        <v>198</v>
      </c>
      <c r="BH5" s="625" t="s">
        <v>199</v>
      </c>
      <c r="BI5" s="625" t="s">
        <v>200</v>
      </c>
      <c r="BJ5" s="625" t="s">
        <v>201</v>
      </c>
      <c r="BK5" s="606" t="s">
        <v>22</v>
      </c>
      <c r="BL5" s="625" t="s">
        <v>195</v>
      </c>
      <c r="BM5" s="625" t="s">
        <v>196</v>
      </c>
      <c r="BN5" s="625" t="s">
        <v>197</v>
      </c>
      <c r="BO5" s="625" t="s">
        <v>198</v>
      </c>
      <c r="BP5" s="625" t="s">
        <v>199</v>
      </c>
      <c r="BQ5" s="625" t="s">
        <v>200</v>
      </c>
      <c r="BR5" s="625" t="s">
        <v>201</v>
      </c>
      <c r="BS5" s="625"/>
    </row>
    <row r="6" s="508" customFormat="1" ht="21" customHeight="1" spans="1:71">
      <c r="A6" s="608"/>
      <c r="B6" s="609"/>
      <c r="C6" s="610" t="s">
        <v>22</v>
      </c>
      <c r="D6" s="611"/>
      <c r="E6" s="612">
        <f t="shared" ref="E6:Z6" si="0">E7+E134+E145+E207+E212+E226+E239+E265+E277+E289+E298+E301+E309</f>
        <v>67871.298244</v>
      </c>
      <c r="F6" s="612">
        <f t="shared" si="0"/>
        <v>55647.6096</v>
      </c>
      <c r="G6" s="612">
        <f t="shared" si="0"/>
        <v>29696.0724</v>
      </c>
      <c r="H6" s="612">
        <f t="shared" si="0"/>
        <v>160.4752</v>
      </c>
      <c r="I6" s="612">
        <f t="shared" si="0"/>
        <v>9375.47</v>
      </c>
      <c r="J6" s="612">
        <f t="shared" si="0"/>
        <v>883.79</v>
      </c>
      <c r="K6" s="612">
        <f t="shared" si="0"/>
        <v>61.592</v>
      </c>
      <c r="L6" s="612">
        <f t="shared" si="0"/>
        <v>15470.21</v>
      </c>
      <c r="M6" s="612">
        <f t="shared" si="0"/>
        <v>12223.688644</v>
      </c>
      <c r="N6" s="612">
        <f t="shared" si="0"/>
        <v>5634.52242</v>
      </c>
      <c r="O6" s="612">
        <f t="shared" si="0"/>
        <v>707.924</v>
      </c>
      <c r="P6" s="612">
        <f t="shared" si="0"/>
        <v>805.608224</v>
      </c>
      <c r="Q6" s="612">
        <f t="shared" si="0"/>
        <v>2226.384</v>
      </c>
      <c r="R6" s="612">
        <f t="shared" si="0"/>
        <v>2849.25</v>
      </c>
      <c r="S6" s="612">
        <f t="shared" ref="S6:AF6" si="1">S7+S134+S145+S207+S212+S226+S239+S265+S277+S289+S298+S301+S309</f>
        <v>-6536.710748</v>
      </c>
      <c r="T6" s="612">
        <f t="shared" si="1"/>
        <v>-5473.47793</v>
      </c>
      <c r="U6" s="612">
        <f t="shared" si="1"/>
        <v>482.54526</v>
      </c>
      <c r="V6" s="612">
        <f t="shared" si="1"/>
        <v>22.115</v>
      </c>
      <c r="W6" s="612">
        <f t="shared" si="1"/>
        <v>100.7311</v>
      </c>
      <c r="X6" s="612">
        <f t="shared" si="1"/>
        <v>-16.39</v>
      </c>
      <c r="Y6" s="612">
        <f t="shared" si="1"/>
        <v>-0.436</v>
      </c>
      <c r="Z6" s="612">
        <f t="shared" si="1"/>
        <v>-6062.04329</v>
      </c>
      <c r="AA6" s="612">
        <f t="shared" si="1"/>
        <v>-1063.232818</v>
      </c>
      <c r="AB6" s="612">
        <f t="shared" si="1"/>
        <v>111.19272</v>
      </c>
      <c r="AC6" s="612">
        <f t="shared" si="1"/>
        <v>-10.36</v>
      </c>
      <c r="AD6" s="612">
        <f t="shared" si="1"/>
        <v>59.551562</v>
      </c>
      <c r="AE6" s="612">
        <f t="shared" si="1"/>
        <v>443.054</v>
      </c>
      <c r="AF6" s="612">
        <f t="shared" si="1"/>
        <v>-1665.8711</v>
      </c>
      <c r="AG6" s="612">
        <f t="shared" ref="AG6:BB6" si="2">AG7+AG134+AG145+AG207+AG212+AG226+AG239+AG265+AG277+AG289+AG298+AG301+AG309</f>
        <v>61334.587496</v>
      </c>
      <c r="AH6" s="612">
        <f t="shared" si="2"/>
        <v>50174.13167</v>
      </c>
      <c r="AI6" s="612">
        <f t="shared" si="2"/>
        <v>30178.61766</v>
      </c>
      <c r="AJ6" s="612">
        <f t="shared" si="2"/>
        <v>182.5902</v>
      </c>
      <c r="AK6" s="612">
        <f t="shared" si="2"/>
        <v>9476.2011</v>
      </c>
      <c r="AL6" s="612">
        <f t="shared" si="2"/>
        <v>867.4</v>
      </c>
      <c r="AM6" s="612">
        <f t="shared" si="2"/>
        <v>61.156</v>
      </c>
      <c r="AN6" s="612">
        <f t="shared" si="2"/>
        <v>9408.16671</v>
      </c>
      <c r="AO6" s="612">
        <f t="shared" si="2"/>
        <v>11160.455826</v>
      </c>
      <c r="AP6" s="612">
        <f t="shared" si="2"/>
        <v>5746.03514</v>
      </c>
      <c r="AQ6" s="612">
        <f t="shared" si="2"/>
        <v>697.564</v>
      </c>
      <c r="AR6" s="612">
        <f t="shared" si="2"/>
        <v>864.189786</v>
      </c>
      <c r="AS6" s="612">
        <f t="shared" si="2"/>
        <v>2669.288</v>
      </c>
      <c r="AT6" s="635">
        <f t="shared" si="2"/>
        <v>1183.3789</v>
      </c>
      <c r="AU6" s="636">
        <f t="shared" si="2"/>
        <v>21671.44912856</v>
      </c>
      <c r="AV6" s="612">
        <f t="shared" si="2"/>
        <v>7178.6464032</v>
      </c>
      <c r="AW6" s="612">
        <f t="shared" si="2"/>
        <v>3589.3232016</v>
      </c>
      <c r="AX6" s="612">
        <f t="shared" si="2"/>
        <v>2691.9924012</v>
      </c>
      <c r="AY6" s="612">
        <f t="shared" si="2"/>
        <v>89.73308004</v>
      </c>
      <c r="AZ6" s="612">
        <f t="shared" si="2"/>
        <v>269.19924012</v>
      </c>
      <c r="BA6" s="612">
        <f t="shared" si="2"/>
        <v>5383.9848024</v>
      </c>
      <c r="BB6" s="612">
        <f t="shared" si="2"/>
        <v>2468.57</v>
      </c>
      <c r="BC6" s="612">
        <f t="shared" ref="BC6:BR6" si="3">BC7+BC134+BC145+BC207+BC212+BC226+BC239+BC265+BC277+BC289+BC298+BC301+BC309</f>
        <v>306.83494624</v>
      </c>
      <c r="BD6" s="612">
        <f t="shared" si="3"/>
        <v>114.7046528</v>
      </c>
      <c r="BE6" s="612">
        <f t="shared" si="3"/>
        <v>57.3523264</v>
      </c>
      <c r="BF6" s="612">
        <f t="shared" si="3"/>
        <v>43.0142448</v>
      </c>
      <c r="BG6" s="612">
        <f t="shared" si="3"/>
        <v>1.43380816</v>
      </c>
      <c r="BH6" s="612">
        <f t="shared" si="3"/>
        <v>4.30142448</v>
      </c>
      <c r="BI6" s="612">
        <f t="shared" si="3"/>
        <v>86.0284896</v>
      </c>
      <c r="BJ6" s="612">
        <f t="shared" si="3"/>
        <v>0</v>
      </c>
      <c r="BK6" s="612">
        <f t="shared" si="3"/>
        <v>21978.2840748</v>
      </c>
      <c r="BL6" s="612">
        <f t="shared" si="3"/>
        <v>7293.351056</v>
      </c>
      <c r="BM6" s="612">
        <f t="shared" si="3"/>
        <v>3646.675528</v>
      </c>
      <c r="BN6" s="612">
        <f t="shared" si="3"/>
        <v>2735.006646</v>
      </c>
      <c r="BO6" s="612">
        <f t="shared" si="3"/>
        <v>91.1668882</v>
      </c>
      <c r="BP6" s="612">
        <f t="shared" si="3"/>
        <v>273.5006646</v>
      </c>
      <c r="BQ6" s="612">
        <f t="shared" si="3"/>
        <v>5470.013292</v>
      </c>
      <c r="BR6" s="612">
        <f t="shared" si="3"/>
        <v>2468.57</v>
      </c>
      <c r="BS6" s="608"/>
    </row>
    <row r="7" s="508" customFormat="1" ht="21" customHeight="1" spans="1:71">
      <c r="A7" s="608"/>
      <c r="B7" s="608"/>
      <c r="C7" s="613" t="s">
        <v>126</v>
      </c>
      <c r="D7" s="614">
        <v>201</v>
      </c>
      <c r="E7" s="612">
        <f t="shared" ref="E7:Z7" si="4">SUM(E8:E133)</f>
        <v>8619.315796</v>
      </c>
      <c r="F7" s="612">
        <f t="shared" si="4"/>
        <v>6549.3708</v>
      </c>
      <c r="G7" s="612">
        <f t="shared" si="4"/>
        <v>3636.9608</v>
      </c>
      <c r="H7" s="612">
        <f t="shared" si="4"/>
        <v>2.13</v>
      </c>
      <c r="I7" s="612">
        <f t="shared" si="4"/>
        <v>1360.096</v>
      </c>
      <c r="J7" s="612">
        <f t="shared" si="4"/>
        <v>175.68</v>
      </c>
      <c r="K7" s="612">
        <f t="shared" si="4"/>
        <v>25.334</v>
      </c>
      <c r="L7" s="612">
        <f t="shared" si="4"/>
        <v>1349.17</v>
      </c>
      <c r="M7" s="612">
        <f t="shared" si="4"/>
        <v>2069.944996</v>
      </c>
      <c r="N7" s="612">
        <f t="shared" si="4"/>
        <v>816.50186</v>
      </c>
      <c r="O7" s="612">
        <f t="shared" si="4"/>
        <v>293.67</v>
      </c>
      <c r="P7" s="612">
        <f t="shared" si="4"/>
        <v>475.143136</v>
      </c>
      <c r="Q7" s="612">
        <f t="shared" si="4"/>
        <v>1.63</v>
      </c>
      <c r="R7" s="612">
        <f t="shared" si="4"/>
        <v>483</v>
      </c>
      <c r="S7" s="612">
        <f t="shared" ref="S7:AF7" si="5">SUM(S8:S133)</f>
        <v>-35.4951</v>
      </c>
      <c r="T7" s="612">
        <f t="shared" si="5"/>
        <v>-64.3368</v>
      </c>
      <c r="U7" s="612">
        <f t="shared" si="5"/>
        <v>-30.9824999999999</v>
      </c>
      <c r="V7" s="612">
        <f t="shared" si="5"/>
        <v>18.31</v>
      </c>
      <c r="W7" s="612">
        <f t="shared" si="5"/>
        <v>-32.4783</v>
      </c>
      <c r="X7" s="612">
        <f t="shared" si="5"/>
        <v>0.55</v>
      </c>
      <c r="Y7" s="612">
        <f t="shared" si="5"/>
        <v>-0.746</v>
      </c>
      <c r="Z7" s="612">
        <f t="shared" si="5"/>
        <v>-18.99</v>
      </c>
      <c r="AA7" s="612">
        <f t="shared" si="5"/>
        <v>28.8417</v>
      </c>
      <c r="AB7" s="612">
        <f t="shared" si="5"/>
        <v>-2.54</v>
      </c>
      <c r="AC7" s="612">
        <f t="shared" si="5"/>
        <v>0</v>
      </c>
      <c r="AD7" s="612">
        <f t="shared" si="5"/>
        <v>0.99</v>
      </c>
      <c r="AE7" s="612">
        <f t="shared" si="5"/>
        <v>25.84</v>
      </c>
      <c r="AF7" s="612">
        <f t="shared" si="5"/>
        <v>4.55169999999999</v>
      </c>
      <c r="AG7" s="612">
        <f t="shared" ref="AG7:BB7" si="6">SUM(AG8:AG133)</f>
        <v>8583.820696</v>
      </c>
      <c r="AH7" s="612">
        <f t="shared" si="6"/>
        <v>6485.034</v>
      </c>
      <c r="AI7" s="612">
        <f t="shared" si="6"/>
        <v>3605.9783</v>
      </c>
      <c r="AJ7" s="612">
        <f t="shared" si="6"/>
        <v>20.44</v>
      </c>
      <c r="AK7" s="612">
        <f t="shared" si="6"/>
        <v>1327.6177</v>
      </c>
      <c r="AL7" s="612">
        <f t="shared" si="6"/>
        <v>176.23</v>
      </c>
      <c r="AM7" s="612">
        <f t="shared" si="6"/>
        <v>24.588</v>
      </c>
      <c r="AN7" s="612">
        <f t="shared" si="6"/>
        <v>1330.18</v>
      </c>
      <c r="AO7" s="612">
        <f t="shared" si="6"/>
        <v>2098.786696</v>
      </c>
      <c r="AP7" s="612">
        <f t="shared" si="6"/>
        <v>813.96186</v>
      </c>
      <c r="AQ7" s="612">
        <f t="shared" si="6"/>
        <v>293.67</v>
      </c>
      <c r="AR7" s="612">
        <f t="shared" si="6"/>
        <v>476.133136</v>
      </c>
      <c r="AS7" s="612">
        <f t="shared" si="6"/>
        <v>27.47</v>
      </c>
      <c r="AT7" s="635">
        <f t="shared" si="6"/>
        <v>487.5517</v>
      </c>
      <c r="AU7" s="636">
        <f t="shared" si="6"/>
        <v>2489.11474648</v>
      </c>
      <c r="AV7" s="612">
        <f t="shared" si="6"/>
        <v>930.5101856</v>
      </c>
      <c r="AW7" s="612">
        <f t="shared" si="6"/>
        <v>465.2550928</v>
      </c>
      <c r="AX7" s="612">
        <f t="shared" si="6"/>
        <v>348.9413196</v>
      </c>
      <c r="AY7" s="612">
        <f t="shared" si="6"/>
        <v>11.63137732</v>
      </c>
      <c r="AZ7" s="612">
        <f t="shared" si="6"/>
        <v>34.89413196</v>
      </c>
      <c r="BA7" s="642">
        <f t="shared" si="6"/>
        <v>697.8826392</v>
      </c>
      <c r="BB7" s="612">
        <f t="shared" si="6"/>
        <v>0</v>
      </c>
      <c r="BC7" s="612">
        <f t="shared" ref="BC7:BR7" si="7">SUM(BC8:BC133)</f>
        <v>-20.4116624</v>
      </c>
      <c r="BD7" s="612">
        <f t="shared" si="7"/>
        <v>-7.63052799999999</v>
      </c>
      <c r="BE7" s="612">
        <f t="shared" si="7"/>
        <v>-3.81526399999999</v>
      </c>
      <c r="BF7" s="612">
        <f t="shared" si="7"/>
        <v>-2.861448</v>
      </c>
      <c r="BG7" s="612">
        <f t="shared" si="7"/>
        <v>-0.0953816000000001</v>
      </c>
      <c r="BH7" s="612">
        <f t="shared" si="7"/>
        <v>-0.2861448</v>
      </c>
      <c r="BI7" s="612">
        <f t="shared" si="7"/>
        <v>-5.72289600000001</v>
      </c>
      <c r="BJ7" s="612">
        <f t="shared" si="7"/>
        <v>0</v>
      </c>
      <c r="BK7" s="612">
        <f t="shared" si="7"/>
        <v>2468.70308408</v>
      </c>
      <c r="BL7" s="612">
        <f t="shared" si="7"/>
        <v>922.8796576</v>
      </c>
      <c r="BM7" s="612">
        <f t="shared" si="7"/>
        <v>461.4398288</v>
      </c>
      <c r="BN7" s="612">
        <f t="shared" si="7"/>
        <v>346.0798716</v>
      </c>
      <c r="BO7" s="612">
        <f t="shared" si="7"/>
        <v>11.53599572</v>
      </c>
      <c r="BP7" s="612">
        <f t="shared" si="7"/>
        <v>34.60798716</v>
      </c>
      <c r="BQ7" s="612">
        <f t="shared" si="7"/>
        <v>692.1597432</v>
      </c>
      <c r="BR7" s="612">
        <f t="shared" si="7"/>
        <v>0</v>
      </c>
      <c r="BS7" s="608"/>
    </row>
    <row r="8" s="132" customFormat="1" ht="24" spans="1:71">
      <c r="A8" s="497" t="s">
        <v>202</v>
      </c>
      <c r="B8" s="497" t="s">
        <v>203</v>
      </c>
      <c r="C8" s="497" t="s">
        <v>204</v>
      </c>
      <c r="D8" s="497" t="s">
        <v>205</v>
      </c>
      <c r="E8" s="615">
        <f t="shared" ref="E8:E71" si="8">F8+M8</f>
        <v>0</v>
      </c>
      <c r="F8" s="615">
        <f t="shared" ref="F8:F71" si="9">SUM(G8:L8)</f>
        <v>0</v>
      </c>
      <c r="G8" s="616"/>
      <c r="H8" s="616"/>
      <c r="I8" s="616"/>
      <c r="J8" s="616"/>
      <c r="K8" s="616"/>
      <c r="L8" s="616"/>
      <c r="M8" s="615">
        <f t="shared" ref="M8:M71" si="10">SUM(N8:R8)</f>
        <v>0</v>
      </c>
      <c r="N8" s="616"/>
      <c r="O8" s="616"/>
      <c r="P8" s="616"/>
      <c r="Q8" s="616"/>
      <c r="R8" s="616"/>
      <c r="S8" s="615">
        <f>T8+AA8</f>
        <v>0</v>
      </c>
      <c r="T8" s="615">
        <f>SUM(U8:Z8)</f>
        <v>0</v>
      </c>
      <c r="U8" s="616"/>
      <c r="V8" s="616"/>
      <c r="W8" s="616"/>
      <c r="X8" s="616"/>
      <c r="Y8" s="616"/>
      <c r="Z8" s="616"/>
      <c r="AA8" s="615">
        <f>SUM(AB8:AF8)</f>
        <v>0</v>
      </c>
      <c r="AB8" s="616"/>
      <c r="AC8" s="616"/>
      <c r="AD8" s="616"/>
      <c r="AE8" s="616"/>
      <c r="AF8" s="616"/>
      <c r="AG8" s="615">
        <f>AH8+AO8</f>
        <v>0</v>
      </c>
      <c r="AH8" s="615">
        <f>SUM(AI8:AN8)</f>
        <v>0</v>
      </c>
      <c r="AI8" s="616">
        <f>G8+U8</f>
        <v>0</v>
      </c>
      <c r="AJ8" s="616">
        <f>H8+V8</f>
        <v>0</v>
      </c>
      <c r="AK8" s="616">
        <f t="shared" ref="AK8:AT8" si="11">I8+W8</f>
        <v>0</v>
      </c>
      <c r="AL8" s="616">
        <f t="shared" si="11"/>
        <v>0</v>
      </c>
      <c r="AM8" s="616">
        <f t="shared" si="11"/>
        <v>0</v>
      </c>
      <c r="AN8" s="616">
        <f t="shared" si="11"/>
        <v>0</v>
      </c>
      <c r="AO8" s="615">
        <f>SUM(AP8:AT8)</f>
        <v>0</v>
      </c>
      <c r="AP8" s="616">
        <f t="shared" si="11"/>
        <v>0</v>
      </c>
      <c r="AQ8" s="616">
        <f t="shared" si="11"/>
        <v>0</v>
      </c>
      <c r="AR8" s="616">
        <f t="shared" si="11"/>
        <v>0</v>
      </c>
      <c r="AS8" s="616">
        <f t="shared" si="11"/>
        <v>0</v>
      </c>
      <c r="AT8" s="637">
        <f t="shared" si="11"/>
        <v>0</v>
      </c>
      <c r="AU8" s="638">
        <f t="shared" ref="AU8:AU71" si="12">SUM(AV8:BB8)</f>
        <v>0</v>
      </c>
      <c r="AV8" s="616">
        <f t="shared" ref="AV8:AV71" si="13">(G8+H8+I8+N8)*0.16</f>
        <v>0</v>
      </c>
      <c r="AW8" s="616">
        <f t="shared" ref="AW8:AW71" si="14">(G8+H8+I8+N8)*0.08</f>
        <v>0</v>
      </c>
      <c r="AX8" s="616">
        <f t="shared" ref="AX8:AX71" si="15">(G8+H8+I8+N8)*0.06</f>
        <v>0</v>
      </c>
      <c r="AY8" s="616">
        <f t="shared" ref="AY8:AY71" si="16">(G8+H8+I8+N8)*0.002</f>
        <v>0</v>
      </c>
      <c r="AZ8" s="616">
        <f t="shared" ref="AZ8:AZ71" si="17">(G8+H8+I8+N8)*0.006</f>
        <v>0</v>
      </c>
      <c r="BA8" s="616">
        <f t="shared" ref="BA8:BA71" si="18">(G8+H8+I8+N8)*0.12</f>
        <v>0</v>
      </c>
      <c r="BB8" s="616"/>
      <c r="BC8" s="615">
        <f>SUM(BD8:BJ8)</f>
        <v>0</v>
      </c>
      <c r="BD8" s="616">
        <f>(U8+V8+W8+AB8)*0.16</f>
        <v>0</v>
      </c>
      <c r="BE8" s="616">
        <f>(U8+V8+W8+AB8)*0.08</f>
        <v>0</v>
      </c>
      <c r="BF8" s="616">
        <f>(U8+V8+W8+AB8)*0.06</f>
        <v>0</v>
      </c>
      <c r="BG8" s="616">
        <f>(U8+V8+W8+AB8)*0.002</f>
        <v>0</v>
      </c>
      <c r="BH8" s="616">
        <f>(U8+V8+W8+AB8)*0.006</f>
        <v>0</v>
      </c>
      <c r="BI8" s="616">
        <f>(U8+V8+W8+AB8)*0.12</f>
        <v>0</v>
      </c>
      <c r="BJ8" s="616"/>
      <c r="BK8" s="615">
        <f>SUM(BL8:BR8)</f>
        <v>0</v>
      </c>
      <c r="BL8" s="616">
        <f>(AI8+AJ8+AK8+AP8)*0.16</f>
        <v>0</v>
      </c>
      <c r="BM8" s="616">
        <f>(AI8+AJ8+AK8+AP8)*0.08</f>
        <v>0</v>
      </c>
      <c r="BN8" s="616">
        <f>(AI8+AJ8+AK8+AP8)*0.06</f>
        <v>0</v>
      </c>
      <c r="BO8" s="616">
        <f>(AI8+AJ8+AK8+AP8)*0.002</f>
        <v>0</v>
      </c>
      <c r="BP8" s="616">
        <f>(AI8+AJ8+AK8+AP8)*0.006</f>
        <v>0</v>
      </c>
      <c r="BQ8" s="616">
        <f>(AI8+AJ8+AK8+AP8)*0.12</f>
        <v>0</v>
      </c>
      <c r="BR8" s="616">
        <f>BB8+BJ8</f>
        <v>0</v>
      </c>
      <c r="BS8" s="304"/>
    </row>
    <row r="9" s="132" customFormat="1" ht="24" spans="1:71">
      <c r="A9" s="497" t="s">
        <v>202</v>
      </c>
      <c r="B9" s="497" t="s">
        <v>206</v>
      </c>
      <c r="C9" s="497" t="s">
        <v>207</v>
      </c>
      <c r="D9" s="497" t="s">
        <v>208</v>
      </c>
      <c r="E9" s="615">
        <f t="shared" si="8"/>
        <v>46.68</v>
      </c>
      <c r="F9" s="615">
        <f t="shared" si="9"/>
        <v>25.94</v>
      </c>
      <c r="G9" s="616">
        <v>14.82</v>
      </c>
      <c r="H9" s="616"/>
      <c r="I9" s="616">
        <v>5.8</v>
      </c>
      <c r="J9" s="616"/>
      <c r="K9" s="616"/>
      <c r="L9" s="616">
        <v>5.32</v>
      </c>
      <c r="M9" s="615">
        <f t="shared" si="10"/>
        <v>20.74</v>
      </c>
      <c r="N9" s="616">
        <v>3.48</v>
      </c>
      <c r="O9" s="616"/>
      <c r="P9" s="616">
        <v>15.26</v>
      </c>
      <c r="Q9" s="616"/>
      <c r="R9" s="616">
        <v>2</v>
      </c>
      <c r="S9" s="615">
        <f t="shared" ref="S9:S72" si="19">T9+AA9</f>
        <v>5.32</v>
      </c>
      <c r="T9" s="615">
        <f t="shared" ref="T9:T72" si="20">SUM(U9:Z9)</f>
        <v>4.51</v>
      </c>
      <c r="U9" s="616">
        <v>2.77</v>
      </c>
      <c r="V9" s="616"/>
      <c r="W9" s="616">
        <v>0.75</v>
      </c>
      <c r="X9" s="616"/>
      <c r="Y9" s="616"/>
      <c r="Z9" s="616">
        <v>0.99</v>
      </c>
      <c r="AA9" s="615">
        <f t="shared" ref="AA9:AA72" si="21">SUM(AB9:AF9)</f>
        <v>0.81</v>
      </c>
      <c r="AB9" s="616">
        <v>0.45</v>
      </c>
      <c r="AC9" s="616"/>
      <c r="AD9" s="616">
        <v>0.36</v>
      </c>
      <c r="AE9" s="616"/>
      <c r="AF9" s="616"/>
      <c r="AG9" s="615">
        <f t="shared" ref="AG9:AG72" si="22">AH9+AO9</f>
        <v>52</v>
      </c>
      <c r="AH9" s="615">
        <f t="shared" ref="AH9:AH72" si="23">SUM(AI9:AN9)</f>
        <v>30.45</v>
      </c>
      <c r="AI9" s="616">
        <f t="shared" ref="AI9:AI72" si="24">G9+U9</f>
        <v>17.59</v>
      </c>
      <c r="AJ9" s="616">
        <f t="shared" ref="AJ9:AJ72" si="25">H9+V9</f>
        <v>0</v>
      </c>
      <c r="AK9" s="616">
        <f t="shared" ref="AK9:AK72" si="26">I9+W9</f>
        <v>6.55</v>
      </c>
      <c r="AL9" s="616">
        <f t="shared" ref="AL9:AL72" si="27">J9+X9</f>
        <v>0</v>
      </c>
      <c r="AM9" s="616">
        <f t="shared" ref="AM9:AM72" si="28">K9+Y9</f>
        <v>0</v>
      </c>
      <c r="AN9" s="616">
        <f t="shared" ref="AN9:AN72" si="29">L9+Z9</f>
        <v>6.31</v>
      </c>
      <c r="AO9" s="615">
        <f t="shared" ref="AO9:AO72" si="30">SUM(AP9:AT9)</f>
        <v>21.55</v>
      </c>
      <c r="AP9" s="616">
        <f t="shared" ref="AP9:AP72" si="31">N9+AB9</f>
        <v>3.93</v>
      </c>
      <c r="AQ9" s="616">
        <f t="shared" ref="AQ9:AQ72" si="32">O9+AC9</f>
        <v>0</v>
      </c>
      <c r="AR9" s="616">
        <f t="shared" ref="AR9:AR72" si="33">P9+AD9</f>
        <v>15.62</v>
      </c>
      <c r="AS9" s="616">
        <f t="shared" ref="AS9:AS72" si="34">Q9+AE9</f>
        <v>0</v>
      </c>
      <c r="AT9" s="637">
        <f t="shared" ref="AT9:AT72" si="35">R9+AF9</f>
        <v>2</v>
      </c>
      <c r="AU9" s="638">
        <f t="shared" si="12"/>
        <v>10.3148</v>
      </c>
      <c r="AV9" s="616">
        <f t="shared" si="13"/>
        <v>3.856</v>
      </c>
      <c r="AW9" s="616">
        <f t="shared" si="14"/>
        <v>1.928</v>
      </c>
      <c r="AX9" s="616">
        <f t="shared" si="15"/>
        <v>1.446</v>
      </c>
      <c r="AY9" s="616">
        <f t="shared" si="16"/>
        <v>0.0482</v>
      </c>
      <c r="AZ9" s="616">
        <f t="shared" si="17"/>
        <v>0.1446</v>
      </c>
      <c r="BA9" s="616">
        <f t="shared" si="18"/>
        <v>2.892</v>
      </c>
      <c r="BB9" s="616"/>
      <c r="BC9" s="615">
        <f t="shared" ref="BC9:BC72" si="36">SUM(BD9:BJ9)</f>
        <v>1.69916</v>
      </c>
      <c r="BD9" s="616">
        <f t="shared" ref="BD9:BD72" si="37">(U9+V9+W9+AB9)*0.16</f>
        <v>0.6352</v>
      </c>
      <c r="BE9" s="616">
        <f t="shared" ref="BE9:BE72" si="38">(U9+V9+W9+AB9)*0.08</f>
        <v>0.3176</v>
      </c>
      <c r="BF9" s="616">
        <f t="shared" ref="BF9:BF72" si="39">(U9+V9+W9+AB9)*0.06</f>
        <v>0.2382</v>
      </c>
      <c r="BG9" s="616">
        <f t="shared" ref="BG9:BG72" si="40">(U9+V9+W9+AB9)*0.002</f>
        <v>0.00794</v>
      </c>
      <c r="BH9" s="616">
        <f t="shared" ref="BH9:BH72" si="41">(U9+V9+W9+AB9)*0.006</f>
        <v>0.02382</v>
      </c>
      <c r="BI9" s="616">
        <f t="shared" ref="BI9:BI72" si="42">(U9+V9+W9+AB9)*0.12</f>
        <v>0.4764</v>
      </c>
      <c r="BJ9" s="616"/>
      <c r="BK9" s="615">
        <f t="shared" ref="BK9:BK72" si="43">SUM(BL9:BR9)</f>
        <v>12.01396</v>
      </c>
      <c r="BL9" s="616">
        <f t="shared" ref="BL9:BL72" si="44">(AI9+AJ9+AK9+AP9)*0.16</f>
        <v>4.4912</v>
      </c>
      <c r="BM9" s="616">
        <f t="shared" ref="BM9:BM72" si="45">(AI9+AJ9+AK9+AP9)*0.08</f>
        <v>2.2456</v>
      </c>
      <c r="BN9" s="616">
        <f t="shared" ref="BN9:BN72" si="46">(AI9+AJ9+AK9+AP9)*0.06</f>
        <v>1.6842</v>
      </c>
      <c r="BO9" s="616">
        <f t="shared" ref="BO9:BO72" si="47">(AI9+AJ9+AK9+AP9)*0.002</f>
        <v>0.05614</v>
      </c>
      <c r="BP9" s="616">
        <f t="shared" ref="BP9:BP72" si="48">(AI9+AJ9+AK9+AP9)*0.006</f>
        <v>0.16842</v>
      </c>
      <c r="BQ9" s="616">
        <f t="shared" ref="BQ9:BQ72" si="49">(AI9+AJ9+AK9+AP9)*0.12</f>
        <v>3.3684</v>
      </c>
      <c r="BR9" s="616">
        <f t="shared" ref="BR9:BR72" si="50">BB9+BJ9</f>
        <v>0</v>
      </c>
      <c r="BS9" s="304"/>
    </row>
    <row r="10" s="132" customFormat="1" ht="36" spans="1:71">
      <c r="A10" s="497" t="s">
        <v>202</v>
      </c>
      <c r="B10" s="497" t="s">
        <v>203</v>
      </c>
      <c r="C10" s="497" t="s">
        <v>209</v>
      </c>
      <c r="D10" s="497" t="s">
        <v>210</v>
      </c>
      <c r="E10" s="615">
        <f t="shared" si="8"/>
        <v>0</v>
      </c>
      <c r="F10" s="615">
        <f t="shared" si="9"/>
        <v>0</v>
      </c>
      <c r="G10" s="616"/>
      <c r="H10" s="616"/>
      <c r="I10" s="616"/>
      <c r="J10" s="616"/>
      <c r="K10" s="616"/>
      <c r="L10" s="616"/>
      <c r="M10" s="615">
        <f t="shared" si="10"/>
        <v>0</v>
      </c>
      <c r="N10" s="616"/>
      <c r="O10" s="616"/>
      <c r="P10" s="616"/>
      <c r="Q10" s="616"/>
      <c r="R10" s="616"/>
      <c r="S10" s="615">
        <f t="shared" si="19"/>
        <v>0</v>
      </c>
      <c r="T10" s="615">
        <f t="shared" si="20"/>
        <v>0</v>
      </c>
      <c r="U10" s="616"/>
      <c r="V10" s="616"/>
      <c r="W10" s="616"/>
      <c r="X10" s="616"/>
      <c r="Y10" s="616"/>
      <c r="Z10" s="616"/>
      <c r="AA10" s="615">
        <f t="shared" si="21"/>
        <v>0</v>
      </c>
      <c r="AB10" s="616"/>
      <c r="AC10" s="616"/>
      <c r="AD10" s="616"/>
      <c r="AE10" s="616"/>
      <c r="AF10" s="616"/>
      <c r="AG10" s="615">
        <f t="shared" si="22"/>
        <v>0</v>
      </c>
      <c r="AH10" s="615">
        <f t="shared" si="23"/>
        <v>0</v>
      </c>
      <c r="AI10" s="616">
        <f t="shared" si="24"/>
        <v>0</v>
      </c>
      <c r="AJ10" s="616">
        <f t="shared" si="25"/>
        <v>0</v>
      </c>
      <c r="AK10" s="616">
        <f t="shared" si="26"/>
        <v>0</v>
      </c>
      <c r="AL10" s="616">
        <f t="shared" si="27"/>
        <v>0</v>
      </c>
      <c r="AM10" s="616">
        <f t="shared" si="28"/>
        <v>0</v>
      </c>
      <c r="AN10" s="616">
        <f t="shared" si="29"/>
        <v>0</v>
      </c>
      <c r="AO10" s="615">
        <f t="shared" si="30"/>
        <v>0</v>
      </c>
      <c r="AP10" s="616">
        <f t="shared" si="31"/>
        <v>0</v>
      </c>
      <c r="AQ10" s="616">
        <f t="shared" si="32"/>
        <v>0</v>
      </c>
      <c r="AR10" s="616">
        <f t="shared" si="33"/>
        <v>0</v>
      </c>
      <c r="AS10" s="616">
        <f t="shared" si="34"/>
        <v>0</v>
      </c>
      <c r="AT10" s="637">
        <f t="shared" si="35"/>
        <v>0</v>
      </c>
      <c r="AU10" s="638">
        <f t="shared" si="12"/>
        <v>0</v>
      </c>
      <c r="AV10" s="616">
        <f t="shared" si="13"/>
        <v>0</v>
      </c>
      <c r="AW10" s="616">
        <f t="shared" si="14"/>
        <v>0</v>
      </c>
      <c r="AX10" s="616">
        <f t="shared" si="15"/>
        <v>0</v>
      </c>
      <c r="AY10" s="616">
        <f t="shared" si="16"/>
        <v>0</v>
      </c>
      <c r="AZ10" s="616">
        <f t="shared" si="17"/>
        <v>0</v>
      </c>
      <c r="BA10" s="616">
        <f t="shared" si="18"/>
        <v>0</v>
      </c>
      <c r="BB10" s="616"/>
      <c r="BC10" s="615">
        <f t="shared" si="36"/>
        <v>0</v>
      </c>
      <c r="BD10" s="616">
        <f t="shared" si="37"/>
        <v>0</v>
      </c>
      <c r="BE10" s="616">
        <f t="shared" si="38"/>
        <v>0</v>
      </c>
      <c r="BF10" s="616">
        <f t="shared" si="39"/>
        <v>0</v>
      </c>
      <c r="BG10" s="616">
        <f t="shared" si="40"/>
        <v>0</v>
      </c>
      <c r="BH10" s="616">
        <f t="shared" si="41"/>
        <v>0</v>
      </c>
      <c r="BI10" s="616">
        <f t="shared" si="42"/>
        <v>0</v>
      </c>
      <c r="BJ10" s="616"/>
      <c r="BK10" s="615">
        <f t="shared" si="43"/>
        <v>0</v>
      </c>
      <c r="BL10" s="616">
        <f t="shared" si="44"/>
        <v>0</v>
      </c>
      <c r="BM10" s="616">
        <f t="shared" si="45"/>
        <v>0</v>
      </c>
      <c r="BN10" s="616">
        <f t="shared" si="46"/>
        <v>0</v>
      </c>
      <c r="BO10" s="616">
        <f t="shared" si="47"/>
        <v>0</v>
      </c>
      <c r="BP10" s="616">
        <f t="shared" si="48"/>
        <v>0</v>
      </c>
      <c r="BQ10" s="616">
        <f t="shared" si="49"/>
        <v>0</v>
      </c>
      <c r="BR10" s="616">
        <f t="shared" si="50"/>
        <v>0</v>
      </c>
      <c r="BS10" s="304"/>
    </row>
    <row r="11" s="132" customFormat="1" ht="24" spans="1:71">
      <c r="A11" s="497" t="s">
        <v>202</v>
      </c>
      <c r="B11" s="497" t="s">
        <v>206</v>
      </c>
      <c r="C11" s="497" t="s">
        <v>211</v>
      </c>
      <c r="D11" s="497" t="s">
        <v>212</v>
      </c>
      <c r="E11" s="615">
        <f t="shared" si="8"/>
        <v>24.9</v>
      </c>
      <c r="F11" s="615">
        <f t="shared" si="9"/>
        <v>20.76</v>
      </c>
      <c r="G11" s="616">
        <v>12.19</v>
      </c>
      <c r="H11" s="616"/>
      <c r="I11" s="616">
        <v>4.41</v>
      </c>
      <c r="J11" s="616"/>
      <c r="K11" s="616"/>
      <c r="L11" s="616">
        <v>4.16</v>
      </c>
      <c r="M11" s="615">
        <f t="shared" si="10"/>
        <v>4.14</v>
      </c>
      <c r="N11" s="616">
        <v>2.64</v>
      </c>
      <c r="O11" s="616"/>
      <c r="P11" s="616"/>
      <c r="Q11" s="616"/>
      <c r="R11" s="616">
        <v>1.5</v>
      </c>
      <c r="S11" s="615">
        <f t="shared" si="19"/>
        <v>8.01</v>
      </c>
      <c r="T11" s="615">
        <f t="shared" si="20"/>
        <v>5.68</v>
      </c>
      <c r="U11" s="616">
        <v>3.33</v>
      </c>
      <c r="V11" s="616"/>
      <c r="W11" s="616">
        <v>1.13</v>
      </c>
      <c r="X11" s="616"/>
      <c r="Y11" s="616"/>
      <c r="Z11" s="616">
        <v>1.22</v>
      </c>
      <c r="AA11" s="615">
        <f t="shared" si="21"/>
        <v>2.33</v>
      </c>
      <c r="AB11" s="616">
        <v>0.68</v>
      </c>
      <c r="AC11" s="616"/>
      <c r="AD11" s="616"/>
      <c r="AE11" s="616">
        <v>0.15</v>
      </c>
      <c r="AF11" s="616">
        <v>1.5</v>
      </c>
      <c r="AG11" s="615">
        <f t="shared" si="22"/>
        <v>32.91</v>
      </c>
      <c r="AH11" s="615">
        <f t="shared" si="23"/>
        <v>26.44</v>
      </c>
      <c r="AI11" s="616">
        <f t="shared" si="24"/>
        <v>15.52</v>
      </c>
      <c r="AJ11" s="616">
        <f t="shared" si="25"/>
        <v>0</v>
      </c>
      <c r="AK11" s="616">
        <f t="shared" si="26"/>
        <v>5.54</v>
      </c>
      <c r="AL11" s="616">
        <f t="shared" si="27"/>
        <v>0</v>
      </c>
      <c r="AM11" s="616">
        <f t="shared" si="28"/>
        <v>0</v>
      </c>
      <c r="AN11" s="616">
        <f t="shared" si="29"/>
        <v>5.38</v>
      </c>
      <c r="AO11" s="615">
        <f t="shared" si="30"/>
        <v>6.47</v>
      </c>
      <c r="AP11" s="616">
        <f t="shared" si="31"/>
        <v>3.32</v>
      </c>
      <c r="AQ11" s="616">
        <f t="shared" si="32"/>
        <v>0</v>
      </c>
      <c r="AR11" s="616">
        <f t="shared" si="33"/>
        <v>0</v>
      </c>
      <c r="AS11" s="616">
        <f t="shared" si="34"/>
        <v>0.15</v>
      </c>
      <c r="AT11" s="637">
        <f t="shared" si="35"/>
        <v>3</v>
      </c>
      <c r="AU11" s="638">
        <f t="shared" si="12"/>
        <v>8.23472</v>
      </c>
      <c r="AV11" s="616">
        <f t="shared" si="13"/>
        <v>3.0784</v>
      </c>
      <c r="AW11" s="616">
        <f t="shared" si="14"/>
        <v>1.5392</v>
      </c>
      <c r="AX11" s="616">
        <f t="shared" si="15"/>
        <v>1.1544</v>
      </c>
      <c r="AY11" s="616">
        <f t="shared" si="16"/>
        <v>0.03848</v>
      </c>
      <c r="AZ11" s="616">
        <f t="shared" si="17"/>
        <v>0.11544</v>
      </c>
      <c r="BA11" s="616">
        <f t="shared" si="18"/>
        <v>2.3088</v>
      </c>
      <c r="BB11" s="616"/>
      <c r="BC11" s="615">
        <f t="shared" si="36"/>
        <v>2.19992</v>
      </c>
      <c r="BD11" s="616">
        <f t="shared" si="37"/>
        <v>0.8224</v>
      </c>
      <c r="BE11" s="616">
        <f t="shared" si="38"/>
        <v>0.4112</v>
      </c>
      <c r="BF11" s="616">
        <f t="shared" si="39"/>
        <v>0.3084</v>
      </c>
      <c r="BG11" s="616">
        <f t="shared" si="40"/>
        <v>0.01028</v>
      </c>
      <c r="BH11" s="616">
        <f t="shared" si="41"/>
        <v>0.03084</v>
      </c>
      <c r="BI11" s="616">
        <f t="shared" si="42"/>
        <v>0.6168</v>
      </c>
      <c r="BJ11" s="616"/>
      <c r="BK11" s="615">
        <f t="shared" si="43"/>
        <v>10.43464</v>
      </c>
      <c r="BL11" s="616">
        <f t="shared" si="44"/>
        <v>3.9008</v>
      </c>
      <c r="BM11" s="616">
        <f t="shared" si="45"/>
        <v>1.9504</v>
      </c>
      <c r="BN11" s="616">
        <f t="shared" si="46"/>
        <v>1.4628</v>
      </c>
      <c r="BO11" s="616">
        <f t="shared" si="47"/>
        <v>0.04876</v>
      </c>
      <c r="BP11" s="616">
        <f t="shared" si="48"/>
        <v>0.14628</v>
      </c>
      <c r="BQ11" s="616">
        <f t="shared" si="49"/>
        <v>2.9256</v>
      </c>
      <c r="BR11" s="616">
        <f t="shared" si="50"/>
        <v>0</v>
      </c>
      <c r="BS11" s="304"/>
    </row>
    <row r="12" s="132" customFormat="1" ht="24" spans="1:71">
      <c r="A12" s="497" t="s">
        <v>202</v>
      </c>
      <c r="B12" s="497" t="s">
        <v>203</v>
      </c>
      <c r="C12" s="497" t="s">
        <v>213</v>
      </c>
      <c r="D12" s="497" t="s">
        <v>214</v>
      </c>
      <c r="E12" s="615">
        <f t="shared" si="8"/>
        <v>0</v>
      </c>
      <c r="F12" s="615">
        <f t="shared" si="9"/>
        <v>0</v>
      </c>
      <c r="G12" s="616"/>
      <c r="H12" s="616"/>
      <c r="I12" s="616"/>
      <c r="J12" s="616"/>
      <c r="K12" s="616"/>
      <c r="L12" s="616"/>
      <c r="M12" s="615">
        <f t="shared" si="10"/>
        <v>0</v>
      </c>
      <c r="N12" s="616"/>
      <c r="O12" s="616"/>
      <c r="P12" s="616"/>
      <c r="Q12" s="616"/>
      <c r="R12" s="616"/>
      <c r="S12" s="615">
        <f t="shared" si="19"/>
        <v>0</v>
      </c>
      <c r="T12" s="615">
        <f t="shared" si="20"/>
        <v>0</v>
      </c>
      <c r="U12" s="616"/>
      <c r="V12" s="616"/>
      <c r="W12" s="616"/>
      <c r="X12" s="616"/>
      <c r="Y12" s="616"/>
      <c r="Z12" s="616"/>
      <c r="AA12" s="615">
        <f t="shared" si="21"/>
        <v>0</v>
      </c>
      <c r="AB12" s="616"/>
      <c r="AC12" s="616"/>
      <c r="AD12" s="616"/>
      <c r="AE12" s="616"/>
      <c r="AF12" s="616"/>
      <c r="AG12" s="615">
        <f t="shared" si="22"/>
        <v>0</v>
      </c>
      <c r="AH12" s="615">
        <f t="shared" si="23"/>
        <v>0</v>
      </c>
      <c r="AI12" s="616">
        <f t="shared" si="24"/>
        <v>0</v>
      </c>
      <c r="AJ12" s="616">
        <f t="shared" si="25"/>
        <v>0</v>
      </c>
      <c r="AK12" s="616">
        <f t="shared" si="26"/>
        <v>0</v>
      </c>
      <c r="AL12" s="616">
        <f t="shared" si="27"/>
        <v>0</v>
      </c>
      <c r="AM12" s="616">
        <f t="shared" si="28"/>
        <v>0</v>
      </c>
      <c r="AN12" s="616">
        <f t="shared" si="29"/>
        <v>0</v>
      </c>
      <c r="AO12" s="615">
        <f t="shared" si="30"/>
        <v>0</v>
      </c>
      <c r="AP12" s="616">
        <f t="shared" si="31"/>
        <v>0</v>
      </c>
      <c r="AQ12" s="616">
        <f t="shared" si="32"/>
        <v>0</v>
      </c>
      <c r="AR12" s="616">
        <f t="shared" si="33"/>
        <v>0</v>
      </c>
      <c r="AS12" s="616">
        <f t="shared" si="34"/>
        <v>0</v>
      </c>
      <c r="AT12" s="637">
        <f t="shared" si="35"/>
        <v>0</v>
      </c>
      <c r="AU12" s="638">
        <f t="shared" si="12"/>
        <v>0</v>
      </c>
      <c r="AV12" s="616">
        <f t="shared" si="13"/>
        <v>0</v>
      </c>
      <c r="AW12" s="616">
        <f t="shared" si="14"/>
        <v>0</v>
      </c>
      <c r="AX12" s="616">
        <f t="shared" si="15"/>
        <v>0</v>
      </c>
      <c r="AY12" s="616">
        <f t="shared" si="16"/>
        <v>0</v>
      </c>
      <c r="AZ12" s="616">
        <f t="shared" si="17"/>
        <v>0</v>
      </c>
      <c r="BA12" s="616">
        <f t="shared" si="18"/>
        <v>0</v>
      </c>
      <c r="BB12" s="616"/>
      <c r="BC12" s="615">
        <f t="shared" si="36"/>
        <v>0</v>
      </c>
      <c r="BD12" s="616">
        <f t="shared" si="37"/>
        <v>0</v>
      </c>
      <c r="BE12" s="616">
        <f t="shared" si="38"/>
        <v>0</v>
      </c>
      <c r="BF12" s="616">
        <f t="shared" si="39"/>
        <v>0</v>
      </c>
      <c r="BG12" s="616">
        <f t="shared" si="40"/>
        <v>0</v>
      </c>
      <c r="BH12" s="616">
        <f t="shared" si="41"/>
        <v>0</v>
      </c>
      <c r="BI12" s="616">
        <f t="shared" si="42"/>
        <v>0</v>
      </c>
      <c r="BJ12" s="616"/>
      <c r="BK12" s="615">
        <f t="shared" si="43"/>
        <v>0</v>
      </c>
      <c r="BL12" s="616">
        <f t="shared" si="44"/>
        <v>0</v>
      </c>
      <c r="BM12" s="616">
        <f t="shared" si="45"/>
        <v>0</v>
      </c>
      <c r="BN12" s="616">
        <f t="shared" si="46"/>
        <v>0</v>
      </c>
      <c r="BO12" s="616">
        <f t="shared" si="47"/>
        <v>0</v>
      </c>
      <c r="BP12" s="616">
        <f t="shared" si="48"/>
        <v>0</v>
      </c>
      <c r="BQ12" s="616">
        <f t="shared" si="49"/>
        <v>0</v>
      </c>
      <c r="BR12" s="616">
        <f t="shared" si="50"/>
        <v>0</v>
      </c>
      <c r="BS12" s="304"/>
    </row>
    <row r="13" s="132" customFormat="1" ht="24" spans="1:71">
      <c r="A13" s="497" t="s">
        <v>215</v>
      </c>
      <c r="B13" s="497" t="s">
        <v>203</v>
      </c>
      <c r="C13" s="497" t="s">
        <v>216</v>
      </c>
      <c r="D13" s="497" t="s">
        <v>214</v>
      </c>
      <c r="E13" s="615">
        <f t="shared" si="8"/>
        <v>0</v>
      </c>
      <c r="F13" s="615">
        <f t="shared" si="9"/>
        <v>0</v>
      </c>
      <c r="G13" s="616"/>
      <c r="H13" s="616"/>
      <c r="I13" s="616"/>
      <c r="J13" s="616"/>
      <c r="K13" s="616"/>
      <c r="L13" s="616"/>
      <c r="M13" s="615">
        <f t="shared" si="10"/>
        <v>0</v>
      </c>
      <c r="N13" s="616"/>
      <c r="O13" s="616"/>
      <c r="P13" s="616"/>
      <c r="Q13" s="616"/>
      <c r="R13" s="616"/>
      <c r="S13" s="615">
        <f t="shared" si="19"/>
        <v>0</v>
      </c>
      <c r="T13" s="615">
        <f t="shared" si="20"/>
        <v>0</v>
      </c>
      <c r="U13" s="616"/>
      <c r="V13" s="616"/>
      <c r="W13" s="616"/>
      <c r="X13" s="616"/>
      <c r="Y13" s="616"/>
      <c r="Z13" s="616"/>
      <c r="AA13" s="615">
        <f t="shared" si="21"/>
        <v>0</v>
      </c>
      <c r="AB13" s="616"/>
      <c r="AC13" s="616"/>
      <c r="AD13" s="616"/>
      <c r="AE13" s="616"/>
      <c r="AF13" s="616"/>
      <c r="AG13" s="615">
        <f t="shared" si="22"/>
        <v>0</v>
      </c>
      <c r="AH13" s="615">
        <f t="shared" si="23"/>
        <v>0</v>
      </c>
      <c r="AI13" s="616">
        <f t="shared" si="24"/>
        <v>0</v>
      </c>
      <c r="AJ13" s="616">
        <f t="shared" si="25"/>
        <v>0</v>
      </c>
      <c r="AK13" s="616">
        <f t="shared" si="26"/>
        <v>0</v>
      </c>
      <c r="AL13" s="616">
        <f t="shared" si="27"/>
        <v>0</v>
      </c>
      <c r="AM13" s="616">
        <f t="shared" si="28"/>
        <v>0</v>
      </c>
      <c r="AN13" s="616">
        <f t="shared" si="29"/>
        <v>0</v>
      </c>
      <c r="AO13" s="615">
        <f t="shared" si="30"/>
        <v>0</v>
      </c>
      <c r="AP13" s="616">
        <f t="shared" si="31"/>
        <v>0</v>
      </c>
      <c r="AQ13" s="616">
        <f t="shared" si="32"/>
        <v>0</v>
      </c>
      <c r="AR13" s="616">
        <f t="shared" si="33"/>
        <v>0</v>
      </c>
      <c r="AS13" s="616">
        <f t="shared" si="34"/>
        <v>0</v>
      </c>
      <c r="AT13" s="637">
        <f t="shared" si="35"/>
        <v>0</v>
      </c>
      <c r="AU13" s="638">
        <f t="shared" si="12"/>
        <v>0</v>
      </c>
      <c r="AV13" s="616">
        <f t="shared" si="13"/>
        <v>0</v>
      </c>
      <c r="AW13" s="616">
        <f t="shared" si="14"/>
        <v>0</v>
      </c>
      <c r="AX13" s="616">
        <f t="shared" si="15"/>
        <v>0</v>
      </c>
      <c r="AY13" s="616">
        <f t="shared" si="16"/>
        <v>0</v>
      </c>
      <c r="AZ13" s="616">
        <f t="shared" si="17"/>
        <v>0</v>
      </c>
      <c r="BA13" s="616">
        <f t="shared" si="18"/>
        <v>0</v>
      </c>
      <c r="BB13" s="616"/>
      <c r="BC13" s="615">
        <f t="shared" si="36"/>
        <v>0</v>
      </c>
      <c r="BD13" s="616">
        <f t="shared" si="37"/>
        <v>0</v>
      </c>
      <c r="BE13" s="616">
        <f t="shared" si="38"/>
        <v>0</v>
      </c>
      <c r="BF13" s="616">
        <f t="shared" si="39"/>
        <v>0</v>
      </c>
      <c r="BG13" s="616">
        <f t="shared" si="40"/>
        <v>0</v>
      </c>
      <c r="BH13" s="616">
        <f t="shared" si="41"/>
        <v>0</v>
      </c>
      <c r="BI13" s="616">
        <f t="shared" si="42"/>
        <v>0</v>
      </c>
      <c r="BJ13" s="616"/>
      <c r="BK13" s="615">
        <f t="shared" si="43"/>
        <v>0</v>
      </c>
      <c r="BL13" s="616">
        <f t="shared" si="44"/>
        <v>0</v>
      </c>
      <c r="BM13" s="616">
        <f t="shared" si="45"/>
        <v>0</v>
      </c>
      <c r="BN13" s="616">
        <f t="shared" si="46"/>
        <v>0</v>
      </c>
      <c r="BO13" s="616">
        <f t="shared" si="47"/>
        <v>0</v>
      </c>
      <c r="BP13" s="616">
        <f t="shared" si="48"/>
        <v>0</v>
      </c>
      <c r="BQ13" s="616">
        <f t="shared" si="49"/>
        <v>0</v>
      </c>
      <c r="BR13" s="616">
        <f t="shared" si="50"/>
        <v>0</v>
      </c>
      <c r="BS13" s="304"/>
    </row>
    <row r="14" s="132" customFormat="1" ht="24" spans="1:71">
      <c r="A14" s="497" t="s">
        <v>202</v>
      </c>
      <c r="B14" s="497" t="s">
        <v>203</v>
      </c>
      <c r="C14" s="497" t="s">
        <v>217</v>
      </c>
      <c r="D14" s="497" t="s">
        <v>218</v>
      </c>
      <c r="E14" s="615">
        <f t="shared" si="8"/>
        <v>0</v>
      </c>
      <c r="F14" s="615">
        <f t="shared" si="9"/>
        <v>0</v>
      </c>
      <c r="G14" s="616"/>
      <c r="H14" s="616"/>
      <c r="I14" s="616"/>
      <c r="J14" s="616"/>
      <c r="K14" s="616"/>
      <c r="L14" s="616"/>
      <c r="M14" s="615">
        <f t="shared" si="10"/>
        <v>0</v>
      </c>
      <c r="N14" s="616"/>
      <c r="O14" s="616"/>
      <c r="P14" s="616"/>
      <c r="Q14" s="616"/>
      <c r="R14" s="616"/>
      <c r="S14" s="615">
        <f t="shared" si="19"/>
        <v>0</v>
      </c>
      <c r="T14" s="615">
        <f t="shared" si="20"/>
        <v>0</v>
      </c>
      <c r="U14" s="616"/>
      <c r="V14" s="616"/>
      <c r="W14" s="616"/>
      <c r="X14" s="616"/>
      <c r="Y14" s="616"/>
      <c r="Z14" s="616"/>
      <c r="AA14" s="615">
        <f t="shared" si="21"/>
        <v>0</v>
      </c>
      <c r="AB14" s="616"/>
      <c r="AC14" s="616"/>
      <c r="AD14" s="616"/>
      <c r="AE14" s="616"/>
      <c r="AF14" s="616"/>
      <c r="AG14" s="615">
        <f t="shared" si="22"/>
        <v>0</v>
      </c>
      <c r="AH14" s="615">
        <f t="shared" si="23"/>
        <v>0</v>
      </c>
      <c r="AI14" s="616">
        <f t="shared" si="24"/>
        <v>0</v>
      </c>
      <c r="AJ14" s="616">
        <f t="shared" si="25"/>
        <v>0</v>
      </c>
      <c r="AK14" s="616">
        <f t="shared" si="26"/>
        <v>0</v>
      </c>
      <c r="AL14" s="616">
        <f t="shared" si="27"/>
        <v>0</v>
      </c>
      <c r="AM14" s="616">
        <f t="shared" si="28"/>
        <v>0</v>
      </c>
      <c r="AN14" s="616">
        <f t="shared" si="29"/>
        <v>0</v>
      </c>
      <c r="AO14" s="615">
        <f t="shared" si="30"/>
        <v>0</v>
      </c>
      <c r="AP14" s="616">
        <f t="shared" si="31"/>
        <v>0</v>
      </c>
      <c r="AQ14" s="616">
        <f t="shared" si="32"/>
        <v>0</v>
      </c>
      <c r="AR14" s="616">
        <f t="shared" si="33"/>
        <v>0</v>
      </c>
      <c r="AS14" s="616">
        <f t="shared" si="34"/>
        <v>0</v>
      </c>
      <c r="AT14" s="637">
        <f t="shared" si="35"/>
        <v>0</v>
      </c>
      <c r="AU14" s="638">
        <f t="shared" si="12"/>
        <v>0</v>
      </c>
      <c r="AV14" s="616">
        <f t="shared" si="13"/>
        <v>0</v>
      </c>
      <c r="AW14" s="616">
        <f t="shared" si="14"/>
        <v>0</v>
      </c>
      <c r="AX14" s="616">
        <f t="shared" si="15"/>
        <v>0</v>
      </c>
      <c r="AY14" s="616">
        <f t="shared" si="16"/>
        <v>0</v>
      </c>
      <c r="AZ14" s="616">
        <f t="shared" si="17"/>
        <v>0</v>
      </c>
      <c r="BA14" s="616">
        <f t="shared" si="18"/>
        <v>0</v>
      </c>
      <c r="BB14" s="616"/>
      <c r="BC14" s="615">
        <f t="shared" si="36"/>
        <v>0</v>
      </c>
      <c r="BD14" s="616">
        <f t="shared" si="37"/>
        <v>0</v>
      </c>
      <c r="BE14" s="616">
        <f t="shared" si="38"/>
        <v>0</v>
      </c>
      <c r="BF14" s="616">
        <f t="shared" si="39"/>
        <v>0</v>
      </c>
      <c r="BG14" s="616">
        <f t="shared" si="40"/>
        <v>0</v>
      </c>
      <c r="BH14" s="616">
        <f t="shared" si="41"/>
        <v>0</v>
      </c>
      <c r="BI14" s="616">
        <f t="shared" si="42"/>
        <v>0</v>
      </c>
      <c r="BJ14" s="616"/>
      <c r="BK14" s="615">
        <f t="shared" si="43"/>
        <v>0</v>
      </c>
      <c r="BL14" s="616">
        <f t="shared" si="44"/>
        <v>0</v>
      </c>
      <c r="BM14" s="616">
        <f t="shared" si="45"/>
        <v>0</v>
      </c>
      <c r="BN14" s="616">
        <f t="shared" si="46"/>
        <v>0</v>
      </c>
      <c r="BO14" s="616">
        <f t="shared" si="47"/>
        <v>0</v>
      </c>
      <c r="BP14" s="616">
        <f t="shared" si="48"/>
        <v>0</v>
      </c>
      <c r="BQ14" s="616">
        <f t="shared" si="49"/>
        <v>0</v>
      </c>
      <c r="BR14" s="616">
        <f t="shared" si="50"/>
        <v>0</v>
      </c>
      <c r="BS14" s="304"/>
    </row>
    <row r="15" s="132" customFormat="1" ht="24" spans="1:71">
      <c r="A15" s="497" t="s">
        <v>202</v>
      </c>
      <c r="B15" s="497" t="s">
        <v>206</v>
      </c>
      <c r="C15" s="497" t="s">
        <v>219</v>
      </c>
      <c r="D15" s="497" t="s">
        <v>220</v>
      </c>
      <c r="E15" s="615">
        <f t="shared" si="8"/>
        <v>30.97</v>
      </c>
      <c r="F15" s="615">
        <f t="shared" si="9"/>
        <v>25.56</v>
      </c>
      <c r="G15" s="616">
        <v>14.57</v>
      </c>
      <c r="H15" s="616"/>
      <c r="I15" s="616">
        <v>5.67</v>
      </c>
      <c r="J15" s="616"/>
      <c r="K15" s="616"/>
      <c r="L15" s="616">
        <v>5.32</v>
      </c>
      <c r="M15" s="615">
        <f t="shared" si="10"/>
        <v>5.41</v>
      </c>
      <c r="N15" s="616">
        <v>3.41</v>
      </c>
      <c r="O15" s="616"/>
      <c r="P15" s="616"/>
      <c r="Q15" s="616"/>
      <c r="R15" s="616">
        <v>2</v>
      </c>
      <c r="S15" s="615">
        <f t="shared" si="19"/>
        <v>1.97</v>
      </c>
      <c r="T15" s="615">
        <f t="shared" si="20"/>
        <v>1.58</v>
      </c>
      <c r="U15" s="616">
        <v>0.99</v>
      </c>
      <c r="V15" s="616"/>
      <c r="W15" s="616">
        <v>0.14</v>
      </c>
      <c r="X15" s="616"/>
      <c r="Y15" s="616"/>
      <c r="Z15" s="616">
        <v>0.45</v>
      </c>
      <c r="AA15" s="615">
        <f t="shared" si="21"/>
        <v>0.39</v>
      </c>
      <c r="AB15" s="616">
        <v>0.09</v>
      </c>
      <c r="AC15" s="616"/>
      <c r="AD15" s="616"/>
      <c r="AE15" s="616">
        <v>0.3</v>
      </c>
      <c r="AF15" s="616"/>
      <c r="AG15" s="615">
        <f t="shared" si="22"/>
        <v>32.94</v>
      </c>
      <c r="AH15" s="615">
        <f t="shared" si="23"/>
        <v>27.14</v>
      </c>
      <c r="AI15" s="616">
        <f t="shared" si="24"/>
        <v>15.56</v>
      </c>
      <c r="AJ15" s="616">
        <f t="shared" si="25"/>
        <v>0</v>
      </c>
      <c r="AK15" s="616">
        <f t="shared" si="26"/>
        <v>5.81</v>
      </c>
      <c r="AL15" s="616">
        <f t="shared" si="27"/>
        <v>0</v>
      </c>
      <c r="AM15" s="616">
        <f t="shared" si="28"/>
        <v>0</v>
      </c>
      <c r="AN15" s="616">
        <f t="shared" si="29"/>
        <v>5.77</v>
      </c>
      <c r="AO15" s="615">
        <f t="shared" si="30"/>
        <v>5.8</v>
      </c>
      <c r="AP15" s="616">
        <f t="shared" si="31"/>
        <v>3.5</v>
      </c>
      <c r="AQ15" s="616">
        <f t="shared" si="32"/>
        <v>0</v>
      </c>
      <c r="AR15" s="616">
        <f t="shared" si="33"/>
        <v>0</v>
      </c>
      <c r="AS15" s="616">
        <f t="shared" si="34"/>
        <v>0.3</v>
      </c>
      <c r="AT15" s="637">
        <f t="shared" si="35"/>
        <v>2</v>
      </c>
      <c r="AU15" s="638">
        <f t="shared" si="12"/>
        <v>10.1222</v>
      </c>
      <c r="AV15" s="616">
        <f t="shared" si="13"/>
        <v>3.784</v>
      </c>
      <c r="AW15" s="616">
        <f t="shared" si="14"/>
        <v>1.892</v>
      </c>
      <c r="AX15" s="616">
        <f t="shared" si="15"/>
        <v>1.419</v>
      </c>
      <c r="AY15" s="616">
        <f t="shared" si="16"/>
        <v>0.0473</v>
      </c>
      <c r="AZ15" s="616">
        <f t="shared" si="17"/>
        <v>0.1419</v>
      </c>
      <c r="BA15" s="616">
        <f t="shared" si="18"/>
        <v>2.838</v>
      </c>
      <c r="BB15" s="616"/>
      <c r="BC15" s="615">
        <f t="shared" si="36"/>
        <v>0.52216</v>
      </c>
      <c r="BD15" s="616">
        <f t="shared" si="37"/>
        <v>0.1952</v>
      </c>
      <c r="BE15" s="616">
        <f t="shared" si="38"/>
        <v>0.0976</v>
      </c>
      <c r="BF15" s="616">
        <f t="shared" si="39"/>
        <v>0.0732</v>
      </c>
      <c r="BG15" s="616">
        <f t="shared" si="40"/>
        <v>0.00244</v>
      </c>
      <c r="BH15" s="616">
        <f t="shared" si="41"/>
        <v>0.00732</v>
      </c>
      <c r="BI15" s="616">
        <f t="shared" si="42"/>
        <v>0.1464</v>
      </c>
      <c r="BJ15" s="616"/>
      <c r="BK15" s="615">
        <f t="shared" si="43"/>
        <v>10.64436</v>
      </c>
      <c r="BL15" s="616">
        <f t="shared" si="44"/>
        <v>3.9792</v>
      </c>
      <c r="BM15" s="616">
        <f t="shared" si="45"/>
        <v>1.9896</v>
      </c>
      <c r="BN15" s="616">
        <f t="shared" si="46"/>
        <v>1.4922</v>
      </c>
      <c r="BO15" s="616">
        <f t="shared" si="47"/>
        <v>0.04974</v>
      </c>
      <c r="BP15" s="616">
        <f t="shared" si="48"/>
        <v>0.14922</v>
      </c>
      <c r="BQ15" s="616">
        <f t="shared" si="49"/>
        <v>2.9844</v>
      </c>
      <c r="BR15" s="616">
        <f t="shared" si="50"/>
        <v>0</v>
      </c>
      <c r="BS15" s="304"/>
    </row>
    <row r="16" s="132" customFormat="1" ht="24" spans="1:71">
      <c r="A16" s="497" t="s">
        <v>202</v>
      </c>
      <c r="B16" s="497" t="s">
        <v>206</v>
      </c>
      <c r="C16" s="497" t="s">
        <v>221</v>
      </c>
      <c r="D16" s="497" t="s">
        <v>220</v>
      </c>
      <c r="E16" s="615">
        <f t="shared" si="8"/>
        <v>474.24</v>
      </c>
      <c r="F16" s="615">
        <f t="shared" si="9"/>
        <v>35.26</v>
      </c>
      <c r="G16" s="616">
        <v>20.52</v>
      </c>
      <c r="H16" s="616"/>
      <c r="I16" s="616">
        <v>7.92</v>
      </c>
      <c r="J16" s="616"/>
      <c r="K16" s="616"/>
      <c r="L16" s="616">
        <v>6.82</v>
      </c>
      <c r="M16" s="615">
        <f t="shared" si="10"/>
        <v>438.98</v>
      </c>
      <c r="N16" s="616">
        <v>4.88</v>
      </c>
      <c r="O16" s="616"/>
      <c r="P16" s="616">
        <v>431.6</v>
      </c>
      <c r="Q16" s="616"/>
      <c r="R16" s="616">
        <v>2.5</v>
      </c>
      <c r="S16" s="615">
        <f t="shared" si="19"/>
        <v>-4.95</v>
      </c>
      <c r="T16" s="615">
        <f t="shared" si="20"/>
        <v>-4.26</v>
      </c>
      <c r="U16" s="616">
        <v>-3.17</v>
      </c>
      <c r="V16" s="616"/>
      <c r="W16" s="616">
        <v>-1.15</v>
      </c>
      <c r="X16" s="616"/>
      <c r="Y16" s="616"/>
      <c r="Z16" s="616">
        <v>0.06</v>
      </c>
      <c r="AA16" s="615">
        <f t="shared" si="21"/>
        <v>-0.69</v>
      </c>
      <c r="AB16" s="616">
        <v>-0.69</v>
      </c>
      <c r="AC16" s="616"/>
      <c r="AD16" s="616"/>
      <c r="AE16" s="616"/>
      <c r="AF16" s="616"/>
      <c r="AG16" s="615">
        <f t="shared" si="22"/>
        <v>469.29</v>
      </c>
      <c r="AH16" s="615">
        <f t="shared" si="23"/>
        <v>31</v>
      </c>
      <c r="AI16" s="616">
        <f t="shared" si="24"/>
        <v>17.35</v>
      </c>
      <c r="AJ16" s="616">
        <f t="shared" si="25"/>
        <v>0</v>
      </c>
      <c r="AK16" s="616">
        <f t="shared" si="26"/>
        <v>6.77</v>
      </c>
      <c r="AL16" s="616">
        <f t="shared" si="27"/>
        <v>0</v>
      </c>
      <c r="AM16" s="616">
        <f t="shared" si="28"/>
        <v>0</v>
      </c>
      <c r="AN16" s="616">
        <f t="shared" si="29"/>
        <v>6.88</v>
      </c>
      <c r="AO16" s="615">
        <f t="shared" si="30"/>
        <v>438.29</v>
      </c>
      <c r="AP16" s="616">
        <f t="shared" si="31"/>
        <v>4.19</v>
      </c>
      <c r="AQ16" s="616">
        <f t="shared" si="32"/>
        <v>0</v>
      </c>
      <c r="AR16" s="616">
        <f t="shared" si="33"/>
        <v>431.6</v>
      </c>
      <c r="AS16" s="616">
        <f t="shared" si="34"/>
        <v>0</v>
      </c>
      <c r="AT16" s="637">
        <f t="shared" si="35"/>
        <v>2.5</v>
      </c>
      <c r="AU16" s="638">
        <f t="shared" si="12"/>
        <v>14.26096</v>
      </c>
      <c r="AV16" s="616">
        <f t="shared" si="13"/>
        <v>5.3312</v>
      </c>
      <c r="AW16" s="616">
        <f t="shared" si="14"/>
        <v>2.6656</v>
      </c>
      <c r="AX16" s="616">
        <f t="shared" si="15"/>
        <v>1.9992</v>
      </c>
      <c r="AY16" s="616">
        <f t="shared" si="16"/>
        <v>0.06664</v>
      </c>
      <c r="AZ16" s="616">
        <f t="shared" si="17"/>
        <v>0.19992</v>
      </c>
      <c r="BA16" s="616">
        <f t="shared" si="18"/>
        <v>3.9984</v>
      </c>
      <c r="BB16" s="616"/>
      <c r="BC16" s="615">
        <f t="shared" si="36"/>
        <v>-2.14428</v>
      </c>
      <c r="BD16" s="616">
        <f t="shared" si="37"/>
        <v>-0.8016</v>
      </c>
      <c r="BE16" s="616">
        <f t="shared" si="38"/>
        <v>-0.4008</v>
      </c>
      <c r="BF16" s="616">
        <f t="shared" si="39"/>
        <v>-0.3006</v>
      </c>
      <c r="BG16" s="616">
        <f t="shared" si="40"/>
        <v>-0.01002</v>
      </c>
      <c r="BH16" s="616">
        <f t="shared" si="41"/>
        <v>-0.03006</v>
      </c>
      <c r="BI16" s="616">
        <f t="shared" si="42"/>
        <v>-0.6012</v>
      </c>
      <c r="BJ16" s="616"/>
      <c r="BK16" s="615">
        <f t="shared" si="43"/>
        <v>12.11668</v>
      </c>
      <c r="BL16" s="616">
        <f t="shared" si="44"/>
        <v>4.5296</v>
      </c>
      <c r="BM16" s="616">
        <f t="shared" si="45"/>
        <v>2.2648</v>
      </c>
      <c r="BN16" s="616">
        <f t="shared" si="46"/>
        <v>1.6986</v>
      </c>
      <c r="BO16" s="616">
        <f t="shared" si="47"/>
        <v>0.05662</v>
      </c>
      <c r="BP16" s="616">
        <f t="shared" si="48"/>
        <v>0.16986</v>
      </c>
      <c r="BQ16" s="616">
        <f t="shared" si="49"/>
        <v>3.3972</v>
      </c>
      <c r="BR16" s="616">
        <f t="shared" si="50"/>
        <v>0</v>
      </c>
      <c r="BS16" s="304"/>
    </row>
    <row r="17" s="132" customFormat="1" ht="24" spans="1:71">
      <c r="A17" s="497" t="s">
        <v>202</v>
      </c>
      <c r="B17" s="497" t="s">
        <v>206</v>
      </c>
      <c r="C17" s="497" t="s">
        <v>222</v>
      </c>
      <c r="D17" s="497" t="s">
        <v>220</v>
      </c>
      <c r="E17" s="615">
        <f t="shared" si="8"/>
        <v>23.03</v>
      </c>
      <c r="F17" s="615">
        <f t="shared" si="9"/>
        <v>19.49</v>
      </c>
      <c r="G17" s="616">
        <v>13.59</v>
      </c>
      <c r="H17" s="616"/>
      <c r="I17" s="616">
        <v>5.9</v>
      </c>
      <c r="J17" s="616"/>
      <c r="K17" s="616"/>
      <c r="L17" s="616"/>
      <c r="M17" s="615">
        <f t="shared" si="10"/>
        <v>3.54</v>
      </c>
      <c r="N17" s="616">
        <v>3.54</v>
      </c>
      <c r="O17" s="616"/>
      <c r="P17" s="616"/>
      <c r="Q17" s="616"/>
      <c r="R17" s="616"/>
      <c r="S17" s="615">
        <f t="shared" si="19"/>
        <v>16.54</v>
      </c>
      <c r="T17" s="615">
        <f t="shared" si="20"/>
        <v>13.46</v>
      </c>
      <c r="U17" s="616">
        <v>9.24</v>
      </c>
      <c r="V17" s="616"/>
      <c r="W17" s="616">
        <v>4.22</v>
      </c>
      <c r="X17" s="616"/>
      <c r="Y17" s="616"/>
      <c r="Z17" s="616"/>
      <c r="AA17" s="615">
        <f t="shared" si="21"/>
        <v>3.08</v>
      </c>
      <c r="AB17" s="616">
        <v>3.08</v>
      </c>
      <c r="AC17" s="616"/>
      <c r="AD17" s="616"/>
      <c r="AE17" s="616"/>
      <c r="AF17" s="616"/>
      <c r="AG17" s="615">
        <f t="shared" si="22"/>
        <v>39.57</v>
      </c>
      <c r="AH17" s="615">
        <f t="shared" si="23"/>
        <v>32.95</v>
      </c>
      <c r="AI17" s="616">
        <f t="shared" si="24"/>
        <v>22.83</v>
      </c>
      <c r="AJ17" s="616">
        <f t="shared" si="25"/>
        <v>0</v>
      </c>
      <c r="AK17" s="616">
        <f t="shared" si="26"/>
        <v>10.12</v>
      </c>
      <c r="AL17" s="616">
        <f t="shared" si="27"/>
        <v>0</v>
      </c>
      <c r="AM17" s="616">
        <f t="shared" si="28"/>
        <v>0</v>
      </c>
      <c r="AN17" s="616">
        <f t="shared" si="29"/>
        <v>0</v>
      </c>
      <c r="AO17" s="615">
        <f t="shared" si="30"/>
        <v>6.62</v>
      </c>
      <c r="AP17" s="616">
        <f t="shared" si="31"/>
        <v>6.62</v>
      </c>
      <c r="AQ17" s="616">
        <f t="shared" si="32"/>
        <v>0</v>
      </c>
      <c r="AR17" s="616">
        <f t="shared" si="33"/>
        <v>0</v>
      </c>
      <c r="AS17" s="616">
        <f t="shared" si="34"/>
        <v>0</v>
      </c>
      <c r="AT17" s="637">
        <f t="shared" si="35"/>
        <v>0</v>
      </c>
      <c r="AU17" s="638">
        <f t="shared" si="12"/>
        <v>9.85684</v>
      </c>
      <c r="AV17" s="616">
        <f t="shared" si="13"/>
        <v>3.6848</v>
      </c>
      <c r="AW17" s="616">
        <f t="shared" si="14"/>
        <v>1.8424</v>
      </c>
      <c r="AX17" s="616">
        <f t="shared" si="15"/>
        <v>1.3818</v>
      </c>
      <c r="AY17" s="616">
        <f t="shared" si="16"/>
        <v>0.04606</v>
      </c>
      <c r="AZ17" s="616">
        <f t="shared" si="17"/>
        <v>0.13818</v>
      </c>
      <c r="BA17" s="616">
        <f t="shared" si="18"/>
        <v>2.7636</v>
      </c>
      <c r="BB17" s="616"/>
      <c r="BC17" s="615">
        <f t="shared" si="36"/>
        <v>7.07912</v>
      </c>
      <c r="BD17" s="616">
        <f t="shared" si="37"/>
        <v>2.6464</v>
      </c>
      <c r="BE17" s="616">
        <f t="shared" si="38"/>
        <v>1.3232</v>
      </c>
      <c r="BF17" s="616">
        <f t="shared" si="39"/>
        <v>0.9924</v>
      </c>
      <c r="BG17" s="616">
        <f t="shared" si="40"/>
        <v>0.03308</v>
      </c>
      <c r="BH17" s="616">
        <f t="shared" si="41"/>
        <v>0.09924</v>
      </c>
      <c r="BI17" s="616">
        <f t="shared" si="42"/>
        <v>1.9848</v>
      </c>
      <c r="BJ17" s="616"/>
      <c r="BK17" s="615">
        <f t="shared" si="43"/>
        <v>16.93596</v>
      </c>
      <c r="BL17" s="616">
        <f t="shared" si="44"/>
        <v>6.3312</v>
      </c>
      <c r="BM17" s="616">
        <f t="shared" si="45"/>
        <v>3.1656</v>
      </c>
      <c r="BN17" s="616">
        <f t="shared" si="46"/>
        <v>2.3742</v>
      </c>
      <c r="BO17" s="616">
        <f t="shared" si="47"/>
        <v>0.07914</v>
      </c>
      <c r="BP17" s="616">
        <f t="shared" si="48"/>
        <v>0.23742</v>
      </c>
      <c r="BQ17" s="616">
        <f t="shared" si="49"/>
        <v>4.7484</v>
      </c>
      <c r="BR17" s="616">
        <f t="shared" si="50"/>
        <v>0</v>
      </c>
      <c r="BS17" s="304"/>
    </row>
    <row r="18" s="132" customFormat="1" ht="24" spans="1:71">
      <c r="A18" s="497" t="s">
        <v>202</v>
      </c>
      <c r="B18" s="497" t="s">
        <v>206</v>
      </c>
      <c r="C18" s="497" t="s">
        <v>223</v>
      </c>
      <c r="D18" s="497" t="s">
        <v>220</v>
      </c>
      <c r="E18" s="615">
        <f t="shared" si="8"/>
        <v>65.34</v>
      </c>
      <c r="F18" s="615">
        <f t="shared" si="9"/>
        <v>55.91</v>
      </c>
      <c r="G18" s="616">
        <v>40.2</v>
      </c>
      <c r="H18" s="616"/>
      <c r="I18" s="616">
        <v>15.71</v>
      </c>
      <c r="J18" s="616"/>
      <c r="K18" s="616"/>
      <c r="L18" s="616"/>
      <c r="M18" s="615">
        <f t="shared" si="10"/>
        <v>9.43</v>
      </c>
      <c r="N18" s="616">
        <v>9.43</v>
      </c>
      <c r="O18" s="616"/>
      <c r="P18" s="616"/>
      <c r="Q18" s="616"/>
      <c r="R18" s="616"/>
      <c r="S18" s="615">
        <f t="shared" si="19"/>
        <v>-3.3</v>
      </c>
      <c r="T18" s="615">
        <f t="shared" si="20"/>
        <v>-2.64</v>
      </c>
      <c r="U18" s="616">
        <v>-1.54</v>
      </c>
      <c r="V18" s="616"/>
      <c r="W18" s="616">
        <v>-1.1</v>
      </c>
      <c r="X18" s="616"/>
      <c r="Y18" s="616"/>
      <c r="Z18" s="616"/>
      <c r="AA18" s="615">
        <f t="shared" si="21"/>
        <v>-0.66</v>
      </c>
      <c r="AB18" s="616">
        <v>-0.66</v>
      </c>
      <c r="AC18" s="616"/>
      <c r="AD18" s="616"/>
      <c r="AE18" s="616"/>
      <c r="AF18" s="616"/>
      <c r="AG18" s="615">
        <f t="shared" si="22"/>
        <v>62.04</v>
      </c>
      <c r="AH18" s="615">
        <f t="shared" si="23"/>
        <v>53.27</v>
      </c>
      <c r="AI18" s="616">
        <f t="shared" si="24"/>
        <v>38.66</v>
      </c>
      <c r="AJ18" s="616">
        <f t="shared" si="25"/>
        <v>0</v>
      </c>
      <c r="AK18" s="616">
        <f t="shared" si="26"/>
        <v>14.61</v>
      </c>
      <c r="AL18" s="616">
        <f t="shared" si="27"/>
        <v>0</v>
      </c>
      <c r="AM18" s="616">
        <f t="shared" si="28"/>
        <v>0</v>
      </c>
      <c r="AN18" s="616">
        <f t="shared" si="29"/>
        <v>0</v>
      </c>
      <c r="AO18" s="615">
        <f t="shared" si="30"/>
        <v>8.77</v>
      </c>
      <c r="AP18" s="616">
        <f t="shared" si="31"/>
        <v>8.77</v>
      </c>
      <c r="AQ18" s="616">
        <f t="shared" si="32"/>
        <v>0</v>
      </c>
      <c r="AR18" s="616">
        <f t="shared" si="33"/>
        <v>0</v>
      </c>
      <c r="AS18" s="616">
        <f t="shared" si="34"/>
        <v>0</v>
      </c>
      <c r="AT18" s="637">
        <f t="shared" si="35"/>
        <v>0</v>
      </c>
      <c r="AU18" s="638">
        <f t="shared" si="12"/>
        <v>27.96552</v>
      </c>
      <c r="AV18" s="616">
        <f t="shared" si="13"/>
        <v>10.4544</v>
      </c>
      <c r="AW18" s="616">
        <f t="shared" si="14"/>
        <v>5.2272</v>
      </c>
      <c r="AX18" s="616">
        <f t="shared" si="15"/>
        <v>3.9204</v>
      </c>
      <c r="AY18" s="616">
        <f t="shared" si="16"/>
        <v>0.13068</v>
      </c>
      <c r="AZ18" s="616">
        <f t="shared" si="17"/>
        <v>0.39204</v>
      </c>
      <c r="BA18" s="616">
        <f t="shared" si="18"/>
        <v>7.8408</v>
      </c>
      <c r="BB18" s="616"/>
      <c r="BC18" s="615">
        <f t="shared" si="36"/>
        <v>-1.4124</v>
      </c>
      <c r="BD18" s="616">
        <f t="shared" si="37"/>
        <v>-0.528</v>
      </c>
      <c r="BE18" s="616">
        <f t="shared" si="38"/>
        <v>-0.264</v>
      </c>
      <c r="BF18" s="616">
        <f t="shared" si="39"/>
        <v>-0.198</v>
      </c>
      <c r="BG18" s="616">
        <f t="shared" si="40"/>
        <v>-0.0066</v>
      </c>
      <c r="BH18" s="616">
        <f t="shared" si="41"/>
        <v>-0.0198</v>
      </c>
      <c r="BI18" s="616">
        <f t="shared" si="42"/>
        <v>-0.396</v>
      </c>
      <c r="BJ18" s="616"/>
      <c r="BK18" s="615">
        <f t="shared" si="43"/>
        <v>26.55312</v>
      </c>
      <c r="BL18" s="616">
        <f t="shared" si="44"/>
        <v>9.9264</v>
      </c>
      <c r="BM18" s="616">
        <f t="shared" si="45"/>
        <v>4.9632</v>
      </c>
      <c r="BN18" s="616">
        <f t="shared" si="46"/>
        <v>3.7224</v>
      </c>
      <c r="BO18" s="616">
        <f t="shared" si="47"/>
        <v>0.12408</v>
      </c>
      <c r="BP18" s="616">
        <f t="shared" si="48"/>
        <v>0.37224</v>
      </c>
      <c r="BQ18" s="616">
        <f t="shared" si="49"/>
        <v>7.4448</v>
      </c>
      <c r="BR18" s="616">
        <f t="shared" si="50"/>
        <v>0</v>
      </c>
      <c r="BS18" s="304"/>
    </row>
    <row r="19" s="132" customFormat="1" ht="24" spans="1:71">
      <c r="A19" s="497" t="s">
        <v>202</v>
      </c>
      <c r="B19" s="497" t="s">
        <v>206</v>
      </c>
      <c r="C19" s="497" t="s">
        <v>224</v>
      </c>
      <c r="D19" s="497" t="s">
        <v>220</v>
      </c>
      <c r="E19" s="615">
        <f t="shared" si="8"/>
        <v>152.83</v>
      </c>
      <c r="F19" s="615">
        <f t="shared" si="9"/>
        <v>122.71</v>
      </c>
      <c r="G19" s="616">
        <v>54.52</v>
      </c>
      <c r="H19" s="616"/>
      <c r="I19" s="616">
        <v>22.69</v>
      </c>
      <c r="J19" s="616"/>
      <c r="K19" s="616"/>
      <c r="L19" s="616">
        <v>45.5</v>
      </c>
      <c r="M19" s="615">
        <f t="shared" si="10"/>
        <v>30.12</v>
      </c>
      <c r="N19" s="616">
        <v>13.62</v>
      </c>
      <c r="O19" s="616"/>
      <c r="P19" s="616"/>
      <c r="Q19" s="616"/>
      <c r="R19" s="616">
        <v>16.5</v>
      </c>
      <c r="S19" s="615">
        <f t="shared" si="19"/>
        <v>-4.93</v>
      </c>
      <c r="T19" s="615">
        <f t="shared" si="20"/>
        <v>-5.21</v>
      </c>
      <c r="U19" s="616">
        <v>-3.18</v>
      </c>
      <c r="V19" s="616"/>
      <c r="W19" s="616">
        <v>-2.12</v>
      </c>
      <c r="X19" s="616"/>
      <c r="Y19" s="616"/>
      <c r="Z19" s="616">
        <v>0.09</v>
      </c>
      <c r="AA19" s="615">
        <f t="shared" si="21"/>
        <v>0.28</v>
      </c>
      <c r="AB19" s="616">
        <v>-1.27</v>
      </c>
      <c r="AC19" s="616"/>
      <c r="AD19" s="616"/>
      <c r="AE19" s="616">
        <v>1.05</v>
      </c>
      <c r="AF19" s="616">
        <v>0.5</v>
      </c>
      <c r="AG19" s="615">
        <f t="shared" si="22"/>
        <v>147.9</v>
      </c>
      <c r="AH19" s="615">
        <f t="shared" si="23"/>
        <v>117.5</v>
      </c>
      <c r="AI19" s="616">
        <f t="shared" si="24"/>
        <v>51.34</v>
      </c>
      <c r="AJ19" s="616">
        <f t="shared" si="25"/>
        <v>0</v>
      </c>
      <c r="AK19" s="616">
        <f t="shared" si="26"/>
        <v>20.57</v>
      </c>
      <c r="AL19" s="616">
        <f t="shared" si="27"/>
        <v>0</v>
      </c>
      <c r="AM19" s="616">
        <f t="shared" si="28"/>
        <v>0</v>
      </c>
      <c r="AN19" s="616">
        <f t="shared" si="29"/>
        <v>45.59</v>
      </c>
      <c r="AO19" s="615">
        <f t="shared" si="30"/>
        <v>30.4</v>
      </c>
      <c r="AP19" s="616">
        <f t="shared" si="31"/>
        <v>12.35</v>
      </c>
      <c r="AQ19" s="616">
        <f t="shared" si="32"/>
        <v>0</v>
      </c>
      <c r="AR19" s="616">
        <f t="shared" si="33"/>
        <v>0</v>
      </c>
      <c r="AS19" s="616">
        <f t="shared" si="34"/>
        <v>1.05</v>
      </c>
      <c r="AT19" s="637">
        <f t="shared" si="35"/>
        <v>17</v>
      </c>
      <c r="AU19" s="638">
        <f t="shared" si="12"/>
        <v>38.87524</v>
      </c>
      <c r="AV19" s="616">
        <f t="shared" si="13"/>
        <v>14.5328</v>
      </c>
      <c r="AW19" s="616">
        <f t="shared" si="14"/>
        <v>7.2664</v>
      </c>
      <c r="AX19" s="616">
        <f t="shared" si="15"/>
        <v>5.4498</v>
      </c>
      <c r="AY19" s="616">
        <f t="shared" si="16"/>
        <v>0.18166</v>
      </c>
      <c r="AZ19" s="616">
        <f t="shared" si="17"/>
        <v>0.54498</v>
      </c>
      <c r="BA19" s="616">
        <f t="shared" si="18"/>
        <v>10.8996</v>
      </c>
      <c r="BB19" s="616"/>
      <c r="BC19" s="615">
        <f t="shared" si="36"/>
        <v>-2.81196</v>
      </c>
      <c r="BD19" s="616">
        <f t="shared" si="37"/>
        <v>-1.0512</v>
      </c>
      <c r="BE19" s="616">
        <f t="shared" si="38"/>
        <v>-0.5256</v>
      </c>
      <c r="BF19" s="616">
        <f t="shared" si="39"/>
        <v>-0.3942</v>
      </c>
      <c r="BG19" s="616">
        <f t="shared" si="40"/>
        <v>-0.01314</v>
      </c>
      <c r="BH19" s="616">
        <f t="shared" si="41"/>
        <v>-0.03942</v>
      </c>
      <c r="BI19" s="616">
        <f t="shared" si="42"/>
        <v>-0.7884</v>
      </c>
      <c r="BJ19" s="616"/>
      <c r="BK19" s="615">
        <f t="shared" si="43"/>
        <v>36.06328</v>
      </c>
      <c r="BL19" s="616">
        <f t="shared" si="44"/>
        <v>13.4816</v>
      </c>
      <c r="BM19" s="616">
        <f t="shared" si="45"/>
        <v>6.7408</v>
      </c>
      <c r="BN19" s="616">
        <f t="shared" si="46"/>
        <v>5.0556</v>
      </c>
      <c r="BO19" s="616">
        <f t="shared" si="47"/>
        <v>0.16852</v>
      </c>
      <c r="BP19" s="616">
        <f t="shared" si="48"/>
        <v>0.50556</v>
      </c>
      <c r="BQ19" s="616">
        <f t="shared" si="49"/>
        <v>10.1112</v>
      </c>
      <c r="BR19" s="616">
        <f t="shared" si="50"/>
        <v>0</v>
      </c>
      <c r="BS19" s="304"/>
    </row>
    <row r="20" s="132" customFormat="1" ht="24" spans="1:71">
      <c r="A20" s="497" t="s">
        <v>215</v>
      </c>
      <c r="B20" s="497" t="s">
        <v>206</v>
      </c>
      <c r="C20" s="497" t="s">
        <v>225</v>
      </c>
      <c r="D20" s="497" t="s">
        <v>220</v>
      </c>
      <c r="E20" s="615">
        <f t="shared" si="8"/>
        <v>66.38</v>
      </c>
      <c r="F20" s="615">
        <f t="shared" si="9"/>
        <v>55.4</v>
      </c>
      <c r="G20" s="616">
        <v>32.29</v>
      </c>
      <c r="H20" s="616"/>
      <c r="I20" s="616">
        <v>11.63</v>
      </c>
      <c r="J20" s="616"/>
      <c r="K20" s="616"/>
      <c r="L20" s="616">
        <v>11.48</v>
      </c>
      <c r="M20" s="615">
        <f t="shared" si="10"/>
        <v>10.98</v>
      </c>
      <c r="N20" s="616">
        <v>6.98</v>
      </c>
      <c r="O20" s="616"/>
      <c r="P20" s="616"/>
      <c r="Q20" s="616"/>
      <c r="R20" s="616">
        <v>4</v>
      </c>
      <c r="S20" s="615">
        <f t="shared" si="19"/>
        <v>-1.98</v>
      </c>
      <c r="T20" s="615">
        <f t="shared" si="20"/>
        <v>-1.88</v>
      </c>
      <c r="U20" s="616">
        <v>-0.67</v>
      </c>
      <c r="V20" s="616"/>
      <c r="W20" s="616">
        <v>-0.66</v>
      </c>
      <c r="X20" s="616"/>
      <c r="Y20" s="616"/>
      <c r="Z20" s="616">
        <v>-0.55</v>
      </c>
      <c r="AA20" s="615">
        <f t="shared" si="21"/>
        <v>-0.1</v>
      </c>
      <c r="AB20" s="616">
        <v>-0.4</v>
      </c>
      <c r="AC20" s="616"/>
      <c r="AD20" s="616"/>
      <c r="AE20" s="616">
        <v>0.3</v>
      </c>
      <c r="AF20" s="616"/>
      <c r="AG20" s="615">
        <f t="shared" si="22"/>
        <v>64.4</v>
      </c>
      <c r="AH20" s="615">
        <f t="shared" si="23"/>
        <v>53.52</v>
      </c>
      <c r="AI20" s="616">
        <f t="shared" si="24"/>
        <v>31.62</v>
      </c>
      <c r="AJ20" s="616">
        <f t="shared" si="25"/>
        <v>0</v>
      </c>
      <c r="AK20" s="616">
        <f t="shared" si="26"/>
        <v>10.97</v>
      </c>
      <c r="AL20" s="616">
        <f t="shared" si="27"/>
        <v>0</v>
      </c>
      <c r="AM20" s="616">
        <f t="shared" si="28"/>
        <v>0</v>
      </c>
      <c r="AN20" s="616">
        <f t="shared" si="29"/>
        <v>10.93</v>
      </c>
      <c r="AO20" s="615">
        <f t="shared" si="30"/>
        <v>10.88</v>
      </c>
      <c r="AP20" s="616">
        <f t="shared" si="31"/>
        <v>6.58</v>
      </c>
      <c r="AQ20" s="616">
        <f t="shared" si="32"/>
        <v>0</v>
      </c>
      <c r="AR20" s="616">
        <f t="shared" si="33"/>
        <v>0</v>
      </c>
      <c r="AS20" s="616">
        <f t="shared" si="34"/>
        <v>0.3</v>
      </c>
      <c r="AT20" s="637">
        <f t="shared" si="35"/>
        <v>4</v>
      </c>
      <c r="AU20" s="638">
        <f t="shared" si="12"/>
        <v>21.7852</v>
      </c>
      <c r="AV20" s="616">
        <f t="shared" si="13"/>
        <v>8.144</v>
      </c>
      <c r="AW20" s="616">
        <f t="shared" si="14"/>
        <v>4.072</v>
      </c>
      <c r="AX20" s="616">
        <f t="shared" si="15"/>
        <v>3.054</v>
      </c>
      <c r="AY20" s="616">
        <f t="shared" si="16"/>
        <v>0.1018</v>
      </c>
      <c r="AZ20" s="616">
        <f t="shared" si="17"/>
        <v>0.3054</v>
      </c>
      <c r="BA20" s="616">
        <f t="shared" si="18"/>
        <v>6.108</v>
      </c>
      <c r="BB20" s="616"/>
      <c r="BC20" s="615">
        <f t="shared" si="36"/>
        <v>-0.74044</v>
      </c>
      <c r="BD20" s="616">
        <f t="shared" si="37"/>
        <v>-0.2768</v>
      </c>
      <c r="BE20" s="616">
        <f t="shared" si="38"/>
        <v>-0.1384</v>
      </c>
      <c r="BF20" s="616">
        <f t="shared" si="39"/>
        <v>-0.1038</v>
      </c>
      <c r="BG20" s="616">
        <f t="shared" si="40"/>
        <v>-0.00346</v>
      </c>
      <c r="BH20" s="616">
        <f t="shared" si="41"/>
        <v>-0.01038</v>
      </c>
      <c r="BI20" s="616">
        <f t="shared" si="42"/>
        <v>-0.2076</v>
      </c>
      <c r="BJ20" s="616"/>
      <c r="BK20" s="615">
        <f t="shared" si="43"/>
        <v>21.04476</v>
      </c>
      <c r="BL20" s="616">
        <f t="shared" si="44"/>
        <v>7.8672</v>
      </c>
      <c r="BM20" s="616">
        <f t="shared" si="45"/>
        <v>3.9336</v>
      </c>
      <c r="BN20" s="616">
        <f t="shared" si="46"/>
        <v>2.9502</v>
      </c>
      <c r="BO20" s="616">
        <f t="shared" si="47"/>
        <v>0.09834</v>
      </c>
      <c r="BP20" s="616">
        <f t="shared" si="48"/>
        <v>0.29502</v>
      </c>
      <c r="BQ20" s="616">
        <f t="shared" si="49"/>
        <v>5.9004</v>
      </c>
      <c r="BR20" s="616">
        <f t="shared" si="50"/>
        <v>0</v>
      </c>
      <c r="BS20" s="304" t="s">
        <v>652</v>
      </c>
    </row>
    <row r="21" s="132" customFormat="1" ht="24" spans="1:71">
      <c r="A21" s="497" t="s">
        <v>226</v>
      </c>
      <c r="B21" s="497" t="s">
        <v>203</v>
      </c>
      <c r="C21" s="497" t="s">
        <v>227</v>
      </c>
      <c r="D21" s="497" t="s">
        <v>214</v>
      </c>
      <c r="E21" s="615">
        <f t="shared" si="8"/>
        <v>0</v>
      </c>
      <c r="F21" s="615">
        <f t="shared" si="9"/>
        <v>0</v>
      </c>
      <c r="G21" s="616"/>
      <c r="H21" s="616"/>
      <c r="I21" s="616"/>
      <c r="J21" s="616"/>
      <c r="K21" s="616"/>
      <c r="L21" s="616"/>
      <c r="M21" s="615">
        <f t="shared" si="10"/>
        <v>0</v>
      </c>
      <c r="N21" s="616"/>
      <c r="O21" s="616"/>
      <c r="P21" s="616"/>
      <c r="Q21" s="616"/>
      <c r="R21" s="616"/>
      <c r="S21" s="615">
        <f t="shared" si="19"/>
        <v>0</v>
      </c>
      <c r="T21" s="615">
        <f t="shared" si="20"/>
        <v>0</v>
      </c>
      <c r="U21" s="616"/>
      <c r="V21" s="616"/>
      <c r="W21" s="616"/>
      <c r="X21" s="616"/>
      <c r="Y21" s="616"/>
      <c r="Z21" s="616"/>
      <c r="AA21" s="615">
        <f t="shared" si="21"/>
        <v>0</v>
      </c>
      <c r="AB21" s="616"/>
      <c r="AC21" s="616"/>
      <c r="AD21" s="616"/>
      <c r="AE21" s="616"/>
      <c r="AF21" s="616"/>
      <c r="AG21" s="615">
        <f t="shared" si="22"/>
        <v>0</v>
      </c>
      <c r="AH21" s="615">
        <f t="shared" si="23"/>
        <v>0</v>
      </c>
      <c r="AI21" s="616">
        <f t="shared" si="24"/>
        <v>0</v>
      </c>
      <c r="AJ21" s="616">
        <f t="shared" si="25"/>
        <v>0</v>
      </c>
      <c r="AK21" s="616">
        <f t="shared" si="26"/>
        <v>0</v>
      </c>
      <c r="AL21" s="616">
        <f t="shared" si="27"/>
        <v>0</v>
      </c>
      <c r="AM21" s="616">
        <f t="shared" si="28"/>
        <v>0</v>
      </c>
      <c r="AN21" s="616">
        <f t="shared" si="29"/>
        <v>0</v>
      </c>
      <c r="AO21" s="615">
        <f t="shared" si="30"/>
        <v>0</v>
      </c>
      <c r="AP21" s="616">
        <f t="shared" si="31"/>
        <v>0</v>
      </c>
      <c r="AQ21" s="616">
        <f t="shared" si="32"/>
        <v>0</v>
      </c>
      <c r="AR21" s="616">
        <f t="shared" si="33"/>
        <v>0</v>
      </c>
      <c r="AS21" s="616">
        <f t="shared" si="34"/>
        <v>0</v>
      </c>
      <c r="AT21" s="637">
        <f t="shared" si="35"/>
        <v>0</v>
      </c>
      <c r="AU21" s="638">
        <f t="shared" si="12"/>
        <v>0</v>
      </c>
      <c r="AV21" s="616">
        <f t="shared" si="13"/>
        <v>0</v>
      </c>
      <c r="AW21" s="616">
        <f t="shared" si="14"/>
        <v>0</v>
      </c>
      <c r="AX21" s="616">
        <f t="shared" si="15"/>
        <v>0</v>
      </c>
      <c r="AY21" s="616">
        <f t="shared" si="16"/>
        <v>0</v>
      </c>
      <c r="AZ21" s="616">
        <f t="shared" si="17"/>
        <v>0</v>
      </c>
      <c r="BA21" s="616">
        <f t="shared" si="18"/>
        <v>0</v>
      </c>
      <c r="BB21" s="616"/>
      <c r="BC21" s="615">
        <f t="shared" si="36"/>
        <v>0</v>
      </c>
      <c r="BD21" s="616">
        <f t="shared" si="37"/>
        <v>0</v>
      </c>
      <c r="BE21" s="616">
        <f t="shared" si="38"/>
        <v>0</v>
      </c>
      <c r="BF21" s="616">
        <f t="shared" si="39"/>
        <v>0</v>
      </c>
      <c r="BG21" s="616">
        <f t="shared" si="40"/>
        <v>0</v>
      </c>
      <c r="BH21" s="616">
        <f t="shared" si="41"/>
        <v>0</v>
      </c>
      <c r="BI21" s="616">
        <f t="shared" si="42"/>
        <v>0</v>
      </c>
      <c r="BJ21" s="616"/>
      <c r="BK21" s="615">
        <f t="shared" si="43"/>
        <v>0</v>
      </c>
      <c r="BL21" s="616">
        <f t="shared" si="44"/>
        <v>0</v>
      </c>
      <c r="BM21" s="616">
        <f t="shared" si="45"/>
        <v>0</v>
      </c>
      <c r="BN21" s="616">
        <f t="shared" si="46"/>
        <v>0</v>
      </c>
      <c r="BO21" s="616">
        <f t="shared" si="47"/>
        <v>0</v>
      </c>
      <c r="BP21" s="616">
        <f t="shared" si="48"/>
        <v>0</v>
      </c>
      <c r="BQ21" s="616">
        <f t="shared" si="49"/>
        <v>0</v>
      </c>
      <c r="BR21" s="616">
        <f t="shared" si="50"/>
        <v>0</v>
      </c>
      <c r="BS21" s="304"/>
    </row>
    <row r="22" s="132" customFormat="1" ht="24" spans="1:71">
      <c r="A22" s="497" t="s">
        <v>226</v>
      </c>
      <c r="B22" s="497" t="s">
        <v>206</v>
      </c>
      <c r="C22" s="497" t="s">
        <v>228</v>
      </c>
      <c r="D22" s="497" t="s">
        <v>220</v>
      </c>
      <c r="E22" s="615">
        <f t="shared" si="8"/>
        <v>345.2</v>
      </c>
      <c r="F22" s="615">
        <f t="shared" si="9"/>
        <v>290.17</v>
      </c>
      <c r="G22" s="616">
        <v>173.19</v>
      </c>
      <c r="H22" s="616"/>
      <c r="I22" s="616">
        <v>58.39</v>
      </c>
      <c r="J22" s="616"/>
      <c r="K22" s="616">
        <v>1.61</v>
      </c>
      <c r="L22" s="616">
        <v>56.98</v>
      </c>
      <c r="M22" s="615">
        <f t="shared" si="10"/>
        <v>55.03</v>
      </c>
      <c r="N22" s="616">
        <v>35.03</v>
      </c>
      <c r="O22" s="616"/>
      <c r="P22" s="616"/>
      <c r="Q22" s="616"/>
      <c r="R22" s="616">
        <v>20</v>
      </c>
      <c r="S22" s="615">
        <f t="shared" si="19"/>
        <v>19.47</v>
      </c>
      <c r="T22" s="615">
        <f t="shared" si="20"/>
        <v>16.24</v>
      </c>
      <c r="U22" s="616">
        <v>10.2</v>
      </c>
      <c r="V22" s="616">
        <v>1.59</v>
      </c>
      <c r="W22" s="616"/>
      <c r="X22" s="616"/>
      <c r="Y22" s="616"/>
      <c r="Z22" s="616">
        <v>4.45</v>
      </c>
      <c r="AA22" s="615">
        <f t="shared" si="21"/>
        <v>3.23</v>
      </c>
      <c r="AB22" s="616">
        <v>1.92</v>
      </c>
      <c r="AC22" s="616"/>
      <c r="AD22" s="616"/>
      <c r="AE22" s="616">
        <v>1.65</v>
      </c>
      <c r="AF22" s="616">
        <v>-0.34</v>
      </c>
      <c r="AG22" s="615">
        <f t="shared" si="22"/>
        <v>364.67</v>
      </c>
      <c r="AH22" s="615">
        <f t="shared" si="23"/>
        <v>306.41</v>
      </c>
      <c r="AI22" s="616">
        <f t="shared" si="24"/>
        <v>183.39</v>
      </c>
      <c r="AJ22" s="616">
        <f t="shared" si="25"/>
        <v>1.59</v>
      </c>
      <c r="AK22" s="616">
        <f t="shared" si="26"/>
        <v>58.39</v>
      </c>
      <c r="AL22" s="616">
        <f t="shared" si="27"/>
        <v>0</v>
      </c>
      <c r="AM22" s="616">
        <f t="shared" si="28"/>
        <v>1.61</v>
      </c>
      <c r="AN22" s="616">
        <f t="shared" si="29"/>
        <v>61.43</v>
      </c>
      <c r="AO22" s="615">
        <f t="shared" si="30"/>
        <v>58.26</v>
      </c>
      <c r="AP22" s="616">
        <f t="shared" si="31"/>
        <v>36.95</v>
      </c>
      <c r="AQ22" s="616">
        <f t="shared" si="32"/>
        <v>0</v>
      </c>
      <c r="AR22" s="616">
        <f t="shared" si="33"/>
        <v>0</v>
      </c>
      <c r="AS22" s="616">
        <f t="shared" si="34"/>
        <v>1.65</v>
      </c>
      <c r="AT22" s="637">
        <f t="shared" si="35"/>
        <v>19.66</v>
      </c>
      <c r="AU22" s="638">
        <f t="shared" si="12"/>
        <v>114.10908</v>
      </c>
      <c r="AV22" s="616">
        <f t="shared" si="13"/>
        <v>42.6576</v>
      </c>
      <c r="AW22" s="616">
        <f t="shared" si="14"/>
        <v>21.3288</v>
      </c>
      <c r="AX22" s="616">
        <f t="shared" si="15"/>
        <v>15.9966</v>
      </c>
      <c r="AY22" s="616">
        <f t="shared" si="16"/>
        <v>0.53322</v>
      </c>
      <c r="AZ22" s="616">
        <f t="shared" si="17"/>
        <v>1.59966</v>
      </c>
      <c r="BA22" s="616">
        <f t="shared" si="18"/>
        <v>31.9932</v>
      </c>
      <c r="BB22" s="616"/>
      <c r="BC22" s="615">
        <f t="shared" si="36"/>
        <v>5.86788</v>
      </c>
      <c r="BD22" s="616">
        <f t="shared" si="37"/>
        <v>2.1936</v>
      </c>
      <c r="BE22" s="616">
        <f t="shared" si="38"/>
        <v>1.0968</v>
      </c>
      <c r="BF22" s="616">
        <f t="shared" si="39"/>
        <v>0.8226</v>
      </c>
      <c r="BG22" s="616">
        <f t="shared" si="40"/>
        <v>0.02742</v>
      </c>
      <c r="BH22" s="616">
        <f t="shared" si="41"/>
        <v>0.08226</v>
      </c>
      <c r="BI22" s="616">
        <f t="shared" si="42"/>
        <v>1.6452</v>
      </c>
      <c r="BJ22" s="616"/>
      <c r="BK22" s="615">
        <f t="shared" si="43"/>
        <v>119.97696</v>
      </c>
      <c r="BL22" s="616">
        <f t="shared" si="44"/>
        <v>44.8512</v>
      </c>
      <c r="BM22" s="616">
        <f t="shared" si="45"/>
        <v>22.4256</v>
      </c>
      <c r="BN22" s="616">
        <f t="shared" si="46"/>
        <v>16.8192</v>
      </c>
      <c r="BO22" s="616">
        <f t="shared" si="47"/>
        <v>0.56064</v>
      </c>
      <c r="BP22" s="616">
        <f t="shared" si="48"/>
        <v>1.68192</v>
      </c>
      <c r="BQ22" s="616">
        <f t="shared" si="49"/>
        <v>33.6384</v>
      </c>
      <c r="BR22" s="616">
        <f t="shared" si="50"/>
        <v>0</v>
      </c>
      <c r="BS22" s="304"/>
    </row>
    <row r="23" s="132" customFormat="1" ht="24" spans="1:71">
      <c r="A23" s="497" t="s">
        <v>226</v>
      </c>
      <c r="B23" s="497" t="s">
        <v>203</v>
      </c>
      <c r="C23" s="497" t="s">
        <v>229</v>
      </c>
      <c r="D23" s="497" t="s">
        <v>214</v>
      </c>
      <c r="E23" s="615">
        <f t="shared" si="8"/>
        <v>0</v>
      </c>
      <c r="F23" s="615">
        <f t="shared" si="9"/>
        <v>0</v>
      </c>
      <c r="G23" s="616"/>
      <c r="H23" s="616"/>
      <c r="I23" s="616"/>
      <c r="J23" s="616"/>
      <c r="K23" s="616"/>
      <c r="L23" s="616"/>
      <c r="M23" s="615">
        <f t="shared" si="10"/>
        <v>0</v>
      </c>
      <c r="N23" s="616"/>
      <c r="O23" s="616"/>
      <c r="P23" s="616"/>
      <c r="Q23" s="616"/>
      <c r="R23" s="616"/>
      <c r="S23" s="615">
        <f t="shared" si="19"/>
        <v>0</v>
      </c>
      <c r="T23" s="615">
        <f t="shared" si="20"/>
        <v>0</v>
      </c>
      <c r="U23" s="616"/>
      <c r="V23" s="616"/>
      <c r="W23" s="616"/>
      <c r="X23" s="616"/>
      <c r="Y23" s="616"/>
      <c r="Z23" s="616"/>
      <c r="AA23" s="615">
        <f t="shared" si="21"/>
        <v>0</v>
      </c>
      <c r="AB23" s="616"/>
      <c r="AC23" s="616"/>
      <c r="AD23" s="616"/>
      <c r="AE23" s="616"/>
      <c r="AF23" s="616"/>
      <c r="AG23" s="615">
        <f t="shared" si="22"/>
        <v>0</v>
      </c>
      <c r="AH23" s="615">
        <f t="shared" si="23"/>
        <v>0</v>
      </c>
      <c r="AI23" s="616">
        <f t="shared" si="24"/>
        <v>0</v>
      </c>
      <c r="AJ23" s="616">
        <f t="shared" si="25"/>
        <v>0</v>
      </c>
      <c r="AK23" s="616">
        <f t="shared" si="26"/>
        <v>0</v>
      </c>
      <c r="AL23" s="616">
        <f t="shared" si="27"/>
        <v>0</v>
      </c>
      <c r="AM23" s="616">
        <f t="shared" si="28"/>
        <v>0</v>
      </c>
      <c r="AN23" s="616">
        <f t="shared" si="29"/>
        <v>0</v>
      </c>
      <c r="AO23" s="615">
        <f t="shared" si="30"/>
        <v>0</v>
      </c>
      <c r="AP23" s="616">
        <f t="shared" si="31"/>
        <v>0</v>
      </c>
      <c r="AQ23" s="616">
        <f t="shared" si="32"/>
        <v>0</v>
      </c>
      <c r="AR23" s="616">
        <f t="shared" si="33"/>
        <v>0</v>
      </c>
      <c r="AS23" s="616">
        <f t="shared" si="34"/>
        <v>0</v>
      </c>
      <c r="AT23" s="637">
        <f t="shared" si="35"/>
        <v>0</v>
      </c>
      <c r="AU23" s="638">
        <f t="shared" si="12"/>
        <v>0</v>
      </c>
      <c r="AV23" s="616">
        <f t="shared" si="13"/>
        <v>0</v>
      </c>
      <c r="AW23" s="616">
        <f t="shared" si="14"/>
        <v>0</v>
      </c>
      <c r="AX23" s="616">
        <f t="shared" si="15"/>
        <v>0</v>
      </c>
      <c r="AY23" s="616">
        <f t="shared" si="16"/>
        <v>0</v>
      </c>
      <c r="AZ23" s="616">
        <f t="shared" si="17"/>
        <v>0</v>
      </c>
      <c r="BA23" s="616">
        <f t="shared" si="18"/>
        <v>0</v>
      </c>
      <c r="BB23" s="616"/>
      <c r="BC23" s="615">
        <f t="shared" si="36"/>
        <v>0</v>
      </c>
      <c r="BD23" s="616">
        <f t="shared" si="37"/>
        <v>0</v>
      </c>
      <c r="BE23" s="616">
        <f t="shared" si="38"/>
        <v>0</v>
      </c>
      <c r="BF23" s="616">
        <f t="shared" si="39"/>
        <v>0</v>
      </c>
      <c r="BG23" s="616">
        <f t="shared" si="40"/>
        <v>0</v>
      </c>
      <c r="BH23" s="616">
        <f t="shared" si="41"/>
        <v>0</v>
      </c>
      <c r="BI23" s="616">
        <f t="shared" si="42"/>
        <v>0</v>
      </c>
      <c r="BJ23" s="616"/>
      <c r="BK23" s="615">
        <f t="shared" si="43"/>
        <v>0</v>
      </c>
      <c r="BL23" s="616">
        <f t="shared" si="44"/>
        <v>0</v>
      </c>
      <c r="BM23" s="616">
        <f t="shared" si="45"/>
        <v>0</v>
      </c>
      <c r="BN23" s="616">
        <f t="shared" si="46"/>
        <v>0</v>
      </c>
      <c r="BO23" s="616">
        <f t="shared" si="47"/>
        <v>0</v>
      </c>
      <c r="BP23" s="616">
        <f t="shared" si="48"/>
        <v>0</v>
      </c>
      <c r="BQ23" s="616">
        <f t="shared" si="49"/>
        <v>0</v>
      </c>
      <c r="BR23" s="616">
        <f t="shared" si="50"/>
        <v>0</v>
      </c>
      <c r="BS23" s="304"/>
    </row>
    <row r="24" s="132" customFormat="1" ht="24" spans="1:71">
      <c r="A24" s="497" t="s">
        <v>226</v>
      </c>
      <c r="B24" s="497" t="s">
        <v>206</v>
      </c>
      <c r="C24" s="497" t="s">
        <v>230</v>
      </c>
      <c r="D24" s="497" t="s">
        <v>220</v>
      </c>
      <c r="E24" s="615">
        <f t="shared" si="8"/>
        <v>395.7452</v>
      </c>
      <c r="F24" s="615">
        <f t="shared" si="9"/>
        <v>335.7</v>
      </c>
      <c r="G24" s="616">
        <v>196.692</v>
      </c>
      <c r="H24" s="616"/>
      <c r="I24" s="616">
        <v>64.24</v>
      </c>
      <c r="J24" s="616">
        <v>10.32</v>
      </c>
      <c r="K24" s="616">
        <v>0.888</v>
      </c>
      <c r="L24" s="616">
        <v>63.56</v>
      </c>
      <c r="M24" s="615">
        <f t="shared" si="10"/>
        <v>60.0452</v>
      </c>
      <c r="N24" s="616">
        <v>38.5452</v>
      </c>
      <c r="O24" s="616"/>
      <c r="P24" s="616"/>
      <c r="Q24" s="616"/>
      <c r="R24" s="616">
        <v>21.5</v>
      </c>
      <c r="S24" s="615">
        <f t="shared" si="19"/>
        <v>6.47</v>
      </c>
      <c r="T24" s="615">
        <f t="shared" si="20"/>
        <v>4.36</v>
      </c>
      <c r="U24" s="616">
        <v>4.02</v>
      </c>
      <c r="V24" s="616">
        <v>0.41</v>
      </c>
      <c r="W24" s="616"/>
      <c r="X24" s="616">
        <v>-0.24</v>
      </c>
      <c r="Y24" s="616"/>
      <c r="Z24" s="616">
        <v>0.17</v>
      </c>
      <c r="AA24" s="615">
        <f t="shared" si="21"/>
        <v>2.11</v>
      </c>
      <c r="AB24" s="616">
        <v>0.24</v>
      </c>
      <c r="AC24" s="616"/>
      <c r="AD24" s="616"/>
      <c r="AE24" s="616">
        <v>0.07</v>
      </c>
      <c r="AF24" s="616">
        <v>1.8</v>
      </c>
      <c r="AG24" s="615">
        <f t="shared" si="22"/>
        <v>402.2152</v>
      </c>
      <c r="AH24" s="615">
        <f t="shared" si="23"/>
        <v>340.06</v>
      </c>
      <c r="AI24" s="616">
        <f t="shared" si="24"/>
        <v>200.712</v>
      </c>
      <c r="AJ24" s="616">
        <f t="shared" si="25"/>
        <v>0.41</v>
      </c>
      <c r="AK24" s="616">
        <f t="shared" si="26"/>
        <v>64.24</v>
      </c>
      <c r="AL24" s="616">
        <f t="shared" si="27"/>
        <v>10.08</v>
      </c>
      <c r="AM24" s="616">
        <f t="shared" si="28"/>
        <v>0.888</v>
      </c>
      <c r="AN24" s="616">
        <f t="shared" si="29"/>
        <v>63.73</v>
      </c>
      <c r="AO24" s="615">
        <f t="shared" si="30"/>
        <v>62.1552</v>
      </c>
      <c r="AP24" s="616">
        <f t="shared" si="31"/>
        <v>38.7852</v>
      </c>
      <c r="AQ24" s="616">
        <f t="shared" si="32"/>
        <v>0</v>
      </c>
      <c r="AR24" s="616">
        <f t="shared" si="33"/>
        <v>0</v>
      </c>
      <c r="AS24" s="616">
        <f t="shared" si="34"/>
        <v>0.07</v>
      </c>
      <c r="AT24" s="637">
        <f t="shared" si="35"/>
        <v>23.3</v>
      </c>
      <c r="AU24" s="638">
        <f t="shared" si="12"/>
        <v>128.1762416</v>
      </c>
      <c r="AV24" s="616">
        <f t="shared" si="13"/>
        <v>47.916352</v>
      </c>
      <c r="AW24" s="616">
        <f t="shared" si="14"/>
        <v>23.958176</v>
      </c>
      <c r="AX24" s="616">
        <f t="shared" si="15"/>
        <v>17.968632</v>
      </c>
      <c r="AY24" s="616">
        <f t="shared" si="16"/>
        <v>0.5989544</v>
      </c>
      <c r="AZ24" s="616">
        <f t="shared" si="17"/>
        <v>1.7968632</v>
      </c>
      <c r="BA24" s="616">
        <f t="shared" si="18"/>
        <v>35.937264</v>
      </c>
      <c r="BB24" s="616"/>
      <c r="BC24" s="615">
        <f t="shared" si="36"/>
        <v>1.99876</v>
      </c>
      <c r="BD24" s="616">
        <f t="shared" si="37"/>
        <v>0.7472</v>
      </c>
      <c r="BE24" s="616">
        <f t="shared" si="38"/>
        <v>0.3736</v>
      </c>
      <c r="BF24" s="616">
        <f t="shared" si="39"/>
        <v>0.2802</v>
      </c>
      <c r="BG24" s="616">
        <f t="shared" si="40"/>
        <v>0.00934</v>
      </c>
      <c r="BH24" s="616">
        <f t="shared" si="41"/>
        <v>0.02802</v>
      </c>
      <c r="BI24" s="616">
        <f t="shared" si="42"/>
        <v>0.5604</v>
      </c>
      <c r="BJ24" s="616"/>
      <c r="BK24" s="615">
        <f t="shared" si="43"/>
        <v>130.1750016</v>
      </c>
      <c r="BL24" s="616">
        <f t="shared" si="44"/>
        <v>48.663552</v>
      </c>
      <c r="BM24" s="616">
        <f t="shared" si="45"/>
        <v>24.331776</v>
      </c>
      <c r="BN24" s="616">
        <f t="shared" si="46"/>
        <v>18.248832</v>
      </c>
      <c r="BO24" s="616">
        <f t="shared" si="47"/>
        <v>0.6082944</v>
      </c>
      <c r="BP24" s="616">
        <f t="shared" si="48"/>
        <v>1.8248832</v>
      </c>
      <c r="BQ24" s="616">
        <f t="shared" si="49"/>
        <v>36.497664</v>
      </c>
      <c r="BR24" s="616">
        <f t="shared" si="50"/>
        <v>0</v>
      </c>
      <c r="BS24" s="304"/>
    </row>
    <row r="25" s="132" customFormat="1" ht="24" spans="1:71">
      <c r="A25" s="497" t="s">
        <v>226</v>
      </c>
      <c r="B25" s="497" t="s">
        <v>203</v>
      </c>
      <c r="C25" s="497" t="s">
        <v>231</v>
      </c>
      <c r="D25" s="497" t="s">
        <v>214</v>
      </c>
      <c r="E25" s="615">
        <f t="shared" si="8"/>
        <v>0</v>
      </c>
      <c r="F25" s="615">
        <f t="shared" si="9"/>
        <v>0</v>
      </c>
      <c r="G25" s="616"/>
      <c r="H25" s="616"/>
      <c r="I25" s="616"/>
      <c r="J25" s="616"/>
      <c r="K25" s="616"/>
      <c r="L25" s="616"/>
      <c r="M25" s="615">
        <f t="shared" si="10"/>
        <v>0</v>
      </c>
      <c r="N25" s="616"/>
      <c r="O25" s="616"/>
      <c r="P25" s="616"/>
      <c r="Q25" s="616"/>
      <c r="R25" s="616"/>
      <c r="S25" s="615">
        <f t="shared" si="19"/>
        <v>0</v>
      </c>
      <c r="T25" s="615">
        <f t="shared" si="20"/>
        <v>0</v>
      </c>
      <c r="U25" s="616"/>
      <c r="V25" s="616"/>
      <c r="W25" s="616"/>
      <c r="X25" s="616"/>
      <c r="Y25" s="616"/>
      <c r="Z25" s="616"/>
      <c r="AA25" s="615">
        <f t="shared" si="21"/>
        <v>0</v>
      </c>
      <c r="AB25" s="616"/>
      <c r="AC25" s="616"/>
      <c r="AD25" s="616"/>
      <c r="AE25" s="616"/>
      <c r="AF25" s="616"/>
      <c r="AG25" s="615">
        <f t="shared" si="22"/>
        <v>0</v>
      </c>
      <c r="AH25" s="615">
        <f t="shared" si="23"/>
        <v>0</v>
      </c>
      <c r="AI25" s="616">
        <f t="shared" si="24"/>
        <v>0</v>
      </c>
      <c r="AJ25" s="616">
        <f t="shared" si="25"/>
        <v>0</v>
      </c>
      <c r="AK25" s="616">
        <f t="shared" si="26"/>
        <v>0</v>
      </c>
      <c r="AL25" s="616">
        <f t="shared" si="27"/>
        <v>0</v>
      </c>
      <c r="AM25" s="616">
        <f t="shared" si="28"/>
        <v>0</v>
      </c>
      <c r="AN25" s="616">
        <f t="shared" si="29"/>
        <v>0</v>
      </c>
      <c r="AO25" s="615">
        <f t="shared" si="30"/>
        <v>0</v>
      </c>
      <c r="AP25" s="616">
        <f t="shared" si="31"/>
        <v>0</v>
      </c>
      <c r="AQ25" s="616">
        <f t="shared" si="32"/>
        <v>0</v>
      </c>
      <c r="AR25" s="616">
        <f t="shared" si="33"/>
        <v>0</v>
      </c>
      <c r="AS25" s="616">
        <f t="shared" si="34"/>
        <v>0</v>
      </c>
      <c r="AT25" s="637">
        <f t="shared" si="35"/>
        <v>0</v>
      </c>
      <c r="AU25" s="638">
        <f t="shared" si="12"/>
        <v>0</v>
      </c>
      <c r="AV25" s="616">
        <f t="shared" si="13"/>
        <v>0</v>
      </c>
      <c r="AW25" s="616">
        <f t="shared" si="14"/>
        <v>0</v>
      </c>
      <c r="AX25" s="616">
        <f t="shared" si="15"/>
        <v>0</v>
      </c>
      <c r="AY25" s="616">
        <f t="shared" si="16"/>
        <v>0</v>
      </c>
      <c r="AZ25" s="616">
        <f t="shared" si="17"/>
        <v>0</v>
      </c>
      <c r="BA25" s="616">
        <f t="shared" si="18"/>
        <v>0</v>
      </c>
      <c r="BB25" s="616"/>
      <c r="BC25" s="615">
        <f t="shared" si="36"/>
        <v>0</v>
      </c>
      <c r="BD25" s="616">
        <f t="shared" si="37"/>
        <v>0</v>
      </c>
      <c r="BE25" s="616">
        <f t="shared" si="38"/>
        <v>0</v>
      </c>
      <c r="BF25" s="616">
        <f t="shared" si="39"/>
        <v>0</v>
      </c>
      <c r="BG25" s="616">
        <f t="shared" si="40"/>
        <v>0</v>
      </c>
      <c r="BH25" s="616">
        <f t="shared" si="41"/>
        <v>0</v>
      </c>
      <c r="BI25" s="616">
        <f t="shared" si="42"/>
        <v>0</v>
      </c>
      <c r="BJ25" s="616"/>
      <c r="BK25" s="615">
        <f t="shared" si="43"/>
        <v>0</v>
      </c>
      <c r="BL25" s="616">
        <f t="shared" si="44"/>
        <v>0</v>
      </c>
      <c r="BM25" s="616">
        <f t="shared" si="45"/>
        <v>0</v>
      </c>
      <c r="BN25" s="616">
        <f t="shared" si="46"/>
        <v>0</v>
      </c>
      <c r="BO25" s="616">
        <f t="shared" si="47"/>
        <v>0</v>
      </c>
      <c r="BP25" s="616">
        <f t="shared" si="48"/>
        <v>0</v>
      </c>
      <c r="BQ25" s="616">
        <f t="shared" si="49"/>
        <v>0</v>
      </c>
      <c r="BR25" s="616">
        <f t="shared" si="50"/>
        <v>0</v>
      </c>
      <c r="BS25" s="304"/>
    </row>
    <row r="26" s="132" customFormat="1" ht="24" spans="1:71">
      <c r="A26" s="497" t="s">
        <v>226</v>
      </c>
      <c r="B26" s="497" t="s">
        <v>206</v>
      </c>
      <c r="C26" s="497" t="s">
        <v>232</v>
      </c>
      <c r="D26" s="497" t="s">
        <v>220</v>
      </c>
      <c r="E26" s="615">
        <f t="shared" si="8"/>
        <v>291</v>
      </c>
      <c r="F26" s="615">
        <f t="shared" si="9"/>
        <v>244.45</v>
      </c>
      <c r="G26" s="616">
        <v>136.39</v>
      </c>
      <c r="H26" s="616"/>
      <c r="I26" s="616">
        <v>48.4</v>
      </c>
      <c r="J26" s="616">
        <v>7.92</v>
      </c>
      <c r="K26" s="616">
        <v>1.78</v>
      </c>
      <c r="L26" s="616">
        <v>49.96</v>
      </c>
      <c r="M26" s="615">
        <f t="shared" si="10"/>
        <v>46.55</v>
      </c>
      <c r="N26" s="616">
        <v>29.05</v>
      </c>
      <c r="O26" s="616"/>
      <c r="P26" s="616"/>
      <c r="Q26" s="616"/>
      <c r="R26" s="616">
        <v>17.5</v>
      </c>
      <c r="S26" s="615">
        <f t="shared" si="19"/>
        <v>2.86</v>
      </c>
      <c r="T26" s="615">
        <f t="shared" si="20"/>
        <v>2.33</v>
      </c>
      <c r="U26" s="616">
        <v>1.33</v>
      </c>
      <c r="V26" s="616">
        <v>1.14</v>
      </c>
      <c r="W26" s="616"/>
      <c r="X26" s="616">
        <v>0</v>
      </c>
      <c r="Y26" s="616">
        <v>-0.22</v>
      </c>
      <c r="Z26" s="616">
        <v>0.08</v>
      </c>
      <c r="AA26" s="615">
        <f t="shared" si="21"/>
        <v>0.53</v>
      </c>
      <c r="AB26" s="616">
        <v>0.68</v>
      </c>
      <c r="AC26" s="616"/>
      <c r="AD26" s="616"/>
      <c r="AE26" s="616"/>
      <c r="AF26" s="616">
        <v>-0.15</v>
      </c>
      <c r="AG26" s="615">
        <f t="shared" si="22"/>
        <v>293.86</v>
      </c>
      <c r="AH26" s="615">
        <f t="shared" si="23"/>
        <v>246.78</v>
      </c>
      <c r="AI26" s="616">
        <f t="shared" si="24"/>
        <v>137.72</v>
      </c>
      <c r="AJ26" s="616">
        <f t="shared" si="25"/>
        <v>1.14</v>
      </c>
      <c r="AK26" s="616">
        <f t="shared" si="26"/>
        <v>48.4</v>
      </c>
      <c r="AL26" s="616">
        <f t="shared" si="27"/>
        <v>7.92</v>
      </c>
      <c r="AM26" s="616">
        <f t="shared" si="28"/>
        <v>1.56</v>
      </c>
      <c r="AN26" s="616">
        <f t="shared" si="29"/>
        <v>50.04</v>
      </c>
      <c r="AO26" s="615">
        <f t="shared" si="30"/>
        <v>47.08</v>
      </c>
      <c r="AP26" s="616">
        <f t="shared" si="31"/>
        <v>29.73</v>
      </c>
      <c r="AQ26" s="616">
        <f t="shared" si="32"/>
        <v>0</v>
      </c>
      <c r="AR26" s="616">
        <f t="shared" si="33"/>
        <v>0</v>
      </c>
      <c r="AS26" s="616">
        <f t="shared" si="34"/>
        <v>0</v>
      </c>
      <c r="AT26" s="637">
        <f t="shared" si="35"/>
        <v>17.35</v>
      </c>
      <c r="AU26" s="638">
        <f t="shared" si="12"/>
        <v>91.52352</v>
      </c>
      <c r="AV26" s="616">
        <f t="shared" si="13"/>
        <v>34.2144</v>
      </c>
      <c r="AW26" s="616">
        <f t="shared" si="14"/>
        <v>17.1072</v>
      </c>
      <c r="AX26" s="616">
        <f t="shared" si="15"/>
        <v>12.8304</v>
      </c>
      <c r="AY26" s="616">
        <f t="shared" si="16"/>
        <v>0.42768</v>
      </c>
      <c r="AZ26" s="616">
        <f t="shared" si="17"/>
        <v>1.28304</v>
      </c>
      <c r="BA26" s="616">
        <f t="shared" si="18"/>
        <v>25.6608</v>
      </c>
      <c r="BB26" s="616"/>
      <c r="BC26" s="615">
        <f t="shared" si="36"/>
        <v>1.3482</v>
      </c>
      <c r="BD26" s="616">
        <f t="shared" si="37"/>
        <v>0.504</v>
      </c>
      <c r="BE26" s="616">
        <f t="shared" si="38"/>
        <v>0.252</v>
      </c>
      <c r="BF26" s="616">
        <f t="shared" si="39"/>
        <v>0.189</v>
      </c>
      <c r="BG26" s="616">
        <f t="shared" si="40"/>
        <v>0.0063</v>
      </c>
      <c r="BH26" s="616">
        <f t="shared" si="41"/>
        <v>0.0189</v>
      </c>
      <c r="BI26" s="616">
        <f t="shared" si="42"/>
        <v>0.378</v>
      </c>
      <c r="BJ26" s="616"/>
      <c r="BK26" s="615">
        <f t="shared" si="43"/>
        <v>92.87172</v>
      </c>
      <c r="BL26" s="616">
        <f t="shared" si="44"/>
        <v>34.7184</v>
      </c>
      <c r="BM26" s="616">
        <f t="shared" si="45"/>
        <v>17.3592</v>
      </c>
      <c r="BN26" s="616">
        <f t="shared" si="46"/>
        <v>13.0194</v>
      </c>
      <c r="BO26" s="616">
        <f t="shared" si="47"/>
        <v>0.43398</v>
      </c>
      <c r="BP26" s="616">
        <f t="shared" si="48"/>
        <v>1.30194</v>
      </c>
      <c r="BQ26" s="616">
        <f t="shared" si="49"/>
        <v>26.0388</v>
      </c>
      <c r="BR26" s="616">
        <f t="shared" si="50"/>
        <v>0</v>
      </c>
      <c r="BS26" s="304"/>
    </row>
    <row r="27" s="132" customFormat="1" ht="24" spans="1:71">
      <c r="A27" s="497" t="s">
        <v>226</v>
      </c>
      <c r="B27" s="497" t="s">
        <v>203</v>
      </c>
      <c r="C27" s="497" t="s">
        <v>233</v>
      </c>
      <c r="D27" s="497" t="s">
        <v>214</v>
      </c>
      <c r="E27" s="615">
        <f t="shared" si="8"/>
        <v>0</v>
      </c>
      <c r="F27" s="615">
        <f t="shared" si="9"/>
        <v>0</v>
      </c>
      <c r="G27" s="616"/>
      <c r="H27" s="616"/>
      <c r="I27" s="616"/>
      <c r="J27" s="616"/>
      <c r="K27" s="616"/>
      <c r="L27" s="616"/>
      <c r="M27" s="615">
        <f t="shared" si="10"/>
        <v>0</v>
      </c>
      <c r="N27" s="616"/>
      <c r="O27" s="616"/>
      <c r="P27" s="616"/>
      <c r="Q27" s="616"/>
      <c r="R27" s="616"/>
      <c r="S27" s="615">
        <f t="shared" si="19"/>
        <v>0</v>
      </c>
      <c r="T27" s="615">
        <f t="shared" si="20"/>
        <v>0</v>
      </c>
      <c r="U27" s="616"/>
      <c r="V27" s="616"/>
      <c r="W27" s="616"/>
      <c r="X27" s="616"/>
      <c r="Y27" s="616"/>
      <c r="Z27" s="616"/>
      <c r="AA27" s="615">
        <f t="shared" si="21"/>
        <v>0</v>
      </c>
      <c r="AB27" s="616"/>
      <c r="AC27" s="616"/>
      <c r="AD27" s="616"/>
      <c r="AE27" s="616"/>
      <c r="AF27" s="616"/>
      <c r="AG27" s="615">
        <f t="shared" si="22"/>
        <v>0</v>
      </c>
      <c r="AH27" s="615">
        <f t="shared" si="23"/>
        <v>0</v>
      </c>
      <c r="AI27" s="616">
        <f t="shared" si="24"/>
        <v>0</v>
      </c>
      <c r="AJ27" s="616">
        <f t="shared" si="25"/>
        <v>0</v>
      </c>
      <c r="AK27" s="616">
        <f t="shared" si="26"/>
        <v>0</v>
      </c>
      <c r="AL27" s="616">
        <f t="shared" si="27"/>
        <v>0</v>
      </c>
      <c r="AM27" s="616">
        <f t="shared" si="28"/>
        <v>0</v>
      </c>
      <c r="AN27" s="616">
        <f t="shared" si="29"/>
        <v>0</v>
      </c>
      <c r="AO27" s="615">
        <f t="shared" si="30"/>
        <v>0</v>
      </c>
      <c r="AP27" s="616">
        <f t="shared" si="31"/>
        <v>0</v>
      </c>
      <c r="AQ27" s="616">
        <f t="shared" si="32"/>
        <v>0</v>
      </c>
      <c r="AR27" s="616">
        <f t="shared" si="33"/>
        <v>0</v>
      </c>
      <c r="AS27" s="616">
        <f t="shared" si="34"/>
        <v>0</v>
      </c>
      <c r="AT27" s="637">
        <f t="shared" si="35"/>
        <v>0</v>
      </c>
      <c r="AU27" s="638">
        <f t="shared" si="12"/>
        <v>0</v>
      </c>
      <c r="AV27" s="616">
        <f t="shared" si="13"/>
        <v>0</v>
      </c>
      <c r="AW27" s="616">
        <f t="shared" si="14"/>
        <v>0</v>
      </c>
      <c r="AX27" s="616">
        <f t="shared" si="15"/>
        <v>0</v>
      </c>
      <c r="AY27" s="616">
        <f t="shared" si="16"/>
        <v>0</v>
      </c>
      <c r="AZ27" s="616">
        <f t="shared" si="17"/>
        <v>0</v>
      </c>
      <c r="BA27" s="616">
        <f t="shared" si="18"/>
        <v>0</v>
      </c>
      <c r="BB27" s="616"/>
      <c r="BC27" s="615">
        <f t="shared" si="36"/>
        <v>0</v>
      </c>
      <c r="BD27" s="616">
        <f t="shared" si="37"/>
        <v>0</v>
      </c>
      <c r="BE27" s="616">
        <f t="shared" si="38"/>
        <v>0</v>
      </c>
      <c r="BF27" s="616">
        <f t="shared" si="39"/>
        <v>0</v>
      </c>
      <c r="BG27" s="616">
        <f t="shared" si="40"/>
        <v>0</v>
      </c>
      <c r="BH27" s="616">
        <f t="shared" si="41"/>
        <v>0</v>
      </c>
      <c r="BI27" s="616">
        <f t="shared" si="42"/>
        <v>0</v>
      </c>
      <c r="BJ27" s="616"/>
      <c r="BK27" s="615">
        <f t="shared" si="43"/>
        <v>0</v>
      </c>
      <c r="BL27" s="616">
        <f t="shared" si="44"/>
        <v>0</v>
      </c>
      <c r="BM27" s="616">
        <f t="shared" si="45"/>
        <v>0</v>
      </c>
      <c r="BN27" s="616">
        <f t="shared" si="46"/>
        <v>0</v>
      </c>
      <c r="BO27" s="616">
        <f t="shared" si="47"/>
        <v>0</v>
      </c>
      <c r="BP27" s="616">
        <f t="shared" si="48"/>
        <v>0</v>
      </c>
      <c r="BQ27" s="616">
        <f t="shared" si="49"/>
        <v>0</v>
      </c>
      <c r="BR27" s="616">
        <f t="shared" si="50"/>
        <v>0</v>
      </c>
      <c r="BS27" s="304"/>
    </row>
    <row r="28" s="132" customFormat="1" ht="24" spans="1:71">
      <c r="A28" s="497" t="s">
        <v>226</v>
      </c>
      <c r="B28" s="497" t="s">
        <v>206</v>
      </c>
      <c r="C28" s="497" t="s">
        <v>234</v>
      </c>
      <c r="D28" s="497" t="s">
        <v>220</v>
      </c>
      <c r="E28" s="615">
        <f t="shared" si="8"/>
        <v>327.97</v>
      </c>
      <c r="F28" s="615">
        <f t="shared" si="9"/>
        <v>275.79</v>
      </c>
      <c r="G28" s="616">
        <v>151.52</v>
      </c>
      <c r="H28" s="616"/>
      <c r="I28" s="616">
        <v>55.3</v>
      </c>
      <c r="J28" s="616">
        <v>13.68</v>
      </c>
      <c r="K28" s="616">
        <v>1.82</v>
      </c>
      <c r="L28" s="616">
        <v>53.47</v>
      </c>
      <c r="M28" s="615">
        <f t="shared" si="10"/>
        <v>52.18</v>
      </c>
      <c r="N28" s="616">
        <v>33.18</v>
      </c>
      <c r="O28" s="616"/>
      <c r="P28" s="616"/>
      <c r="Q28" s="616"/>
      <c r="R28" s="616">
        <v>19</v>
      </c>
      <c r="S28" s="615">
        <f t="shared" si="19"/>
        <v>-11.3</v>
      </c>
      <c r="T28" s="615">
        <f t="shared" si="20"/>
        <v>-12.04</v>
      </c>
      <c r="U28" s="616">
        <v>-7.49</v>
      </c>
      <c r="V28" s="616">
        <v>-1.73</v>
      </c>
      <c r="W28" s="616"/>
      <c r="X28" s="616">
        <v>-0.74</v>
      </c>
      <c r="Y28" s="616"/>
      <c r="Z28" s="616">
        <v>-2.08</v>
      </c>
      <c r="AA28" s="615">
        <f t="shared" si="21"/>
        <v>0.74</v>
      </c>
      <c r="AB28" s="616">
        <v>-1.25</v>
      </c>
      <c r="AC28" s="616"/>
      <c r="AD28" s="616"/>
      <c r="AE28" s="616">
        <f>-0.11+1.35</f>
        <v>1.24</v>
      </c>
      <c r="AF28" s="616">
        <v>0.75</v>
      </c>
      <c r="AG28" s="615">
        <f t="shared" si="22"/>
        <v>316.67</v>
      </c>
      <c r="AH28" s="615">
        <f t="shared" si="23"/>
        <v>263.75</v>
      </c>
      <c r="AI28" s="616">
        <f t="shared" si="24"/>
        <v>144.03</v>
      </c>
      <c r="AJ28" s="616">
        <f t="shared" si="25"/>
        <v>-1.73</v>
      </c>
      <c r="AK28" s="616">
        <f t="shared" si="26"/>
        <v>55.3</v>
      </c>
      <c r="AL28" s="616">
        <f t="shared" si="27"/>
        <v>12.94</v>
      </c>
      <c r="AM28" s="616">
        <f t="shared" si="28"/>
        <v>1.82</v>
      </c>
      <c r="AN28" s="616">
        <f t="shared" si="29"/>
        <v>51.39</v>
      </c>
      <c r="AO28" s="615">
        <f t="shared" si="30"/>
        <v>52.92</v>
      </c>
      <c r="AP28" s="616">
        <f t="shared" si="31"/>
        <v>31.93</v>
      </c>
      <c r="AQ28" s="616">
        <f t="shared" si="32"/>
        <v>0</v>
      </c>
      <c r="AR28" s="616">
        <f t="shared" si="33"/>
        <v>0</v>
      </c>
      <c r="AS28" s="616">
        <f t="shared" si="34"/>
        <v>1.24</v>
      </c>
      <c r="AT28" s="637">
        <f t="shared" si="35"/>
        <v>19.75</v>
      </c>
      <c r="AU28" s="638">
        <f t="shared" si="12"/>
        <v>102.72</v>
      </c>
      <c r="AV28" s="616">
        <f t="shared" si="13"/>
        <v>38.4</v>
      </c>
      <c r="AW28" s="616">
        <f t="shared" si="14"/>
        <v>19.2</v>
      </c>
      <c r="AX28" s="616">
        <f t="shared" si="15"/>
        <v>14.4</v>
      </c>
      <c r="AY28" s="616">
        <f t="shared" si="16"/>
        <v>0.48</v>
      </c>
      <c r="AZ28" s="616">
        <f t="shared" si="17"/>
        <v>1.44</v>
      </c>
      <c r="BA28" s="616">
        <f t="shared" si="18"/>
        <v>28.8</v>
      </c>
      <c r="BB28" s="616"/>
      <c r="BC28" s="615">
        <f t="shared" si="36"/>
        <v>-4.48116</v>
      </c>
      <c r="BD28" s="616">
        <f t="shared" si="37"/>
        <v>-1.6752</v>
      </c>
      <c r="BE28" s="616">
        <f t="shared" si="38"/>
        <v>-0.8376</v>
      </c>
      <c r="BF28" s="616">
        <f t="shared" si="39"/>
        <v>-0.6282</v>
      </c>
      <c r="BG28" s="616">
        <f t="shared" si="40"/>
        <v>-0.02094</v>
      </c>
      <c r="BH28" s="616">
        <f t="shared" si="41"/>
        <v>-0.06282</v>
      </c>
      <c r="BI28" s="616">
        <f t="shared" si="42"/>
        <v>-1.2564</v>
      </c>
      <c r="BJ28" s="616"/>
      <c r="BK28" s="615">
        <f t="shared" si="43"/>
        <v>98.23884</v>
      </c>
      <c r="BL28" s="616">
        <f t="shared" si="44"/>
        <v>36.7248</v>
      </c>
      <c r="BM28" s="616">
        <f t="shared" si="45"/>
        <v>18.3624</v>
      </c>
      <c r="BN28" s="616">
        <f t="shared" si="46"/>
        <v>13.7718</v>
      </c>
      <c r="BO28" s="616">
        <f t="shared" si="47"/>
        <v>0.45906</v>
      </c>
      <c r="BP28" s="616">
        <f t="shared" si="48"/>
        <v>1.37718</v>
      </c>
      <c r="BQ28" s="616">
        <f t="shared" si="49"/>
        <v>27.5436</v>
      </c>
      <c r="BR28" s="616">
        <f t="shared" si="50"/>
        <v>0</v>
      </c>
      <c r="BS28" s="304"/>
    </row>
    <row r="29" s="131" customFormat="1" ht="24" spans="1:71">
      <c r="A29" s="497" t="s">
        <v>226</v>
      </c>
      <c r="B29" s="497" t="s">
        <v>203</v>
      </c>
      <c r="C29" s="497" t="s">
        <v>235</v>
      </c>
      <c r="D29" s="497" t="s">
        <v>214</v>
      </c>
      <c r="E29" s="617">
        <f t="shared" si="8"/>
        <v>0</v>
      </c>
      <c r="F29" s="617">
        <f t="shared" si="9"/>
        <v>0</v>
      </c>
      <c r="G29" s="618"/>
      <c r="H29" s="618"/>
      <c r="I29" s="618"/>
      <c r="J29" s="618"/>
      <c r="K29" s="618"/>
      <c r="L29" s="618"/>
      <c r="M29" s="617">
        <f t="shared" si="10"/>
        <v>0</v>
      </c>
      <c r="N29" s="618"/>
      <c r="O29" s="618"/>
      <c r="P29" s="618"/>
      <c r="Q29" s="618"/>
      <c r="R29" s="618"/>
      <c r="S29" s="615">
        <f t="shared" si="19"/>
        <v>0</v>
      </c>
      <c r="T29" s="615">
        <f t="shared" si="20"/>
        <v>0</v>
      </c>
      <c r="U29" s="616"/>
      <c r="V29" s="616"/>
      <c r="W29" s="616"/>
      <c r="X29" s="616"/>
      <c r="Y29" s="616"/>
      <c r="Z29" s="616"/>
      <c r="AA29" s="615">
        <f t="shared" si="21"/>
        <v>0</v>
      </c>
      <c r="AB29" s="616"/>
      <c r="AC29" s="616"/>
      <c r="AD29" s="616"/>
      <c r="AE29" s="616"/>
      <c r="AF29" s="616"/>
      <c r="AG29" s="615">
        <f t="shared" si="22"/>
        <v>0</v>
      </c>
      <c r="AH29" s="615">
        <f t="shared" si="23"/>
        <v>0</v>
      </c>
      <c r="AI29" s="616">
        <f t="shared" si="24"/>
        <v>0</v>
      </c>
      <c r="AJ29" s="616">
        <f t="shared" si="25"/>
        <v>0</v>
      </c>
      <c r="AK29" s="616">
        <f t="shared" si="26"/>
        <v>0</v>
      </c>
      <c r="AL29" s="616">
        <f t="shared" si="27"/>
        <v>0</v>
      </c>
      <c r="AM29" s="616">
        <f t="shared" si="28"/>
        <v>0</v>
      </c>
      <c r="AN29" s="616">
        <f t="shared" si="29"/>
        <v>0</v>
      </c>
      <c r="AO29" s="615">
        <f t="shared" si="30"/>
        <v>0</v>
      </c>
      <c r="AP29" s="616">
        <f t="shared" si="31"/>
        <v>0</v>
      </c>
      <c r="AQ29" s="616">
        <f t="shared" si="32"/>
        <v>0</v>
      </c>
      <c r="AR29" s="616">
        <f t="shared" si="33"/>
        <v>0</v>
      </c>
      <c r="AS29" s="616">
        <f t="shared" si="34"/>
        <v>0</v>
      </c>
      <c r="AT29" s="637">
        <f t="shared" si="35"/>
        <v>0</v>
      </c>
      <c r="AU29" s="639">
        <f t="shared" si="12"/>
        <v>0</v>
      </c>
      <c r="AV29" s="618">
        <f t="shared" si="13"/>
        <v>0</v>
      </c>
      <c r="AW29" s="618">
        <f t="shared" si="14"/>
        <v>0</v>
      </c>
      <c r="AX29" s="618">
        <f t="shared" si="15"/>
        <v>0</v>
      </c>
      <c r="AY29" s="618">
        <f t="shared" si="16"/>
        <v>0</v>
      </c>
      <c r="AZ29" s="618">
        <f t="shared" si="17"/>
        <v>0</v>
      </c>
      <c r="BA29" s="618">
        <f t="shared" si="18"/>
        <v>0</v>
      </c>
      <c r="BB29" s="618"/>
      <c r="BC29" s="615">
        <f t="shared" si="36"/>
        <v>0</v>
      </c>
      <c r="BD29" s="616">
        <f t="shared" si="37"/>
        <v>0</v>
      </c>
      <c r="BE29" s="616">
        <f t="shared" si="38"/>
        <v>0</v>
      </c>
      <c r="BF29" s="616">
        <f t="shared" si="39"/>
        <v>0</v>
      </c>
      <c r="BG29" s="616">
        <f t="shared" si="40"/>
        <v>0</v>
      </c>
      <c r="BH29" s="616">
        <f t="shared" si="41"/>
        <v>0</v>
      </c>
      <c r="BI29" s="616">
        <f t="shared" si="42"/>
        <v>0</v>
      </c>
      <c r="BJ29" s="616"/>
      <c r="BK29" s="615">
        <f t="shared" si="43"/>
        <v>0</v>
      </c>
      <c r="BL29" s="616">
        <f t="shared" si="44"/>
        <v>0</v>
      </c>
      <c r="BM29" s="616">
        <f t="shared" si="45"/>
        <v>0</v>
      </c>
      <c r="BN29" s="616">
        <f t="shared" si="46"/>
        <v>0</v>
      </c>
      <c r="BO29" s="616">
        <f t="shared" si="47"/>
        <v>0</v>
      </c>
      <c r="BP29" s="616">
        <f t="shared" si="48"/>
        <v>0</v>
      </c>
      <c r="BQ29" s="616">
        <f t="shared" si="49"/>
        <v>0</v>
      </c>
      <c r="BR29" s="616">
        <f t="shared" si="50"/>
        <v>0</v>
      </c>
      <c r="BS29" s="304"/>
    </row>
    <row r="30" s="131" customFormat="1" ht="24" spans="1:71">
      <c r="A30" s="497" t="s">
        <v>226</v>
      </c>
      <c r="B30" s="497" t="s">
        <v>206</v>
      </c>
      <c r="C30" s="497" t="s">
        <v>236</v>
      </c>
      <c r="D30" s="497" t="s">
        <v>220</v>
      </c>
      <c r="E30" s="617">
        <f t="shared" si="8"/>
        <v>376.55</v>
      </c>
      <c r="F30" s="617">
        <f t="shared" si="9"/>
        <v>317.88</v>
      </c>
      <c r="G30" s="618">
        <v>182.26</v>
      </c>
      <c r="H30" s="618"/>
      <c r="I30" s="618">
        <v>63.3</v>
      </c>
      <c r="J30" s="618">
        <v>9.6</v>
      </c>
      <c r="K30" s="618">
        <v>2.4</v>
      </c>
      <c r="L30" s="618">
        <v>60.32</v>
      </c>
      <c r="M30" s="617">
        <f t="shared" si="10"/>
        <v>58.67</v>
      </c>
      <c r="N30" s="618">
        <v>37.67</v>
      </c>
      <c r="O30" s="618"/>
      <c r="P30" s="618"/>
      <c r="Q30" s="618"/>
      <c r="R30" s="618">
        <v>21</v>
      </c>
      <c r="S30" s="615">
        <f t="shared" si="19"/>
        <v>-4.79</v>
      </c>
      <c r="T30" s="615">
        <f t="shared" si="20"/>
        <v>-6.04</v>
      </c>
      <c r="U30" s="616">
        <v>-1.92</v>
      </c>
      <c r="V30" s="616">
        <v>-1.29</v>
      </c>
      <c r="W30" s="616"/>
      <c r="X30" s="616">
        <v>-0.39</v>
      </c>
      <c r="Y30" s="616">
        <v>-0.35</v>
      </c>
      <c r="Z30" s="616">
        <v>-2.09</v>
      </c>
      <c r="AA30" s="615">
        <f t="shared" si="21"/>
        <v>1.25</v>
      </c>
      <c r="AB30" s="616">
        <v>-0.44</v>
      </c>
      <c r="AC30" s="616"/>
      <c r="AD30" s="616"/>
      <c r="AE30" s="616">
        <v>0.15</v>
      </c>
      <c r="AF30" s="616">
        <v>1.54</v>
      </c>
      <c r="AG30" s="615">
        <f t="shared" si="22"/>
        <v>371.76</v>
      </c>
      <c r="AH30" s="615">
        <f t="shared" si="23"/>
        <v>311.84</v>
      </c>
      <c r="AI30" s="616">
        <f t="shared" si="24"/>
        <v>180.34</v>
      </c>
      <c r="AJ30" s="616">
        <f t="shared" si="25"/>
        <v>-1.29</v>
      </c>
      <c r="AK30" s="616">
        <f t="shared" si="26"/>
        <v>63.3</v>
      </c>
      <c r="AL30" s="616">
        <f t="shared" si="27"/>
        <v>9.21</v>
      </c>
      <c r="AM30" s="616">
        <f t="shared" si="28"/>
        <v>2.05</v>
      </c>
      <c r="AN30" s="616">
        <f t="shared" si="29"/>
        <v>58.23</v>
      </c>
      <c r="AO30" s="615">
        <f t="shared" si="30"/>
        <v>59.92</v>
      </c>
      <c r="AP30" s="616">
        <f t="shared" si="31"/>
        <v>37.23</v>
      </c>
      <c r="AQ30" s="616">
        <f t="shared" si="32"/>
        <v>0</v>
      </c>
      <c r="AR30" s="616">
        <f t="shared" si="33"/>
        <v>0</v>
      </c>
      <c r="AS30" s="616">
        <f t="shared" si="34"/>
        <v>0.15</v>
      </c>
      <c r="AT30" s="637">
        <f t="shared" si="35"/>
        <v>22.54</v>
      </c>
      <c r="AU30" s="639">
        <f t="shared" si="12"/>
        <v>121.22244</v>
      </c>
      <c r="AV30" s="618">
        <f t="shared" si="13"/>
        <v>45.3168</v>
      </c>
      <c r="AW30" s="618">
        <f t="shared" si="14"/>
        <v>22.6584</v>
      </c>
      <c r="AX30" s="618">
        <f t="shared" si="15"/>
        <v>16.9938</v>
      </c>
      <c r="AY30" s="618">
        <f t="shared" si="16"/>
        <v>0.56646</v>
      </c>
      <c r="AZ30" s="618">
        <f t="shared" si="17"/>
        <v>1.69938</v>
      </c>
      <c r="BA30" s="618">
        <f t="shared" si="18"/>
        <v>33.9876</v>
      </c>
      <c r="BB30" s="618"/>
      <c r="BC30" s="615">
        <f t="shared" si="36"/>
        <v>-1.5622</v>
      </c>
      <c r="BD30" s="616">
        <f t="shared" si="37"/>
        <v>-0.584</v>
      </c>
      <c r="BE30" s="616">
        <f t="shared" si="38"/>
        <v>-0.292</v>
      </c>
      <c r="BF30" s="616">
        <f t="shared" si="39"/>
        <v>-0.219</v>
      </c>
      <c r="BG30" s="616">
        <f t="shared" si="40"/>
        <v>-0.0073</v>
      </c>
      <c r="BH30" s="616">
        <f t="shared" si="41"/>
        <v>-0.0219</v>
      </c>
      <c r="BI30" s="616">
        <f t="shared" si="42"/>
        <v>-0.438</v>
      </c>
      <c r="BJ30" s="616"/>
      <c r="BK30" s="615">
        <f t="shared" si="43"/>
        <v>119.66024</v>
      </c>
      <c r="BL30" s="616">
        <f t="shared" si="44"/>
        <v>44.7328</v>
      </c>
      <c r="BM30" s="616">
        <f t="shared" si="45"/>
        <v>22.3664</v>
      </c>
      <c r="BN30" s="616">
        <f t="shared" si="46"/>
        <v>16.7748</v>
      </c>
      <c r="BO30" s="616">
        <f t="shared" si="47"/>
        <v>0.55916</v>
      </c>
      <c r="BP30" s="616">
        <f t="shared" si="48"/>
        <v>1.67748</v>
      </c>
      <c r="BQ30" s="616">
        <f t="shared" si="49"/>
        <v>33.5496</v>
      </c>
      <c r="BR30" s="616">
        <f t="shared" si="50"/>
        <v>0</v>
      </c>
      <c r="BS30" s="304"/>
    </row>
    <row r="31" s="132" customFormat="1" ht="24" spans="1:71">
      <c r="A31" s="497" t="s">
        <v>226</v>
      </c>
      <c r="B31" s="497" t="s">
        <v>203</v>
      </c>
      <c r="C31" s="497" t="s">
        <v>237</v>
      </c>
      <c r="D31" s="497" t="s">
        <v>214</v>
      </c>
      <c r="E31" s="615">
        <f t="shared" si="8"/>
        <v>0</v>
      </c>
      <c r="F31" s="615">
        <f t="shared" si="9"/>
        <v>0</v>
      </c>
      <c r="G31" s="616"/>
      <c r="H31" s="616"/>
      <c r="I31" s="616"/>
      <c r="J31" s="616"/>
      <c r="K31" s="616"/>
      <c r="L31" s="616"/>
      <c r="M31" s="615">
        <f t="shared" si="10"/>
        <v>0</v>
      </c>
      <c r="N31" s="616"/>
      <c r="O31" s="616"/>
      <c r="P31" s="616"/>
      <c r="Q31" s="616"/>
      <c r="R31" s="616"/>
      <c r="S31" s="615">
        <f t="shared" si="19"/>
        <v>0</v>
      </c>
      <c r="T31" s="615">
        <f t="shared" si="20"/>
        <v>0</v>
      </c>
      <c r="U31" s="616"/>
      <c r="V31" s="616"/>
      <c r="W31" s="616"/>
      <c r="X31" s="616"/>
      <c r="Y31" s="616"/>
      <c r="Z31" s="616"/>
      <c r="AA31" s="615">
        <f t="shared" si="21"/>
        <v>0</v>
      </c>
      <c r="AB31" s="616"/>
      <c r="AC31" s="616"/>
      <c r="AD31" s="616"/>
      <c r="AE31" s="616"/>
      <c r="AF31" s="616"/>
      <c r="AG31" s="615">
        <f t="shared" si="22"/>
        <v>0</v>
      </c>
      <c r="AH31" s="615">
        <f t="shared" si="23"/>
        <v>0</v>
      </c>
      <c r="AI31" s="616">
        <f t="shared" si="24"/>
        <v>0</v>
      </c>
      <c r="AJ31" s="616">
        <f t="shared" si="25"/>
        <v>0</v>
      </c>
      <c r="AK31" s="616">
        <f t="shared" si="26"/>
        <v>0</v>
      </c>
      <c r="AL31" s="616">
        <f t="shared" si="27"/>
        <v>0</v>
      </c>
      <c r="AM31" s="616">
        <f t="shared" si="28"/>
        <v>0</v>
      </c>
      <c r="AN31" s="616">
        <f t="shared" si="29"/>
        <v>0</v>
      </c>
      <c r="AO31" s="615">
        <f t="shared" si="30"/>
        <v>0</v>
      </c>
      <c r="AP31" s="616">
        <f t="shared" si="31"/>
        <v>0</v>
      </c>
      <c r="AQ31" s="616">
        <f t="shared" si="32"/>
        <v>0</v>
      </c>
      <c r="AR31" s="616">
        <f t="shared" si="33"/>
        <v>0</v>
      </c>
      <c r="AS31" s="616">
        <f t="shared" si="34"/>
        <v>0</v>
      </c>
      <c r="AT31" s="637">
        <f t="shared" si="35"/>
        <v>0</v>
      </c>
      <c r="AU31" s="638">
        <f t="shared" si="12"/>
        <v>0</v>
      </c>
      <c r="AV31" s="616">
        <f t="shared" si="13"/>
        <v>0</v>
      </c>
      <c r="AW31" s="616">
        <f t="shared" si="14"/>
        <v>0</v>
      </c>
      <c r="AX31" s="616">
        <f t="shared" si="15"/>
        <v>0</v>
      </c>
      <c r="AY31" s="616">
        <f t="shared" si="16"/>
        <v>0</v>
      </c>
      <c r="AZ31" s="616">
        <f t="shared" si="17"/>
        <v>0</v>
      </c>
      <c r="BA31" s="616">
        <f t="shared" si="18"/>
        <v>0</v>
      </c>
      <c r="BB31" s="616"/>
      <c r="BC31" s="615">
        <f t="shared" si="36"/>
        <v>0</v>
      </c>
      <c r="BD31" s="616">
        <f t="shared" si="37"/>
        <v>0</v>
      </c>
      <c r="BE31" s="616">
        <f t="shared" si="38"/>
        <v>0</v>
      </c>
      <c r="BF31" s="616">
        <f t="shared" si="39"/>
        <v>0</v>
      </c>
      <c r="BG31" s="616">
        <f t="shared" si="40"/>
        <v>0</v>
      </c>
      <c r="BH31" s="616">
        <f t="shared" si="41"/>
        <v>0</v>
      </c>
      <c r="BI31" s="616">
        <f t="shared" si="42"/>
        <v>0</v>
      </c>
      <c r="BJ31" s="616"/>
      <c r="BK31" s="615">
        <f t="shared" si="43"/>
        <v>0</v>
      </c>
      <c r="BL31" s="616">
        <f t="shared" si="44"/>
        <v>0</v>
      </c>
      <c r="BM31" s="616">
        <f t="shared" si="45"/>
        <v>0</v>
      </c>
      <c r="BN31" s="616">
        <f t="shared" si="46"/>
        <v>0</v>
      </c>
      <c r="BO31" s="616">
        <f t="shared" si="47"/>
        <v>0</v>
      </c>
      <c r="BP31" s="616">
        <f t="shared" si="48"/>
        <v>0</v>
      </c>
      <c r="BQ31" s="616">
        <f t="shared" si="49"/>
        <v>0</v>
      </c>
      <c r="BR31" s="616">
        <f t="shared" si="50"/>
        <v>0</v>
      </c>
      <c r="BS31" s="304"/>
    </row>
    <row r="32" s="132" customFormat="1" ht="24" spans="1:71">
      <c r="A32" s="497" t="s">
        <v>226</v>
      </c>
      <c r="B32" s="497" t="s">
        <v>206</v>
      </c>
      <c r="C32" s="497" t="s">
        <v>238</v>
      </c>
      <c r="D32" s="497" t="s">
        <v>220</v>
      </c>
      <c r="E32" s="615">
        <f t="shared" si="8"/>
        <v>170.4276</v>
      </c>
      <c r="F32" s="615">
        <f t="shared" si="9"/>
        <v>141.3276</v>
      </c>
      <c r="G32" s="616">
        <v>71.3028</v>
      </c>
      <c r="H32" s="616"/>
      <c r="I32" s="616">
        <v>30.1668</v>
      </c>
      <c r="J32" s="616">
        <v>9.6</v>
      </c>
      <c r="K32" s="616">
        <v>0.888</v>
      </c>
      <c r="L32" s="616">
        <v>29.37</v>
      </c>
      <c r="M32" s="615">
        <f t="shared" si="10"/>
        <v>29.1</v>
      </c>
      <c r="N32" s="616">
        <v>18.1</v>
      </c>
      <c r="O32" s="616"/>
      <c r="P32" s="616"/>
      <c r="Q32" s="616"/>
      <c r="R32" s="616">
        <v>11</v>
      </c>
      <c r="S32" s="615">
        <f t="shared" si="19"/>
        <v>37.07</v>
      </c>
      <c r="T32" s="615">
        <f t="shared" si="20"/>
        <v>21.98</v>
      </c>
      <c r="U32" s="616">
        <v>11.54</v>
      </c>
      <c r="V32" s="616">
        <v>3.74</v>
      </c>
      <c r="W32" s="616"/>
      <c r="X32" s="616">
        <v>1.32</v>
      </c>
      <c r="Y32" s="616"/>
      <c r="Z32" s="616">
        <v>5.38</v>
      </c>
      <c r="AA32" s="615">
        <f t="shared" si="21"/>
        <v>15.09</v>
      </c>
      <c r="AB32" s="616">
        <v>2.91</v>
      </c>
      <c r="AC32" s="616"/>
      <c r="AD32" s="616"/>
      <c r="AE32" s="616">
        <v>0.6</v>
      </c>
      <c r="AF32" s="616">
        <v>11.58</v>
      </c>
      <c r="AG32" s="615">
        <f t="shared" si="22"/>
        <v>207.4976</v>
      </c>
      <c r="AH32" s="615">
        <f t="shared" si="23"/>
        <v>163.3076</v>
      </c>
      <c r="AI32" s="616">
        <f t="shared" si="24"/>
        <v>82.8428</v>
      </c>
      <c r="AJ32" s="616">
        <f t="shared" si="25"/>
        <v>3.74</v>
      </c>
      <c r="AK32" s="616">
        <f t="shared" si="26"/>
        <v>30.1668</v>
      </c>
      <c r="AL32" s="616">
        <f t="shared" si="27"/>
        <v>10.92</v>
      </c>
      <c r="AM32" s="616">
        <f t="shared" si="28"/>
        <v>0.888</v>
      </c>
      <c r="AN32" s="616">
        <f t="shared" si="29"/>
        <v>34.75</v>
      </c>
      <c r="AO32" s="615">
        <f t="shared" si="30"/>
        <v>44.19</v>
      </c>
      <c r="AP32" s="616">
        <f t="shared" si="31"/>
        <v>21.01</v>
      </c>
      <c r="AQ32" s="616">
        <f t="shared" si="32"/>
        <v>0</v>
      </c>
      <c r="AR32" s="616">
        <f t="shared" si="33"/>
        <v>0</v>
      </c>
      <c r="AS32" s="616">
        <f t="shared" si="34"/>
        <v>0.6</v>
      </c>
      <c r="AT32" s="637">
        <f t="shared" si="35"/>
        <v>22.58</v>
      </c>
      <c r="AU32" s="638">
        <f t="shared" si="12"/>
        <v>51.1757888</v>
      </c>
      <c r="AV32" s="616">
        <f t="shared" si="13"/>
        <v>19.131136</v>
      </c>
      <c r="AW32" s="616">
        <f t="shared" si="14"/>
        <v>9.565568</v>
      </c>
      <c r="AX32" s="616">
        <f t="shared" si="15"/>
        <v>7.174176</v>
      </c>
      <c r="AY32" s="616">
        <f t="shared" si="16"/>
        <v>0.2391392</v>
      </c>
      <c r="AZ32" s="616">
        <f t="shared" si="17"/>
        <v>0.7174176</v>
      </c>
      <c r="BA32" s="616">
        <f t="shared" si="18"/>
        <v>14.348352</v>
      </c>
      <c r="BB32" s="616"/>
      <c r="BC32" s="615">
        <f t="shared" si="36"/>
        <v>7.78532</v>
      </c>
      <c r="BD32" s="616">
        <f t="shared" si="37"/>
        <v>2.9104</v>
      </c>
      <c r="BE32" s="616">
        <f t="shared" si="38"/>
        <v>1.4552</v>
      </c>
      <c r="BF32" s="616">
        <f t="shared" si="39"/>
        <v>1.0914</v>
      </c>
      <c r="BG32" s="616">
        <f t="shared" si="40"/>
        <v>0.03638</v>
      </c>
      <c r="BH32" s="616">
        <f t="shared" si="41"/>
        <v>0.10914</v>
      </c>
      <c r="BI32" s="616">
        <f t="shared" si="42"/>
        <v>2.1828</v>
      </c>
      <c r="BJ32" s="616"/>
      <c r="BK32" s="615">
        <f t="shared" si="43"/>
        <v>58.9611088</v>
      </c>
      <c r="BL32" s="616">
        <f t="shared" si="44"/>
        <v>22.041536</v>
      </c>
      <c r="BM32" s="616">
        <f t="shared" si="45"/>
        <v>11.020768</v>
      </c>
      <c r="BN32" s="616">
        <f t="shared" si="46"/>
        <v>8.265576</v>
      </c>
      <c r="BO32" s="616">
        <f t="shared" si="47"/>
        <v>0.2755192</v>
      </c>
      <c r="BP32" s="616">
        <f t="shared" si="48"/>
        <v>0.8265576</v>
      </c>
      <c r="BQ32" s="616">
        <f t="shared" si="49"/>
        <v>16.531152</v>
      </c>
      <c r="BR32" s="616">
        <f t="shared" si="50"/>
        <v>0</v>
      </c>
      <c r="BS32" s="304"/>
    </row>
    <row r="33" s="132" customFormat="1" ht="24" spans="1:71">
      <c r="A33" s="497" t="s">
        <v>226</v>
      </c>
      <c r="B33" s="497" t="s">
        <v>203</v>
      </c>
      <c r="C33" s="497" t="s">
        <v>239</v>
      </c>
      <c r="D33" s="497" t="s">
        <v>214</v>
      </c>
      <c r="E33" s="615">
        <f t="shared" si="8"/>
        <v>0</v>
      </c>
      <c r="F33" s="615">
        <f t="shared" si="9"/>
        <v>0</v>
      </c>
      <c r="G33" s="616"/>
      <c r="H33" s="616"/>
      <c r="I33" s="616"/>
      <c r="J33" s="616"/>
      <c r="K33" s="616"/>
      <c r="L33" s="616"/>
      <c r="M33" s="615">
        <f t="shared" si="10"/>
        <v>0</v>
      </c>
      <c r="N33" s="616"/>
      <c r="O33" s="616"/>
      <c r="P33" s="616"/>
      <c r="Q33" s="616"/>
      <c r="R33" s="616"/>
      <c r="S33" s="615">
        <f t="shared" si="19"/>
        <v>0</v>
      </c>
      <c r="T33" s="615">
        <f t="shared" si="20"/>
        <v>0</v>
      </c>
      <c r="U33" s="616"/>
      <c r="V33" s="616"/>
      <c r="W33" s="616"/>
      <c r="X33" s="616"/>
      <c r="Y33" s="616"/>
      <c r="Z33" s="616"/>
      <c r="AA33" s="615">
        <f t="shared" si="21"/>
        <v>0</v>
      </c>
      <c r="AB33" s="616"/>
      <c r="AC33" s="616"/>
      <c r="AD33" s="616"/>
      <c r="AE33" s="616"/>
      <c r="AF33" s="616"/>
      <c r="AG33" s="615">
        <f t="shared" si="22"/>
        <v>0</v>
      </c>
      <c r="AH33" s="615">
        <f t="shared" si="23"/>
        <v>0</v>
      </c>
      <c r="AI33" s="616">
        <f t="shared" si="24"/>
        <v>0</v>
      </c>
      <c r="AJ33" s="616">
        <f t="shared" si="25"/>
        <v>0</v>
      </c>
      <c r="AK33" s="616">
        <f t="shared" si="26"/>
        <v>0</v>
      </c>
      <c r="AL33" s="616">
        <f t="shared" si="27"/>
        <v>0</v>
      </c>
      <c r="AM33" s="616">
        <f t="shared" si="28"/>
        <v>0</v>
      </c>
      <c r="AN33" s="616">
        <f t="shared" si="29"/>
        <v>0</v>
      </c>
      <c r="AO33" s="615">
        <f t="shared" si="30"/>
        <v>0</v>
      </c>
      <c r="AP33" s="616">
        <f t="shared" si="31"/>
        <v>0</v>
      </c>
      <c r="AQ33" s="616">
        <f t="shared" si="32"/>
        <v>0</v>
      </c>
      <c r="AR33" s="616">
        <f t="shared" si="33"/>
        <v>0</v>
      </c>
      <c r="AS33" s="616">
        <f t="shared" si="34"/>
        <v>0</v>
      </c>
      <c r="AT33" s="637">
        <f t="shared" si="35"/>
        <v>0</v>
      </c>
      <c r="AU33" s="638">
        <f t="shared" si="12"/>
        <v>0</v>
      </c>
      <c r="AV33" s="616">
        <f t="shared" si="13"/>
        <v>0</v>
      </c>
      <c r="AW33" s="616">
        <f t="shared" si="14"/>
        <v>0</v>
      </c>
      <c r="AX33" s="616">
        <f t="shared" si="15"/>
        <v>0</v>
      </c>
      <c r="AY33" s="616">
        <f t="shared" si="16"/>
        <v>0</v>
      </c>
      <c r="AZ33" s="616">
        <f t="shared" si="17"/>
        <v>0</v>
      </c>
      <c r="BA33" s="616">
        <f t="shared" si="18"/>
        <v>0</v>
      </c>
      <c r="BB33" s="616"/>
      <c r="BC33" s="615">
        <f t="shared" si="36"/>
        <v>0</v>
      </c>
      <c r="BD33" s="616">
        <f t="shared" si="37"/>
        <v>0</v>
      </c>
      <c r="BE33" s="616">
        <f t="shared" si="38"/>
        <v>0</v>
      </c>
      <c r="BF33" s="616">
        <f t="shared" si="39"/>
        <v>0</v>
      </c>
      <c r="BG33" s="616">
        <f t="shared" si="40"/>
        <v>0</v>
      </c>
      <c r="BH33" s="616">
        <f t="shared" si="41"/>
        <v>0</v>
      </c>
      <c r="BI33" s="616">
        <f t="shared" si="42"/>
        <v>0</v>
      </c>
      <c r="BJ33" s="616"/>
      <c r="BK33" s="615">
        <f t="shared" si="43"/>
        <v>0</v>
      </c>
      <c r="BL33" s="616">
        <f t="shared" si="44"/>
        <v>0</v>
      </c>
      <c r="BM33" s="616">
        <f t="shared" si="45"/>
        <v>0</v>
      </c>
      <c r="BN33" s="616">
        <f t="shared" si="46"/>
        <v>0</v>
      </c>
      <c r="BO33" s="616">
        <f t="shared" si="47"/>
        <v>0</v>
      </c>
      <c r="BP33" s="616">
        <f t="shared" si="48"/>
        <v>0</v>
      </c>
      <c r="BQ33" s="616">
        <f t="shared" si="49"/>
        <v>0</v>
      </c>
      <c r="BR33" s="616">
        <f t="shared" si="50"/>
        <v>0</v>
      </c>
      <c r="BS33" s="304"/>
    </row>
    <row r="34" s="132" customFormat="1" ht="24" spans="1:71">
      <c r="A34" s="497" t="s">
        <v>226</v>
      </c>
      <c r="B34" s="497" t="s">
        <v>206</v>
      </c>
      <c r="C34" s="497" t="s">
        <v>240</v>
      </c>
      <c r="D34" s="497" t="s">
        <v>220</v>
      </c>
      <c r="E34" s="615">
        <f t="shared" si="8"/>
        <v>175.28</v>
      </c>
      <c r="F34" s="615">
        <f t="shared" si="9"/>
        <v>144.94</v>
      </c>
      <c r="G34" s="616">
        <v>70.91</v>
      </c>
      <c r="H34" s="616"/>
      <c r="I34" s="616">
        <v>31.42</v>
      </c>
      <c r="J34" s="616">
        <v>10.56</v>
      </c>
      <c r="K34" s="616">
        <v>1.46</v>
      </c>
      <c r="L34" s="616">
        <v>30.59</v>
      </c>
      <c r="M34" s="615">
        <f t="shared" si="10"/>
        <v>30.34</v>
      </c>
      <c r="N34" s="616">
        <v>18.84</v>
      </c>
      <c r="O34" s="616"/>
      <c r="P34" s="616"/>
      <c r="Q34" s="616"/>
      <c r="R34" s="616">
        <v>11.5</v>
      </c>
      <c r="S34" s="615">
        <f t="shared" si="19"/>
        <v>6.58</v>
      </c>
      <c r="T34" s="615">
        <f t="shared" si="20"/>
        <v>4.97</v>
      </c>
      <c r="U34" s="616">
        <v>2.94</v>
      </c>
      <c r="V34" s="616">
        <v>0.93</v>
      </c>
      <c r="W34" s="616"/>
      <c r="X34" s="616">
        <v>-0.56</v>
      </c>
      <c r="Y34" s="616"/>
      <c r="Z34" s="616">
        <v>1.66</v>
      </c>
      <c r="AA34" s="615">
        <f t="shared" si="21"/>
        <v>1.61</v>
      </c>
      <c r="AB34" s="616">
        <v>0.56</v>
      </c>
      <c r="AC34" s="616"/>
      <c r="AD34" s="616"/>
      <c r="AE34" s="616">
        <v>1.05</v>
      </c>
      <c r="AF34" s="616"/>
      <c r="AG34" s="615">
        <f t="shared" si="22"/>
        <v>181.86</v>
      </c>
      <c r="AH34" s="615">
        <f t="shared" si="23"/>
        <v>149.91</v>
      </c>
      <c r="AI34" s="616">
        <f t="shared" si="24"/>
        <v>73.85</v>
      </c>
      <c r="AJ34" s="616">
        <f t="shared" si="25"/>
        <v>0.93</v>
      </c>
      <c r="AK34" s="616">
        <f t="shared" si="26"/>
        <v>31.42</v>
      </c>
      <c r="AL34" s="616">
        <f t="shared" si="27"/>
        <v>10</v>
      </c>
      <c r="AM34" s="616">
        <f t="shared" si="28"/>
        <v>1.46</v>
      </c>
      <c r="AN34" s="616">
        <f t="shared" si="29"/>
        <v>32.25</v>
      </c>
      <c r="AO34" s="615">
        <f t="shared" si="30"/>
        <v>31.95</v>
      </c>
      <c r="AP34" s="616">
        <f t="shared" si="31"/>
        <v>19.4</v>
      </c>
      <c r="AQ34" s="616">
        <f t="shared" si="32"/>
        <v>0</v>
      </c>
      <c r="AR34" s="616">
        <f t="shared" si="33"/>
        <v>0</v>
      </c>
      <c r="AS34" s="616">
        <f t="shared" si="34"/>
        <v>1.05</v>
      </c>
      <c r="AT34" s="637">
        <f t="shared" si="35"/>
        <v>11.5</v>
      </c>
      <c r="AU34" s="638">
        <f t="shared" si="12"/>
        <v>51.86076</v>
      </c>
      <c r="AV34" s="616">
        <f t="shared" si="13"/>
        <v>19.3872</v>
      </c>
      <c r="AW34" s="616">
        <f t="shared" si="14"/>
        <v>9.6936</v>
      </c>
      <c r="AX34" s="616">
        <f t="shared" si="15"/>
        <v>7.2702</v>
      </c>
      <c r="AY34" s="616">
        <f t="shared" si="16"/>
        <v>0.24234</v>
      </c>
      <c r="AZ34" s="616">
        <f t="shared" si="17"/>
        <v>0.72702</v>
      </c>
      <c r="BA34" s="616">
        <f t="shared" si="18"/>
        <v>14.5404</v>
      </c>
      <c r="BB34" s="616"/>
      <c r="BC34" s="615">
        <f t="shared" si="36"/>
        <v>1.89604</v>
      </c>
      <c r="BD34" s="616">
        <f t="shared" si="37"/>
        <v>0.7088</v>
      </c>
      <c r="BE34" s="616">
        <f t="shared" si="38"/>
        <v>0.3544</v>
      </c>
      <c r="BF34" s="616">
        <f t="shared" si="39"/>
        <v>0.2658</v>
      </c>
      <c r="BG34" s="616">
        <f t="shared" si="40"/>
        <v>0.00886</v>
      </c>
      <c r="BH34" s="616">
        <f t="shared" si="41"/>
        <v>0.02658</v>
      </c>
      <c r="BI34" s="616">
        <f t="shared" si="42"/>
        <v>0.5316</v>
      </c>
      <c r="BJ34" s="616"/>
      <c r="BK34" s="615">
        <f t="shared" si="43"/>
        <v>53.7568</v>
      </c>
      <c r="BL34" s="616">
        <f t="shared" si="44"/>
        <v>20.096</v>
      </c>
      <c r="BM34" s="616">
        <f t="shared" si="45"/>
        <v>10.048</v>
      </c>
      <c r="BN34" s="616">
        <f t="shared" si="46"/>
        <v>7.536</v>
      </c>
      <c r="BO34" s="616">
        <f t="shared" si="47"/>
        <v>0.2512</v>
      </c>
      <c r="BP34" s="616">
        <f t="shared" si="48"/>
        <v>0.7536</v>
      </c>
      <c r="BQ34" s="616">
        <f t="shared" si="49"/>
        <v>15.072</v>
      </c>
      <c r="BR34" s="616">
        <f t="shared" si="50"/>
        <v>0</v>
      </c>
      <c r="BS34" s="304"/>
    </row>
    <row r="35" s="132" customFormat="1" ht="24" spans="1:71">
      <c r="A35" s="497" t="s">
        <v>226</v>
      </c>
      <c r="B35" s="497" t="s">
        <v>203</v>
      </c>
      <c r="C35" s="497" t="s">
        <v>241</v>
      </c>
      <c r="D35" s="497" t="s">
        <v>214</v>
      </c>
      <c r="E35" s="615">
        <f t="shared" si="8"/>
        <v>0</v>
      </c>
      <c r="F35" s="615">
        <f t="shared" si="9"/>
        <v>0</v>
      </c>
      <c r="G35" s="616"/>
      <c r="H35" s="616"/>
      <c r="I35" s="616"/>
      <c r="J35" s="616"/>
      <c r="K35" s="616"/>
      <c r="L35" s="616"/>
      <c r="M35" s="615">
        <f t="shared" si="10"/>
        <v>0</v>
      </c>
      <c r="N35" s="616"/>
      <c r="O35" s="616"/>
      <c r="P35" s="616"/>
      <c r="Q35" s="616"/>
      <c r="R35" s="616"/>
      <c r="S35" s="615">
        <f t="shared" si="19"/>
        <v>0</v>
      </c>
      <c r="T35" s="615">
        <f t="shared" si="20"/>
        <v>0</v>
      </c>
      <c r="U35" s="616"/>
      <c r="V35" s="616"/>
      <c r="W35" s="616"/>
      <c r="X35" s="616"/>
      <c r="Y35" s="616"/>
      <c r="Z35" s="616"/>
      <c r="AA35" s="615">
        <f t="shared" si="21"/>
        <v>0</v>
      </c>
      <c r="AB35" s="616"/>
      <c r="AC35" s="616"/>
      <c r="AD35" s="616"/>
      <c r="AE35" s="616"/>
      <c r="AF35" s="616"/>
      <c r="AG35" s="615">
        <f t="shared" si="22"/>
        <v>0</v>
      </c>
      <c r="AH35" s="615">
        <f t="shared" si="23"/>
        <v>0</v>
      </c>
      <c r="AI35" s="616">
        <f t="shared" si="24"/>
        <v>0</v>
      </c>
      <c r="AJ35" s="616">
        <f t="shared" si="25"/>
        <v>0</v>
      </c>
      <c r="AK35" s="616">
        <f t="shared" si="26"/>
        <v>0</v>
      </c>
      <c r="AL35" s="616">
        <f t="shared" si="27"/>
        <v>0</v>
      </c>
      <c r="AM35" s="616">
        <f t="shared" si="28"/>
        <v>0</v>
      </c>
      <c r="AN35" s="616">
        <f t="shared" si="29"/>
        <v>0</v>
      </c>
      <c r="AO35" s="615">
        <f t="shared" si="30"/>
        <v>0</v>
      </c>
      <c r="AP35" s="616">
        <f t="shared" si="31"/>
        <v>0</v>
      </c>
      <c r="AQ35" s="616">
        <f t="shared" si="32"/>
        <v>0</v>
      </c>
      <c r="AR35" s="616">
        <f t="shared" si="33"/>
        <v>0</v>
      </c>
      <c r="AS35" s="616">
        <f t="shared" si="34"/>
        <v>0</v>
      </c>
      <c r="AT35" s="637">
        <f t="shared" si="35"/>
        <v>0</v>
      </c>
      <c r="AU35" s="638">
        <f t="shared" si="12"/>
        <v>0</v>
      </c>
      <c r="AV35" s="616">
        <f t="shared" si="13"/>
        <v>0</v>
      </c>
      <c r="AW35" s="616">
        <f t="shared" si="14"/>
        <v>0</v>
      </c>
      <c r="AX35" s="616">
        <f t="shared" si="15"/>
        <v>0</v>
      </c>
      <c r="AY35" s="616">
        <f t="shared" si="16"/>
        <v>0</v>
      </c>
      <c r="AZ35" s="616">
        <f t="shared" si="17"/>
        <v>0</v>
      </c>
      <c r="BA35" s="616">
        <f t="shared" si="18"/>
        <v>0</v>
      </c>
      <c r="BB35" s="616"/>
      <c r="BC35" s="615">
        <f t="shared" si="36"/>
        <v>0</v>
      </c>
      <c r="BD35" s="616">
        <f t="shared" si="37"/>
        <v>0</v>
      </c>
      <c r="BE35" s="616">
        <f t="shared" si="38"/>
        <v>0</v>
      </c>
      <c r="BF35" s="616">
        <f t="shared" si="39"/>
        <v>0</v>
      </c>
      <c r="BG35" s="616">
        <f t="shared" si="40"/>
        <v>0</v>
      </c>
      <c r="BH35" s="616">
        <f t="shared" si="41"/>
        <v>0</v>
      </c>
      <c r="BI35" s="616">
        <f t="shared" si="42"/>
        <v>0</v>
      </c>
      <c r="BJ35" s="616"/>
      <c r="BK35" s="615">
        <f t="shared" si="43"/>
        <v>0</v>
      </c>
      <c r="BL35" s="616">
        <f t="shared" si="44"/>
        <v>0</v>
      </c>
      <c r="BM35" s="616">
        <f t="shared" si="45"/>
        <v>0</v>
      </c>
      <c r="BN35" s="616">
        <f t="shared" si="46"/>
        <v>0</v>
      </c>
      <c r="BO35" s="616">
        <f t="shared" si="47"/>
        <v>0</v>
      </c>
      <c r="BP35" s="616">
        <f t="shared" si="48"/>
        <v>0</v>
      </c>
      <c r="BQ35" s="616">
        <f t="shared" si="49"/>
        <v>0</v>
      </c>
      <c r="BR35" s="616">
        <f t="shared" si="50"/>
        <v>0</v>
      </c>
      <c r="BS35" s="304"/>
    </row>
    <row r="36" s="132" customFormat="1" ht="24" spans="1:71">
      <c r="A36" s="497" t="s">
        <v>226</v>
      </c>
      <c r="B36" s="497" t="s">
        <v>206</v>
      </c>
      <c r="C36" s="497" t="s">
        <v>242</v>
      </c>
      <c r="D36" s="497" t="s">
        <v>220</v>
      </c>
      <c r="E36" s="615">
        <f t="shared" si="8"/>
        <v>247.9108</v>
      </c>
      <c r="F36" s="615">
        <f t="shared" si="9"/>
        <v>206.8184</v>
      </c>
      <c r="G36" s="616">
        <v>107.2164</v>
      </c>
      <c r="H36" s="616"/>
      <c r="I36" s="616">
        <v>42.654</v>
      </c>
      <c r="J36" s="616">
        <v>14.4</v>
      </c>
      <c r="K36" s="616">
        <v>0.888</v>
      </c>
      <c r="L36" s="616">
        <v>41.66</v>
      </c>
      <c r="M36" s="615">
        <f t="shared" si="10"/>
        <v>41.0924</v>
      </c>
      <c r="N36" s="616">
        <v>25.5924</v>
      </c>
      <c r="O36" s="616"/>
      <c r="P36" s="616"/>
      <c r="Q36" s="616"/>
      <c r="R36" s="616">
        <v>15.5</v>
      </c>
      <c r="S36" s="615">
        <f t="shared" si="19"/>
        <v>-4.89</v>
      </c>
      <c r="T36" s="615">
        <f t="shared" si="20"/>
        <v>-5.05</v>
      </c>
      <c r="U36" s="616">
        <v>-0.26</v>
      </c>
      <c r="V36" s="616">
        <v>-2.26</v>
      </c>
      <c r="W36" s="616"/>
      <c r="X36" s="616">
        <v>-1.09</v>
      </c>
      <c r="Y36" s="616"/>
      <c r="Z36" s="616">
        <v>-1.44</v>
      </c>
      <c r="AA36" s="615">
        <f t="shared" si="21"/>
        <v>0.16</v>
      </c>
      <c r="AB36" s="616">
        <v>-1.08</v>
      </c>
      <c r="AC36" s="616"/>
      <c r="AD36" s="616"/>
      <c r="AE36" s="616">
        <v>1.2</v>
      </c>
      <c r="AF36" s="616">
        <v>0.04</v>
      </c>
      <c r="AG36" s="615">
        <f t="shared" si="22"/>
        <v>243.0208</v>
      </c>
      <c r="AH36" s="615">
        <f t="shared" si="23"/>
        <v>201.7684</v>
      </c>
      <c r="AI36" s="616">
        <f t="shared" si="24"/>
        <v>106.9564</v>
      </c>
      <c r="AJ36" s="616">
        <f t="shared" si="25"/>
        <v>-2.26</v>
      </c>
      <c r="AK36" s="616">
        <f t="shared" si="26"/>
        <v>42.654</v>
      </c>
      <c r="AL36" s="616">
        <f t="shared" si="27"/>
        <v>13.31</v>
      </c>
      <c r="AM36" s="616">
        <f t="shared" si="28"/>
        <v>0.888</v>
      </c>
      <c r="AN36" s="616">
        <f t="shared" si="29"/>
        <v>40.22</v>
      </c>
      <c r="AO36" s="615">
        <f t="shared" si="30"/>
        <v>41.2524</v>
      </c>
      <c r="AP36" s="616">
        <f t="shared" si="31"/>
        <v>24.5124</v>
      </c>
      <c r="AQ36" s="616">
        <f t="shared" si="32"/>
        <v>0</v>
      </c>
      <c r="AR36" s="616">
        <f t="shared" si="33"/>
        <v>0</v>
      </c>
      <c r="AS36" s="616">
        <f t="shared" si="34"/>
        <v>1.2</v>
      </c>
      <c r="AT36" s="637">
        <f t="shared" si="35"/>
        <v>15.54</v>
      </c>
      <c r="AU36" s="638">
        <f t="shared" si="12"/>
        <v>75.0980784</v>
      </c>
      <c r="AV36" s="616">
        <f t="shared" si="13"/>
        <v>28.074048</v>
      </c>
      <c r="AW36" s="616">
        <f t="shared" si="14"/>
        <v>14.037024</v>
      </c>
      <c r="AX36" s="616">
        <f t="shared" si="15"/>
        <v>10.527768</v>
      </c>
      <c r="AY36" s="616">
        <f t="shared" si="16"/>
        <v>0.3509256</v>
      </c>
      <c r="AZ36" s="616">
        <f t="shared" si="17"/>
        <v>1.0527768</v>
      </c>
      <c r="BA36" s="616">
        <f t="shared" si="18"/>
        <v>21.055536</v>
      </c>
      <c r="BB36" s="616"/>
      <c r="BC36" s="615">
        <f t="shared" si="36"/>
        <v>-1.5408</v>
      </c>
      <c r="BD36" s="616">
        <f t="shared" si="37"/>
        <v>-0.576</v>
      </c>
      <c r="BE36" s="616">
        <f t="shared" si="38"/>
        <v>-0.288</v>
      </c>
      <c r="BF36" s="616">
        <f t="shared" si="39"/>
        <v>-0.216</v>
      </c>
      <c r="BG36" s="616">
        <f t="shared" si="40"/>
        <v>-0.0072</v>
      </c>
      <c r="BH36" s="616">
        <f t="shared" si="41"/>
        <v>-0.0216</v>
      </c>
      <c r="BI36" s="616">
        <f t="shared" si="42"/>
        <v>-0.432</v>
      </c>
      <c r="BJ36" s="616"/>
      <c r="BK36" s="615">
        <f t="shared" si="43"/>
        <v>73.5572784</v>
      </c>
      <c r="BL36" s="616">
        <f t="shared" si="44"/>
        <v>27.498048</v>
      </c>
      <c r="BM36" s="616">
        <f t="shared" si="45"/>
        <v>13.749024</v>
      </c>
      <c r="BN36" s="616">
        <f t="shared" si="46"/>
        <v>10.311768</v>
      </c>
      <c r="BO36" s="616">
        <f t="shared" si="47"/>
        <v>0.3437256</v>
      </c>
      <c r="BP36" s="616">
        <f t="shared" si="48"/>
        <v>1.0311768</v>
      </c>
      <c r="BQ36" s="616">
        <f t="shared" si="49"/>
        <v>20.623536</v>
      </c>
      <c r="BR36" s="616">
        <f t="shared" si="50"/>
        <v>0</v>
      </c>
      <c r="BS36" s="304"/>
    </row>
    <row r="37" s="132" customFormat="1" ht="24" spans="1:71">
      <c r="A37" s="497" t="s">
        <v>226</v>
      </c>
      <c r="B37" s="497" t="s">
        <v>203</v>
      </c>
      <c r="C37" s="497" t="s">
        <v>243</v>
      </c>
      <c r="D37" s="497" t="s">
        <v>214</v>
      </c>
      <c r="E37" s="615">
        <f t="shared" si="8"/>
        <v>0</v>
      </c>
      <c r="F37" s="615">
        <f t="shared" si="9"/>
        <v>0</v>
      </c>
      <c r="G37" s="616"/>
      <c r="H37" s="616"/>
      <c r="I37" s="616"/>
      <c r="J37" s="616"/>
      <c r="K37" s="616"/>
      <c r="L37" s="616"/>
      <c r="M37" s="615">
        <f t="shared" si="10"/>
        <v>0</v>
      </c>
      <c r="N37" s="616"/>
      <c r="O37" s="616"/>
      <c r="P37" s="616"/>
      <c r="Q37" s="616"/>
      <c r="R37" s="616"/>
      <c r="S37" s="615">
        <f t="shared" si="19"/>
        <v>0</v>
      </c>
      <c r="T37" s="615">
        <f t="shared" si="20"/>
        <v>0</v>
      </c>
      <c r="U37" s="616"/>
      <c r="V37" s="616"/>
      <c r="W37" s="616"/>
      <c r="X37" s="616"/>
      <c r="Y37" s="616"/>
      <c r="Z37" s="616"/>
      <c r="AA37" s="615">
        <f t="shared" si="21"/>
        <v>0</v>
      </c>
      <c r="AB37" s="616"/>
      <c r="AC37" s="616"/>
      <c r="AD37" s="616"/>
      <c r="AE37" s="616"/>
      <c r="AF37" s="616"/>
      <c r="AG37" s="615">
        <f t="shared" si="22"/>
        <v>0</v>
      </c>
      <c r="AH37" s="615">
        <f t="shared" si="23"/>
        <v>0</v>
      </c>
      <c r="AI37" s="616">
        <f t="shared" si="24"/>
        <v>0</v>
      </c>
      <c r="AJ37" s="616">
        <f t="shared" si="25"/>
        <v>0</v>
      </c>
      <c r="AK37" s="616">
        <f t="shared" si="26"/>
        <v>0</v>
      </c>
      <c r="AL37" s="616">
        <f t="shared" si="27"/>
        <v>0</v>
      </c>
      <c r="AM37" s="616">
        <f t="shared" si="28"/>
        <v>0</v>
      </c>
      <c r="AN37" s="616">
        <f t="shared" si="29"/>
        <v>0</v>
      </c>
      <c r="AO37" s="615">
        <f t="shared" si="30"/>
        <v>0</v>
      </c>
      <c r="AP37" s="616">
        <f t="shared" si="31"/>
        <v>0</v>
      </c>
      <c r="AQ37" s="616">
        <f t="shared" si="32"/>
        <v>0</v>
      </c>
      <c r="AR37" s="616">
        <f t="shared" si="33"/>
        <v>0</v>
      </c>
      <c r="AS37" s="616">
        <f t="shared" si="34"/>
        <v>0</v>
      </c>
      <c r="AT37" s="637">
        <f t="shared" si="35"/>
        <v>0</v>
      </c>
      <c r="AU37" s="638">
        <f t="shared" si="12"/>
        <v>0</v>
      </c>
      <c r="AV37" s="616">
        <f t="shared" si="13"/>
        <v>0</v>
      </c>
      <c r="AW37" s="616">
        <f t="shared" si="14"/>
        <v>0</v>
      </c>
      <c r="AX37" s="616">
        <f t="shared" si="15"/>
        <v>0</v>
      </c>
      <c r="AY37" s="616">
        <f t="shared" si="16"/>
        <v>0</v>
      </c>
      <c r="AZ37" s="616">
        <f t="shared" si="17"/>
        <v>0</v>
      </c>
      <c r="BA37" s="616">
        <f t="shared" si="18"/>
        <v>0</v>
      </c>
      <c r="BB37" s="616"/>
      <c r="BC37" s="615">
        <f t="shared" si="36"/>
        <v>0</v>
      </c>
      <c r="BD37" s="616">
        <f t="shared" si="37"/>
        <v>0</v>
      </c>
      <c r="BE37" s="616">
        <f t="shared" si="38"/>
        <v>0</v>
      </c>
      <c r="BF37" s="616">
        <f t="shared" si="39"/>
        <v>0</v>
      </c>
      <c r="BG37" s="616">
        <f t="shared" si="40"/>
        <v>0</v>
      </c>
      <c r="BH37" s="616">
        <f t="shared" si="41"/>
        <v>0</v>
      </c>
      <c r="BI37" s="616">
        <f t="shared" si="42"/>
        <v>0</v>
      </c>
      <c r="BJ37" s="616"/>
      <c r="BK37" s="615">
        <f t="shared" si="43"/>
        <v>0</v>
      </c>
      <c r="BL37" s="616">
        <f t="shared" si="44"/>
        <v>0</v>
      </c>
      <c r="BM37" s="616">
        <f t="shared" si="45"/>
        <v>0</v>
      </c>
      <c r="BN37" s="616">
        <f t="shared" si="46"/>
        <v>0</v>
      </c>
      <c r="BO37" s="616">
        <f t="shared" si="47"/>
        <v>0</v>
      </c>
      <c r="BP37" s="616">
        <f t="shared" si="48"/>
        <v>0</v>
      </c>
      <c r="BQ37" s="616">
        <f t="shared" si="49"/>
        <v>0</v>
      </c>
      <c r="BR37" s="616">
        <f t="shared" si="50"/>
        <v>0</v>
      </c>
      <c r="BS37" s="304"/>
    </row>
    <row r="38" s="132" customFormat="1" ht="24" spans="1:71">
      <c r="A38" s="497" t="s">
        <v>226</v>
      </c>
      <c r="B38" s="497" t="s">
        <v>206</v>
      </c>
      <c r="C38" s="497" t="s">
        <v>244</v>
      </c>
      <c r="D38" s="497" t="s">
        <v>220</v>
      </c>
      <c r="E38" s="615">
        <f t="shared" si="8"/>
        <v>377.31</v>
      </c>
      <c r="F38" s="615">
        <f t="shared" si="9"/>
        <v>317.3</v>
      </c>
      <c r="G38" s="616">
        <v>181.42</v>
      </c>
      <c r="H38" s="616"/>
      <c r="I38" s="616">
        <v>61.17</v>
      </c>
      <c r="J38" s="616">
        <v>10.56</v>
      </c>
      <c r="K38" s="616">
        <v>1.82</v>
      </c>
      <c r="L38" s="616">
        <v>62.33</v>
      </c>
      <c r="M38" s="615">
        <f t="shared" si="10"/>
        <v>60.01</v>
      </c>
      <c r="N38" s="616">
        <v>37.51</v>
      </c>
      <c r="O38" s="616"/>
      <c r="P38" s="616"/>
      <c r="Q38" s="616"/>
      <c r="R38" s="616">
        <v>22.5</v>
      </c>
      <c r="S38" s="615">
        <f t="shared" si="19"/>
        <v>24.38</v>
      </c>
      <c r="T38" s="615">
        <f t="shared" si="20"/>
        <v>20.22</v>
      </c>
      <c r="U38" s="616">
        <v>11.67</v>
      </c>
      <c r="V38" s="616">
        <v>4.65</v>
      </c>
      <c r="W38" s="616"/>
      <c r="X38" s="616">
        <v>0.53</v>
      </c>
      <c r="Y38" s="616"/>
      <c r="Z38" s="616">
        <v>3.37</v>
      </c>
      <c r="AA38" s="615">
        <f t="shared" si="21"/>
        <v>4.16</v>
      </c>
      <c r="AB38" s="616">
        <v>2.79</v>
      </c>
      <c r="AC38" s="616"/>
      <c r="AD38" s="616"/>
      <c r="AE38" s="616">
        <v>1.5</v>
      </c>
      <c r="AF38" s="616">
        <v>-0.13</v>
      </c>
      <c r="AG38" s="615">
        <f t="shared" si="22"/>
        <v>401.69</v>
      </c>
      <c r="AH38" s="615">
        <f t="shared" si="23"/>
        <v>337.52</v>
      </c>
      <c r="AI38" s="616">
        <f t="shared" si="24"/>
        <v>193.09</v>
      </c>
      <c r="AJ38" s="616">
        <f t="shared" si="25"/>
        <v>4.65</v>
      </c>
      <c r="AK38" s="616">
        <f t="shared" si="26"/>
        <v>61.17</v>
      </c>
      <c r="AL38" s="616">
        <f t="shared" si="27"/>
        <v>11.09</v>
      </c>
      <c r="AM38" s="616">
        <f t="shared" si="28"/>
        <v>1.82</v>
      </c>
      <c r="AN38" s="616">
        <f t="shared" si="29"/>
        <v>65.7</v>
      </c>
      <c r="AO38" s="615">
        <f t="shared" si="30"/>
        <v>64.17</v>
      </c>
      <c r="AP38" s="616">
        <f t="shared" si="31"/>
        <v>40.3</v>
      </c>
      <c r="AQ38" s="616">
        <f t="shared" si="32"/>
        <v>0</v>
      </c>
      <c r="AR38" s="616">
        <f t="shared" si="33"/>
        <v>0</v>
      </c>
      <c r="AS38" s="616">
        <f t="shared" si="34"/>
        <v>1.5</v>
      </c>
      <c r="AT38" s="637">
        <f t="shared" si="35"/>
        <v>22.37</v>
      </c>
      <c r="AU38" s="638">
        <f t="shared" si="12"/>
        <v>119.8828</v>
      </c>
      <c r="AV38" s="616">
        <f t="shared" si="13"/>
        <v>44.816</v>
      </c>
      <c r="AW38" s="616">
        <f t="shared" si="14"/>
        <v>22.408</v>
      </c>
      <c r="AX38" s="616">
        <f t="shared" si="15"/>
        <v>16.806</v>
      </c>
      <c r="AY38" s="616">
        <f t="shared" si="16"/>
        <v>0.5602</v>
      </c>
      <c r="AZ38" s="616">
        <f t="shared" si="17"/>
        <v>1.6806</v>
      </c>
      <c r="BA38" s="616">
        <f t="shared" si="18"/>
        <v>33.612</v>
      </c>
      <c r="BB38" s="616"/>
      <c r="BC38" s="615">
        <f t="shared" si="36"/>
        <v>8.17908</v>
      </c>
      <c r="BD38" s="616">
        <f t="shared" si="37"/>
        <v>3.0576</v>
      </c>
      <c r="BE38" s="616">
        <f t="shared" si="38"/>
        <v>1.5288</v>
      </c>
      <c r="BF38" s="616">
        <f t="shared" si="39"/>
        <v>1.1466</v>
      </c>
      <c r="BG38" s="616">
        <f t="shared" si="40"/>
        <v>0.03822</v>
      </c>
      <c r="BH38" s="616">
        <f t="shared" si="41"/>
        <v>0.11466</v>
      </c>
      <c r="BI38" s="616">
        <f t="shared" si="42"/>
        <v>2.2932</v>
      </c>
      <c r="BJ38" s="616"/>
      <c r="BK38" s="615">
        <f t="shared" si="43"/>
        <v>128.06188</v>
      </c>
      <c r="BL38" s="616">
        <f t="shared" si="44"/>
        <v>47.8736</v>
      </c>
      <c r="BM38" s="616">
        <f t="shared" si="45"/>
        <v>23.9368</v>
      </c>
      <c r="BN38" s="616">
        <f t="shared" si="46"/>
        <v>17.9526</v>
      </c>
      <c r="BO38" s="616">
        <f t="shared" si="47"/>
        <v>0.59842</v>
      </c>
      <c r="BP38" s="616">
        <f t="shared" si="48"/>
        <v>1.79526</v>
      </c>
      <c r="BQ38" s="616">
        <f t="shared" si="49"/>
        <v>35.9052</v>
      </c>
      <c r="BR38" s="616">
        <f t="shared" si="50"/>
        <v>0</v>
      </c>
      <c r="BS38" s="304"/>
    </row>
    <row r="39" s="132" customFormat="1" ht="24" spans="1:71">
      <c r="A39" s="497" t="s">
        <v>226</v>
      </c>
      <c r="B39" s="497" t="s">
        <v>203</v>
      </c>
      <c r="C39" s="497" t="s">
        <v>245</v>
      </c>
      <c r="D39" s="497" t="s">
        <v>214</v>
      </c>
      <c r="E39" s="615">
        <f t="shared" si="8"/>
        <v>0</v>
      </c>
      <c r="F39" s="615">
        <f t="shared" si="9"/>
        <v>0</v>
      </c>
      <c r="G39" s="616"/>
      <c r="H39" s="616"/>
      <c r="I39" s="616"/>
      <c r="J39" s="616"/>
      <c r="K39" s="616"/>
      <c r="L39" s="616"/>
      <c r="M39" s="615">
        <f t="shared" si="10"/>
        <v>0</v>
      </c>
      <c r="N39" s="616"/>
      <c r="O39" s="616"/>
      <c r="P39" s="616"/>
      <c r="Q39" s="616"/>
      <c r="R39" s="616"/>
      <c r="S39" s="615">
        <f t="shared" si="19"/>
        <v>0</v>
      </c>
      <c r="T39" s="615">
        <f t="shared" si="20"/>
        <v>0</v>
      </c>
      <c r="U39" s="616"/>
      <c r="V39" s="616"/>
      <c r="W39" s="616"/>
      <c r="X39" s="616"/>
      <c r="Y39" s="616"/>
      <c r="Z39" s="616"/>
      <c r="AA39" s="615">
        <f t="shared" si="21"/>
        <v>0</v>
      </c>
      <c r="AB39" s="616"/>
      <c r="AC39" s="616"/>
      <c r="AD39" s="616"/>
      <c r="AE39" s="616"/>
      <c r="AF39" s="616"/>
      <c r="AG39" s="615">
        <f t="shared" si="22"/>
        <v>0</v>
      </c>
      <c r="AH39" s="615">
        <f t="shared" si="23"/>
        <v>0</v>
      </c>
      <c r="AI39" s="616">
        <f t="shared" si="24"/>
        <v>0</v>
      </c>
      <c r="AJ39" s="616">
        <f t="shared" si="25"/>
        <v>0</v>
      </c>
      <c r="AK39" s="616">
        <f t="shared" si="26"/>
        <v>0</v>
      </c>
      <c r="AL39" s="616">
        <f t="shared" si="27"/>
        <v>0</v>
      </c>
      <c r="AM39" s="616">
        <f t="shared" si="28"/>
        <v>0</v>
      </c>
      <c r="AN39" s="616">
        <f t="shared" si="29"/>
        <v>0</v>
      </c>
      <c r="AO39" s="615">
        <f t="shared" si="30"/>
        <v>0</v>
      </c>
      <c r="AP39" s="616">
        <f t="shared" si="31"/>
        <v>0</v>
      </c>
      <c r="AQ39" s="616">
        <f t="shared" si="32"/>
        <v>0</v>
      </c>
      <c r="AR39" s="616">
        <f t="shared" si="33"/>
        <v>0</v>
      </c>
      <c r="AS39" s="616">
        <f t="shared" si="34"/>
        <v>0</v>
      </c>
      <c r="AT39" s="637">
        <f t="shared" si="35"/>
        <v>0</v>
      </c>
      <c r="AU39" s="638">
        <f t="shared" si="12"/>
        <v>0</v>
      </c>
      <c r="AV39" s="616">
        <f t="shared" si="13"/>
        <v>0</v>
      </c>
      <c r="AW39" s="616">
        <f t="shared" si="14"/>
        <v>0</v>
      </c>
      <c r="AX39" s="616">
        <f t="shared" si="15"/>
        <v>0</v>
      </c>
      <c r="AY39" s="616">
        <f t="shared" si="16"/>
        <v>0</v>
      </c>
      <c r="AZ39" s="616">
        <f t="shared" si="17"/>
        <v>0</v>
      </c>
      <c r="BA39" s="616">
        <f t="shared" si="18"/>
        <v>0</v>
      </c>
      <c r="BB39" s="616"/>
      <c r="BC39" s="615">
        <f t="shared" si="36"/>
        <v>0</v>
      </c>
      <c r="BD39" s="616">
        <f t="shared" si="37"/>
        <v>0</v>
      </c>
      <c r="BE39" s="616">
        <f t="shared" si="38"/>
        <v>0</v>
      </c>
      <c r="BF39" s="616">
        <f t="shared" si="39"/>
        <v>0</v>
      </c>
      <c r="BG39" s="616">
        <f t="shared" si="40"/>
        <v>0</v>
      </c>
      <c r="BH39" s="616">
        <f t="shared" si="41"/>
        <v>0</v>
      </c>
      <c r="BI39" s="616">
        <f t="shared" si="42"/>
        <v>0</v>
      </c>
      <c r="BJ39" s="616"/>
      <c r="BK39" s="615">
        <f t="shared" si="43"/>
        <v>0</v>
      </c>
      <c r="BL39" s="616">
        <f t="shared" si="44"/>
        <v>0</v>
      </c>
      <c r="BM39" s="616">
        <f t="shared" si="45"/>
        <v>0</v>
      </c>
      <c r="BN39" s="616">
        <f t="shared" si="46"/>
        <v>0</v>
      </c>
      <c r="BO39" s="616">
        <f t="shared" si="47"/>
        <v>0</v>
      </c>
      <c r="BP39" s="616">
        <f t="shared" si="48"/>
        <v>0</v>
      </c>
      <c r="BQ39" s="616">
        <f t="shared" si="49"/>
        <v>0</v>
      </c>
      <c r="BR39" s="616">
        <f t="shared" si="50"/>
        <v>0</v>
      </c>
      <c r="BS39" s="304"/>
    </row>
    <row r="40" s="132" customFormat="1" ht="24" spans="1:71">
      <c r="A40" s="497" t="s">
        <v>226</v>
      </c>
      <c r="B40" s="497" t="s">
        <v>206</v>
      </c>
      <c r="C40" s="497" t="s">
        <v>246</v>
      </c>
      <c r="D40" s="497" t="s">
        <v>220</v>
      </c>
      <c r="E40" s="615">
        <f t="shared" si="8"/>
        <v>240.49</v>
      </c>
      <c r="F40" s="615">
        <f t="shared" si="9"/>
        <v>199.62</v>
      </c>
      <c r="G40" s="616">
        <v>103.28</v>
      </c>
      <c r="H40" s="616"/>
      <c r="I40" s="616">
        <v>42.28</v>
      </c>
      <c r="J40" s="616">
        <v>10.44</v>
      </c>
      <c r="K40" s="616">
        <v>1.82</v>
      </c>
      <c r="L40" s="616">
        <v>41.8</v>
      </c>
      <c r="M40" s="615">
        <f t="shared" si="10"/>
        <v>40.87</v>
      </c>
      <c r="N40" s="616">
        <v>25.37</v>
      </c>
      <c r="O40" s="616"/>
      <c r="P40" s="616"/>
      <c r="Q40" s="616"/>
      <c r="R40" s="616">
        <v>15.5</v>
      </c>
      <c r="S40" s="615">
        <f t="shared" si="19"/>
        <v>24.739</v>
      </c>
      <c r="T40" s="615">
        <f t="shared" si="20"/>
        <v>19.259</v>
      </c>
      <c r="U40" s="616">
        <v>10.455</v>
      </c>
      <c r="V40" s="616">
        <v>4.24</v>
      </c>
      <c r="W40" s="616"/>
      <c r="X40" s="616">
        <v>0.41</v>
      </c>
      <c r="Y40" s="616">
        <v>-0.066</v>
      </c>
      <c r="Z40" s="616">
        <v>4.22</v>
      </c>
      <c r="AA40" s="615">
        <f t="shared" si="21"/>
        <v>5.48</v>
      </c>
      <c r="AB40" s="616">
        <v>2.4</v>
      </c>
      <c r="AC40" s="616"/>
      <c r="AD40" s="616"/>
      <c r="AE40" s="616">
        <v>2.25</v>
      </c>
      <c r="AF40" s="616">
        <v>0.83</v>
      </c>
      <c r="AG40" s="615">
        <f t="shared" si="22"/>
        <v>265.229</v>
      </c>
      <c r="AH40" s="615">
        <f t="shared" si="23"/>
        <v>218.879</v>
      </c>
      <c r="AI40" s="616">
        <f t="shared" si="24"/>
        <v>113.735</v>
      </c>
      <c r="AJ40" s="616">
        <f t="shared" si="25"/>
        <v>4.24</v>
      </c>
      <c r="AK40" s="616">
        <f t="shared" si="26"/>
        <v>42.28</v>
      </c>
      <c r="AL40" s="616">
        <f t="shared" si="27"/>
        <v>10.85</v>
      </c>
      <c r="AM40" s="616">
        <f t="shared" si="28"/>
        <v>1.754</v>
      </c>
      <c r="AN40" s="616">
        <f t="shared" si="29"/>
        <v>46.02</v>
      </c>
      <c r="AO40" s="615">
        <f t="shared" si="30"/>
        <v>46.35</v>
      </c>
      <c r="AP40" s="616">
        <f t="shared" si="31"/>
        <v>27.77</v>
      </c>
      <c r="AQ40" s="616">
        <f t="shared" si="32"/>
        <v>0</v>
      </c>
      <c r="AR40" s="616">
        <f t="shared" si="33"/>
        <v>0</v>
      </c>
      <c r="AS40" s="616">
        <f t="shared" si="34"/>
        <v>2.25</v>
      </c>
      <c r="AT40" s="637">
        <f t="shared" si="35"/>
        <v>16.33</v>
      </c>
      <c r="AU40" s="638">
        <f t="shared" si="12"/>
        <v>73.15804</v>
      </c>
      <c r="AV40" s="616">
        <f t="shared" si="13"/>
        <v>27.3488</v>
      </c>
      <c r="AW40" s="616">
        <f t="shared" si="14"/>
        <v>13.6744</v>
      </c>
      <c r="AX40" s="616">
        <f t="shared" si="15"/>
        <v>10.2558</v>
      </c>
      <c r="AY40" s="616">
        <f t="shared" si="16"/>
        <v>0.34186</v>
      </c>
      <c r="AZ40" s="616">
        <f t="shared" si="17"/>
        <v>1.02558</v>
      </c>
      <c r="BA40" s="616">
        <f t="shared" si="18"/>
        <v>20.5116</v>
      </c>
      <c r="BB40" s="616"/>
      <c r="BC40" s="615">
        <f t="shared" si="36"/>
        <v>7.31666</v>
      </c>
      <c r="BD40" s="616">
        <f t="shared" si="37"/>
        <v>2.7352</v>
      </c>
      <c r="BE40" s="616">
        <f t="shared" si="38"/>
        <v>1.3676</v>
      </c>
      <c r="BF40" s="616">
        <f t="shared" si="39"/>
        <v>1.0257</v>
      </c>
      <c r="BG40" s="616">
        <f t="shared" si="40"/>
        <v>0.03419</v>
      </c>
      <c r="BH40" s="616">
        <f t="shared" si="41"/>
        <v>0.10257</v>
      </c>
      <c r="BI40" s="616">
        <f t="shared" si="42"/>
        <v>2.0514</v>
      </c>
      <c r="BJ40" s="616"/>
      <c r="BK40" s="615">
        <f t="shared" si="43"/>
        <v>80.4747</v>
      </c>
      <c r="BL40" s="616">
        <f t="shared" si="44"/>
        <v>30.084</v>
      </c>
      <c r="BM40" s="616">
        <f t="shared" si="45"/>
        <v>15.042</v>
      </c>
      <c r="BN40" s="616">
        <f t="shared" si="46"/>
        <v>11.2815</v>
      </c>
      <c r="BO40" s="616">
        <f t="shared" si="47"/>
        <v>0.37605</v>
      </c>
      <c r="BP40" s="616">
        <f t="shared" si="48"/>
        <v>1.12815</v>
      </c>
      <c r="BQ40" s="616">
        <f t="shared" si="49"/>
        <v>22.563</v>
      </c>
      <c r="BR40" s="616">
        <f t="shared" si="50"/>
        <v>0</v>
      </c>
      <c r="BS40" s="304"/>
    </row>
    <row r="41" s="132" customFormat="1" ht="24" spans="1:71">
      <c r="A41" s="497" t="s">
        <v>226</v>
      </c>
      <c r="B41" s="497" t="s">
        <v>203</v>
      </c>
      <c r="C41" s="497" t="s">
        <v>247</v>
      </c>
      <c r="D41" s="497" t="s">
        <v>214</v>
      </c>
      <c r="E41" s="615">
        <f t="shared" si="8"/>
        <v>0</v>
      </c>
      <c r="F41" s="615">
        <f t="shared" si="9"/>
        <v>0</v>
      </c>
      <c r="G41" s="616"/>
      <c r="H41" s="616"/>
      <c r="I41" s="616"/>
      <c r="J41" s="616"/>
      <c r="K41" s="616"/>
      <c r="L41" s="616"/>
      <c r="M41" s="615">
        <f t="shared" si="10"/>
        <v>0</v>
      </c>
      <c r="N41" s="616"/>
      <c r="O41" s="616"/>
      <c r="P41" s="616"/>
      <c r="Q41" s="616"/>
      <c r="R41" s="616"/>
      <c r="S41" s="615">
        <f t="shared" si="19"/>
        <v>0</v>
      </c>
      <c r="T41" s="615">
        <f t="shared" si="20"/>
        <v>0</v>
      </c>
      <c r="U41" s="616"/>
      <c r="V41" s="616"/>
      <c r="W41" s="616"/>
      <c r="X41" s="616"/>
      <c r="Y41" s="616"/>
      <c r="Z41" s="616"/>
      <c r="AA41" s="615">
        <f t="shared" si="21"/>
        <v>0</v>
      </c>
      <c r="AB41" s="616"/>
      <c r="AC41" s="616"/>
      <c r="AD41" s="616"/>
      <c r="AE41" s="616"/>
      <c r="AF41" s="616"/>
      <c r="AG41" s="615">
        <f t="shared" si="22"/>
        <v>0</v>
      </c>
      <c r="AH41" s="615">
        <f t="shared" si="23"/>
        <v>0</v>
      </c>
      <c r="AI41" s="616">
        <f t="shared" si="24"/>
        <v>0</v>
      </c>
      <c r="AJ41" s="616">
        <f t="shared" si="25"/>
        <v>0</v>
      </c>
      <c r="AK41" s="616">
        <f t="shared" si="26"/>
        <v>0</v>
      </c>
      <c r="AL41" s="616">
        <f t="shared" si="27"/>
        <v>0</v>
      </c>
      <c r="AM41" s="616">
        <f t="shared" si="28"/>
        <v>0</v>
      </c>
      <c r="AN41" s="616">
        <f t="shared" si="29"/>
        <v>0</v>
      </c>
      <c r="AO41" s="615">
        <f t="shared" si="30"/>
        <v>0</v>
      </c>
      <c r="AP41" s="616">
        <f t="shared" si="31"/>
        <v>0</v>
      </c>
      <c r="AQ41" s="616">
        <f t="shared" si="32"/>
        <v>0</v>
      </c>
      <c r="AR41" s="616">
        <f t="shared" si="33"/>
        <v>0</v>
      </c>
      <c r="AS41" s="616">
        <f t="shared" si="34"/>
        <v>0</v>
      </c>
      <c r="AT41" s="637">
        <f t="shared" si="35"/>
        <v>0</v>
      </c>
      <c r="AU41" s="638">
        <f t="shared" si="12"/>
        <v>0</v>
      </c>
      <c r="AV41" s="616">
        <f t="shared" si="13"/>
        <v>0</v>
      </c>
      <c r="AW41" s="616">
        <f t="shared" si="14"/>
        <v>0</v>
      </c>
      <c r="AX41" s="616">
        <f t="shared" si="15"/>
        <v>0</v>
      </c>
      <c r="AY41" s="616">
        <f t="shared" si="16"/>
        <v>0</v>
      </c>
      <c r="AZ41" s="616">
        <f t="shared" si="17"/>
        <v>0</v>
      </c>
      <c r="BA41" s="616">
        <f t="shared" si="18"/>
        <v>0</v>
      </c>
      <c r="BB41" s="616"/>
      <c r="BC41" s="615">
        <f t="shared" si="36"/>
        <v>0</v>
      </c>
      <c r="BD41" s="616">
        <f t="shared" si="37"/>
        <v>0</v>
      </c>
      <c r="BE41" s="616">
        <f t="shared" si="38"/>
        <v>0</v>
      </c>
      <c r="BF41" s="616">
        <f t="shared" si="39"/>
        <v>0</v>
      </c>
      <c r="BG41" s="616">
        <f t="shared" si="40"/>
        <v>0</v>
      </c>
      <c r="BH41" s="616">
        <f t="shared" si="41"/>
        <v>0</v>
      </c>
      <c r="BI41" s="616">
        <f t="shared" si="42"/>
        <v>0</v>
      </c>
      <c r="BJ41" s="616"/>
      <c r="BK41" s="615">
        <f t="shared" si="43"/>
        <v>0</v>
      </c>
      <c r="BL41" s="616">
        <f t="shared" si="44"/>
        <v>0</v>
      </c>
      <c r="BM41" s="616">
        <f t="shared" si="45"/>
        <v>0</v>
      </c>
      <c r="BN41" s="616">
        <f t="shared" si="46"/>
        <v>0</v>
      </c>
      <c r="BO41" s="616">
        <f t="shared" si="47"/>
        <v>0</v>
      </c>
      <c r="BP41" s="616">
        <f t="shared" si="48"/>
        <v>0</v>
      </c>
      <c r="BQ41" s="616">
        <f t="shared" si="49"/>
        <v>0</v>
      </c>
      <c r="BR41" s="616">
        <f t="shared" si="50"/>
        <v>0</v>
      </c>
      <c r="BS41" s="304"/>
    </row>
    <row r="42" s="132" customFormat="1" ht="24" spans="1:71">
      <c r="A42" s="497" t="s">
        <v>226</v>
      </c>
      <c r="B42" s="497" t="s">
        <v>206</v>
      </c>
      <c r="C42" s="497" t="s">
        <v>248</v>
      </c>
      <c r="D42" s="497" t="s">
        <v>220</v>
      </c>
      <c r="E42" s="615">
        <f t="shared" si="8"/>
        <v>360.27</v>
      </c>
      <c r="F42" s="615">
        <f t="shared" si="9"/>
        <v>300.22</v>
      </c>
      <c r="G42" s="616">
        <v>163.86</v>
      </c>
      <c r="H42" s="616"/>
      <c r="I42" s="616">
        <v>62.57</v>
      </c>
      <c r="J42" s="616">
        <v>10.32</v>
      </c>
      <c r="K42" s="616">
        <v>1.56</v>
      </c>
      <c r="L42" s="616">
        <v>61.91</v>
      </c>
      <c r="M42" s="615">
        <f t="shared" si="10"/>
        <v>60.05</v>
      </c>
      <c r="N42" s="616">
        <v>37.55</v>
      </c>
      <c r="O42" s="616"/>
      <c r="P42" s="616"/>
      <c r="Q42" s="616"/>
      <c r="R42" s="616">
        <v>22.5</v>
      </c>
      <c r="S42" s="615">
        <f t="shared" si="19"/>
        <v>10.15</v>
      </c>
      <c r="T42" s="615">
        <f t="shared" si="20"/>
        <v>5.87</v>
      </c>
      <c r="U42" s="616">
        <v>3.2</v>
      </c>
      <c r="V42" s="616">
        <v>1.55</v>
      </c>
      <c r="W42" s="616"/>
      <c r="X42" s="616">
        <v>0.25</v>
      </c>
      <c r="Y42" s="616">
        <v>-0.11</v>
      </c>
      <c r="Z42" s="616">
        <v>0.98</v>
      </c>
      <c r="AA42" s="615">
        <f t="shared" si="21"/>
        <v>4.28</v>
      </c>
      <c r="AB42" s="616">
        <v>1.15</v>
      </c>
      <c r="AC42" s="616"/>
      <c r="AD42" s="616"/>
      <c r="AE42" s="616">
        <v>2.25</v>
      </c>
      <c r="AF42" s="616">
        <v>0.88</v>
      </c>
      <c r="AG42" s="615">
        <f t="shared" si="22"/>
        <v>370.42</v>
      </c>
      <c r="AH42" s="615">
        <f t="shared" si="23"/>
        <v>306.09</v>
      </c>
      <c r="AI42" s="616">
        <f t="shared" si="24"/>
        <v>167.06</v>
      </c>
      <c r="AJ42" s="616">
        <f t="shared" si="25"/>
        <v>1.55</v>
      </c>
      <c r="AK42" s="616">
        <f t="shared" si="26"/>
        <v>62.57</v>
      </c>
      <c r="AL42" s="616">
        <f t="shared" si="27"/>
        <v>10.57</v>
      </c>
      <c r="AM42" s="616">
        <f t="shared" si="28"/>
        <v>1.45</v>
      </c>
      <c r="AN42" s="616">
        <f t="shared" si="29"/>
        <v>62.89</v>
      </c>
      <c r="AO42" s="615">
        <f t="shared" si="30"/>
        <v>64.33</v>
      </c>
      <c r="AP42" s="616">
        <f t="shared" si="31"/>
        <v>38.7</v>
      </c>
      <c r="AQ42" s="616">
        <f t="shared" si="32"/>
        <v>0</v>
      </c>
      <c r="AR42" s="616">
        <f t="shared" si="33"/>
        <v>0</v>
      </c>
      <c r="AS42" s="616">
        <f t="shared" si="34"/>
        <v>2.25</v>
      </c>
      <c r="AT42" s="637">
        <f t="shared" si="35"/>
        <v>23.38</v>
      </c>
      <c r="AU42" s="638">
        <f t="shared" si="12"/>
        <v>112.98344</v>
      </c>
      <c r="AV42" s="616">
        <f t="shared" si="13"/>
        <v>42.2368</v>
      </c>
      <c r="AW42" s="616">
        <f t="shared" si="14"/>
        <v>21.1184</v>
      </c>
      <c r="AX42" s="616">
        <f t="shared" si="15"/>
        <v>15.8388</v>
      </c>
      <c r="AY42" s="616">
        <f t="shared" si="16"/>
        <v>0.52796</v>
      </c>
      <c r="AZ42" s="616">
        <f t="shared" si="17"/>
        <v>1.58388</v>
      </c>
      <c r="BA42" s="616">
        <f t="shared" si="18"/>
        <v>31.6776</v>
      </c>
      <c r="BB42" s="616"/>
      <c r="BC42" s="615">
        <f t="shared" si="36"/>
        <v>2.5252</v>
      </c>
      <c r="BD42" s="616">
        <f t="shared" si="37"/>
        <v>0.944</v>
      </c>
      <c r="BE42" s="616">
        <f t="shared" si="38"/>
        <v>0.472</v>
      </c>
      <c r="BF42" s="616">
        <f t="shared" si="39"/>
        <v>0.354</v>
      </c>
      <c r="BG42" s="616">
        <f t="shared" si="40"/>
        <v>0.0118</v>
      </c>
      <c r="BH42" s="616">
        <f t="shared" si="41"/>
        <v>0.0354</v>
      </c>
      <c r="BI42" s="616">
        <f t="shared" si="42"/>
        <v>0.708</v>
      </c>
      <c r="BJ42" s="616"/>
      <c r="BK42" s="615">
        <f t="shared" si="43"/>
        <v>115.50864</v>
      </c>
      <c r="BL42" s="616">
        <f t="shared" si="44"/>
        <v>43.1808</v>
      </c>
      <c r="BM42" s="616">
        <f t="shared" si="45"/>
        <v>21.5904</v>
      </c>
      <c r="BN42" s="616">
        <f t="shared" si="46"/>
        <v>16.1928</v>
      </c>
      <c r="BO42" s="616">
        <f t="shared" si="47"/>
        <v>0.53976</v>
      </c>
      <c r="BP42" s="616">
        <f t="shared" si="48"/>
        <v>1.61928</v>
      </c>
      <c r="BQ42" s="616">
        <f t="shared" si="49"/>
        <v>32.3856</v>
      </c>
      <c r="BR42" s="616">
        <f t="shared" si="50"/>
        <v>0</v>
      </c>
      <c r="BS42" s="304"/>
    </row>
    <row r="43" s="132" customFormat="1" ht="24" spans="1:71">
      <c r="A43" s="497" t="s">
        <v>226</v>
      </c>
      <c r="B43" s="497" t="s">
        <v>203</v>
      </c>
      <c r="C43" s="497" t="s">
        <v>249</v>
      </c>
      <c r="D43" s="497" t="s">
        <v>214</v>
      </c>
      <c r="E43" s="615">
        <f t="shared" si="8"/>
        <v>0</v>
      </c>
      <c r="F43" s="615">
        <f t="shared" si="9"/>
        <v>0</v>
      </c>
      <c r="G43" s="616"/>
      <c r="H43" s="616"/>
      <c r="I43" s="616"/>
      <c r="J43" s="616"/>
      <c r="K43" s="616"/>
      <c r="L43" s="616"/>
      <c r="M43" s="615">
        <f t="shared" si="10"/>
        <v>0</v>
      </c>
      <c r="N43" s="616"/>
      <c r="O43" s="616"/>
      <c r="P43" s="616"/>
      <c r="Q43" s="616"/>
      <c r="R43" s="616"/>
      <c r="S43" s="615">
        <f t="shared" si="19"/>
        <v>0</v>
      </c>
      <c r="T43" s="615">
        <f t="shared" si="20"/>
        <v>0</v>
      </c>
      <c r="U43" s="616"/>
      <c r="V43" s="616"/>
      <c r="W43" s="616"/>
      <c r="X43" s="616"/>
      <c r="Y43" s="616"/>
      <c r="Z43" s="616"/>
      <c r="AA43" s="615">
        <f t="shared" si="21"/>
        <v>0</v>
      </c>
      <c r="AB43" s="616"/>
      <c r="AC43" s="616"/>
      <c r="AD43" s="616"/>
      <c r="AE43" s="616"/>
      <c r="AF43" s="616"/>
      <c r="AG43" s="615">
        <f t="shared" si="22"/>
        <v>0</v>
      </c>
      <c r="AH43" s="615">
        <f t="shared" si="23"/>
        <v>0</v>
      </c>
      <c r="AI43" s="616">
        <f t="shared" si="24"/>
        <v>0</v>
      </c>
      <c r="AJ43" s="616">
        <f t="shared" si="25"/>
        <v>0</v>
      </c>
      <c r="AK43" s="616">
        <f t="shared" si="26"/>
        <v>0</v>
      </c>
      <c r="AL43" s="616">
        <f t="shared" si="27"/>
        <v>0</v>
      </c>
      <c r="AM43" s="616">
        <f t="shared" si="28"/>
        <v>0</v>
      </c>
      <c r="AN43" s="616">
        <f t="shared" si="29"/>
        <v>0</v>
      </c>
      <c r="AO43" s="615">
        <f t="shared" si="30"/>
        <v>0</v>
      </c>
      <c r="AP43" s="616">
        <f t="shared" si="31"/>
        <v>0</v>
      </c>
      <c r="AQ43" s="616">
        <f t="shared" si="32"/>
        <v>0</v>
      </c>
      <c r="AR43" s="616">
        <f t="shared" si="33"/>
        <v>0</v>
      </c>
      <c r="AS43" s="616">
        <f t="shared" si="34"/>
        <v>0</v>
      </c>
      <c r="AT43" s="637">
        <f t="shared" si="35"/>
        <v>0</v>
      </c>
      <c r="AU43" s="638">
        <f t="shared" si="12"/>
        <v>0</v>
      </c>
      <c r="AV43" s="616">
        <f t="shared" si="13"/>
        <v>0</v>
      </c>
      <c r="AW43" s="616">
        <f t="shared" si="14"/>
        <v>0</v>
      </c>
      <c r="AX43" s="616">
        <f t="shared" si="15"/>
        <v>0</v>
      </c>
      <c r="AY43" s="616">
        <f t="shared" si="16"/>
        <v>0</v>
      </c>
      <c r="AZ43" s="616">
        <f t="shared" si="17"/>
        <v>0</v>
      </c>
      <c r="BA43" s="616">
        <f t="shared" si="18"/>
        <v>0</v>
      </c>
      <c r="BB43" s="616"/>
      <c r="BC43" s="615">
        <f t="shared" si="36"/>
        <v>0</v>
      </c>
      <c r="BD43" s="616">
        <f t="shared" si="37"/>
        <v>0</v>
      </c>
      <c r="BE43" s="616">
        <f t="shared" si="38"/>
        <v>0</v>
      </c>
      <c r="BF43" s="616">
        <f t="shared" si="39"/>
        <v>0</v>
      </c>
      <c r="BG43" s="616">
        <f t="shared" si="40"/>
        <v>0</v>
      </c>
      <c r="BH43" s="616">
        <f t="shared" si="41"/>
        <v>0</v>
      </c>
      <c r="BI43" s="616">
        <f t="shared" si="42"/>
        <v>0</v>
      </c>
      <c r="BJ43" s="616"/>
      <c r="BK43" s="615">
        <f t="shared" si="43"/>
        <v>0</v>
      </c>
      <c r="BL43" s="616">
        <f t="shared" si="44"/>
        <v>0</v>
      </c>
      <c r="BM43" s="616">
        <f t="shared" si="45"/>
        <v>0</v>
      </c>
      <c r="BN43" s="616">
        <f t="shared" si="46"/>
        <v>0</v>
      </c>
      <c r="BO43" s="616">
        <f t="shared" si="47"/>
        <v>0</v>
      </c>
      <c r="BP43" s="616">
        <f t="shared" si="48"/>
        <v>0</v>
      </c>
      <c r="BQ43" s="616">
        <f t="shared" si="49"/>
        <v>0</v>
      </c>
      <c r="BR43" s="616">
        <f t="shared" si="50"/>
        <v>0</v>
      </c>
      <c r="BS43" s="304"/>
    </row>
    <row r="44" s="132" customFormat="1" ht="24" spans="1:71">
      <c r="A44" s="497" t="s">
        <v>226</v>
      </c>
      <c r="B44" s="497" t="s">
        <v>206</v>
      </c>
      <c r="C44" s="497" t="s">
        <v>250</v>
      </c>
      <c r="D44" s="497" t="s">
        <v>220</v>
      </c>
      <c r="E44" s="615">
        <f t="shared" si="8"/>
        <v>243.5</v>
      </c>
      <c r="F44" s="615">
        <f t="shared" si="9"/>
        <v>203.38</v>
      </c>
      <c r="G44" s="616">
        <v>109.17</v>
      </c>
      <c r="H44" s="616"/>
      <c r="I44" s="616">
        <v>41.87</v>
      </c>
      <c r="J44" s="616">
        <v>10.44</v>
      </c>
      <c r="K44" s="616">
        <v>0.94</v>
      </c>
      <c r="L44" s="616">
        <v>40.96</v>
      </c>
      <c r="M44" s="615">
        <f t="shared" si="10"/>
        <v>40.12</v>
      </c>
      <c r="N44" s="616">
        <v>25.12</v>
      </c>
      <c r="O44" s="616"/>
      <c r="P44" s="616"/>
      <c r="Q44" s="616"/>
      <c r="R44" s="616">
        <v>15</v>
      </c>
      <c r="S44" s="615">
        <f t="shared" si="19"/>
        <v>-0.75</v>
      </c>
      <c r="T44" s="615">
        <f t="shared" si="20"/>
        <v>-3.16</v>
      </c>
      <c r="U44" s="616">
        <v>-2.83</v>
      </c>
      <c r="V44" s="616">
        <v>0.04</v>
      </c>
      <c r="W44" s="616"/>
      <c r="X44" s="616">
        <v>-0.23</v>
      </c>
      <c r="Y44" s="616">
        <v>0.09</v>
      </c>
      <c r="Z44" s="616">
        <v>-0.23</v>
      </c>
      <c r="AA44" s="615">
        <f t="shared" si="21"/>
        <v>2.41</v>
      </c>
      <c r="AB44" s="616">
        <v>-0.19</v>
      </c>
      <c r="AC44" s="616"/>
      <c r="AD44" s="616"/>
      <c r="AE44" s="616">
        <v>1.2</v>
      </c>
      <c r="AF44" s="616">
        <v>1.4</v>
      </c>
      <c r="AG44" s="615">
        <f t="shared" si="22"/>
        <v>242.75</v>
      </c>
      <c r="AH44" s="615">
        <f t="shared" si="23"/>
        <v>200.22</v>
      </c>
      <c r="AI44" s="616">
        <f t="shared" si="24"/>
        <v>106.34</v>
      </c>
      <c r="AJ44" s="616">
        <f t="shared" si="25"/>
        <v>0.04</v>
      </c>
      <c r="AK44" s="616">
        <f t="shared" si="26"/>
        <v>41.87</v>
      </c>
      <c r="AL44" s="616">
        <f t="shared" si="27"/>
        <v>10.21</v>
      </c>
      <c r="AM44" s="616">
        <f t="shared" si="28"/>
        <v>1.03</v>
      </c>
      <c r="AN44" s="616">
        <f t="shared" si="29"/>
        <v>40.73</v>
      </c>
      <c r="AO44" s="615">
        <f t="shared" si="30"/>
        <v>42.53</v>
      </c>
      <c r="AP44" s="616">
        <f t="shared" si="31"/>
        <v>24.93</v>
      </c>
      <c r="AQ44" s="616">
        <f t="shared" si="32"/>
        <v>0</v>
      </c>
      <c r="AR44" s="616">
        <f t="shared" si="33"/>
        <v>0</v>
      </c>
      <c r="AS44" s="616">
        <f t="shared" si="34"/>
        <v>1.2</v>
      </c>
      <c r="AT44" s="637">
        <f t="shared" si="35"/>
        <v>16.4</v>
      </c>
      <c r="AU44" s="638">
        <f t="shared" si="12"/>
        <v>75.39648</v>
      </c>
      <c r="AV44" s="616">
        <f t="shared" si="13"/>
        <v>28.1856</v>
      </c>
      <c r="AW44" s="616">
        <f t="shared" si="14"/>
        <v>14.0928</v>
      </c>
      <c r="AX44" s="616">
        <f t="shared" si="15"/>
        <v>10.5696</v>
      </c>
      <c r="AY44" s="616">
        <f t="shared" si="16"/>
        <v>0.35232</v>
      </c>
      <c r="AZ44" s="616">
        <f t="shared" si="17"/>
        <v>1.05696</v>
      </c>
      <c r="BA44" s="616">
        <f t="shared" si="18"/>
        <v>21.1392</v>
      </c>
      <c r="BB44" s="616"/>
      <c r="BC44" s="615">
        <f t="shared" si="36"/>
        <v>-1.27544</v>
      </c>
      <c r="BD44" s="616">
        <f t="shared" si="37"/>
        <v>-0.4768</v>
      </c>
      <c r="BE44" s="616">
        <f t="shared" si="38"/>
        <v>-0.2384</v>
      </c>
      <c r="BF44" s="616">
        <f t="shared" si="39"/>
        <v>-0.1788</v>
      </c>
      <c r="BG44" s="616">
        <f t="shared" si="40"/>
        <v>-0.00596</v>
      </c>
      <c r="BH44" s="616">
        <f t="shared" si="41"/>
        <v>-0.01788</v>
      </c>
      <c r="BI44" s="616">
        <f t="shared" si="42"/>
        <v>-0.3576</v>
      </c>
      <c r="BJ44" s="616"/>
      <c r="BK44" s="615">
        <f t="shared" si="43"/>
        <v>74.12104</v>
      </c>
      <c r="BL44" s="616">
        <f t="shared" si="44"/>
        <v>27.7088</v>
      </c>
      <c r="BM44" s="616">
        <f t="shared" si="45"/>
        <v>13.8544</v>
      </c>
      <c r="BN44" s="616">
        <f t="shared" si="46"/>
        <v>10.3908</v>
      </c>
      <c r="BO44" s="616">
        <f t="shared" si="47"/>
        <v>0.34636</v>
      </c>
      <c r="BP44" s="616">
        <f t="shared" si="48"/>
        <v>1.03908</v>
      </c>
      <c r="BQ44" s="616">
        <f t="shared" si="49"/>
        <v>20.7816</v>
      </c>
      <c r="BR44" s="616">
        <f t="shared" si="50"/>
        <v>0</v>
      </c>
      <c r="BS44" s="304"/>
    </row>
    <row r="45" s="132" customFormat="1" ht="24" spans="1:71">
      <c r="A45" s="497" t="s">
        <v>226</v>
      </c>
      <c r="B45" s="497" t="s">
        <v>203</v>
      </c>
      <c r="C45" s="497" t="s">
        <v>251</v>
      </c>
      <c r="D45" s="497" t="s">
        <v>214</v>
      </c>
      <c r="E45" s="615">
        <f t="shared" si="8"/>
        <v>0</v>
      </c>
      <c r="F45" s="615">
        <f t="shared" si="9"/>
        <v>0</v>
      </c>
      <c r="G45" s="616"/>
      <c r="H45" s="616"/>
      <c r="I45" s="616"/>
      <c r="J45" s="616"/>
      <c r="K45" s="616"/>
      <c r="L45" s="616"/>
      <c r="M45" s="615">
        <f t="shared" si="10"/>
        <v>0</v>
      </c>
      <c r="N45" s="616"/>
      <c r="O45" s="616"/>
      <c r="P45" s="616"/>
      <c r="Q45" s="616"/>
      <c r="R45" s="616"/>
      <c r="S45" s="615">
        <f t="shared" si="19"/>
        <v>0</v>
      </c>
      <c r="T45" s="615">
        <f t="shared" si="20"/>
        <v>0</v>
      </c>
      <c r="U45" s="616"/>
      <c r="V45" s="616"/>
      <c r="W45" s="616"/>
      <c r="X45" s="616"/>
      <c r="Y45" s="616"/>
      <c r="Z45" s="616"/>
      <c r="AA45" s="615">
        <f t="shared" si="21"/>
        <v>0</v>
      </c>
      <c r="AB45" s="616"/>
      <c r="AC45" s="616"/>
      <c r="AD45" s="616"/>
      <c r="AE45" s="616"/>
      <c r="AF45" s="616"/>
      <c r="AG45" s="615">
        <f t="shared" si="22"/>
        <v>0</v>
      </c>
      <c r="AH45" s="615">
        <f t="shared" si="23"/>
        <v>0</v>
      </c>
      <c r="AI45" s="616">
        <f t="shared" si="24"/>
        <v>0</v>
      </c>
      <c r="AJ45" s="616">
        <f t="shared" si="25"/>
        <v>0</v>
      </c>
      <c r="AK45" s="616">
        <f t="shared" si="26"/>
        <v>0</v>
      </c>
      <c r="AL45" s="616">
        <f t="shared" si="27"/>
        <v>0</v>
      </c>
      <c r="AM45" s="616">
        <f t="shared" si="28"/>
        <v>0</v>
      </c>
      <c r="AN45" s="616">
        <f t="shared" si="29"/>
        <v>0</v>
      </c>
      <c r="AO45" s="615">
        <f t="shared" si="30"/>
        <v>0</v>
      </c>
      <c r="AP45" s="616">
        <f t="shared" si="31"/>
        <v>0</v>
      </c>
      <c r="AQ45" s="616">
        <f t="shared" si="32"/>
        <v>0</v>
      </c>
      <c r="AR45" s="616">
        <f t="shared" si="33"/>
        <v>0</v>
      </c>
      <c r="AS45" s="616">
        <f t="shared" si="34"/>
        <v>0</v>
      </c>
      <c r="AT45" s="637">
        <f t="shared" si="35"/>
        <v>0</v>
      </c>
      <c r="AU45" s="638">
        <f t="shared" si="12"/>
        <v>0</v>
      </c>
      <c r="AV45" s="616">
        <f t="shared" si="13"/>
        <v>0</v>
      </c>
      <c r="AW45" s="616">
        <f t="shared" si="14"/>
        <v>0</v>
      </c>
      <c r="AX45" s="616">
        <f t="shared" si="15"/>
        <v>0</v>
      </c>
      <c r="AY45" s="616">
        <f t="shared" si="16"/>
        <v>0</v>
      </c>
      <c r="AZ45" s="616">
        <f t="shared" si="17"/>
        <v>0</v>
      </c>
      <c r="BA45" s="616">
        <f t="shared" si="18"/>
        <v>0</v>
      </c>
      <c r="BB45" s="616"/>
      <c r="BC45" s="615">
        <f t="shared" si="36"/>
        <v>0</v>
      </c>
      <c r="BD45" s="616">
        <f t="shared" si="37"/>
        <v>0</v>
      </c>
      <c r="BE45" s="616">
        <f t="shared" si="38"/>
        <v>0</v>
      </c>
      <c r="BF45" s="616">
        <f t="shared" si="39"/>
        <v>0</v>
      </c>
      <c r="BG45" s="616">
        <f t="shared" si="40"/>
        <v>0</v>
      </c>
      <c r="BH45" s="616">
        <f t="shared" si="41"/>
        <v>0</v>
      </c>
      <c r="BI45" s="616">
        <f t="shared" si="42"/>
        <v>0</v>
      </c>
      <c r="BJ45" s="616"/>
      <c r="BK45" s="615">
        <f t="shared" si="43"/>
        <v>0</v>
      </c>
      <c r="BL45" s="616">
        <f t="shared" si="44"/>
        <v>0</v>
      </c>
      <c r="BM45" s="616">
        <f t="shared" si="45"/>
        <v>0</v>
      </c>
      <c r="BN45" s="616">
        <f t="shared" si="46"/>
        <v>0</v>
      </c>
      <c r="BO45" s="616">
        <f t="shared" si="47"/>
        <v>0</v>
      </c>
      <c r="BP45" s="616">
        <f t="shared" si="48"/>
        <v>0</v>
      </c>
      <c r="BQ45" s="616">
        <f t="shared" si="49"/>
        <v>0</v>
      </c>
      <c r="BR45" s="616">
        <f t="shared" si="50"/>
        <v>0</v>
      </c>
      <c r="BS45" s="304"/>
    </row>
    <row r="46" s="132" customFormat="1" ht="24" customHeight="1" spans="1:71">
      <c r="A46" s="497" t="s">
        <v>226</v>
      </c>
      <c r="B46" s="497" t="s">
        <v>206</v>
      </c>
      <c r="C46" s="497" t="s">
        <v>252</v>
      </c>
      <c r="D46" s="497" t="s">
        <v>220</v>
      </c>
      <c r="E46" s="615">
        <f t="shared" si="8"/>
        <v>277.1228</v>
      </c>
      <c r="F46" s="615">
        <f t="shared" si="9"/>
        <v>231.708</v>
      </c>
      <c r="G46" s="616">
        <v>124.2648</v>
      </c>
      <c r="H46" s="616"/>
      <c r="I46" s="616">
        <v>47.3532</v>
      </c>
      <c r="J46" s="616">
        <v>11.52</v>
      </c>
      <c r="K46" s="616">
        <v>1.46</v>
      </c>
      <c r="L46" s="616">
        <v>47.11</v>
      </c>
      <c r="M46" s="615">
        <f t="shared" si="10"/>
        <v>45.4148</v>
      </c>
      <c r="N46" s="616">
        <v>28.4148</v>
      </c>
      <c r="O46" s="616"/>
      <c r="P46" s="616"/>
      <c r="Q46" s="616"/>
      <c r="R46" s="616">
        <v>17</v>
      </c>
      <c r="S46" s="615">
        <f t="shared" si="19"/>
        <v>-8.11</v>
      </c>
      <c r="T46" s="615">
        <f t="shared" si="20"/>
        <v>-7.55</v>
      </c>
      <c r="U46" s="616">
        <v>-1.62</v>
      </c>
      <c r="V46" s="616">
        <v>-1.01</v>
      </c>
      <c r="W46" s="616"/>
      <c r="X46" s="616">
        <v>0.26</v>
      </c>
      <c r="Y46" s="616">
        <v>-0.09</v>
      </c>
      <c r="Z46" s="616">
        <v>-5.09</v>
      </c>
      <c r="AA46" s="615">
        <f t="shared" si="21"/>
        <v>-0.56</v>
      </c>
      <c r="AB46" s="616">
        <v>-0.65</v>
      </c>
      <c r="AC46" s="616"/>
      <c r="AD46" s="616"/>
      <c r="AE46" s="616"/>
      <c r="AF46" s="616">
        <v>0.09</v>
      </c>
      <c r="AG46" s="615">
        <f t="shared" si="22"/>
        <v>269.0128</v>
      </c>
      <c r="AH46" s="615">
        <f t="shared" si="23"/>
        <v>224.158</v>
      </c>
      <c r="AI46" s="616">
        <f t="shared" si="24"/>
        <v>122.6448</v>
      </c>
      <c r="AJ46" s="616">
        <f t="shared" si="25"/>
        <v>-1.01</v>
      </c>
      <c r="AK46" s="616">
        <f t="shared" si="26"/>
        <v>47.3532</v>
      </c>
      <c r="AL46" s="616">
        <f t="shared" si="27"/>
        <v>11.78</v>
      </c>
      <c r="AM46" s="616">
        <f t="shared" si="28"/>
        <v>1.37</v>
      </c>
      <c r="AN46" s="616">
        <f t="shared" si="29"/>
        <v>42.02</v>
      </c>
      <c r="AO46" s="615">
        <f t="shared" si="30"/>
        <v>44.8548</v>
      </c>
      <c r="AP46" s="616">
        <f t="shared" si="31"/>
        <v>27.7648</v>
      </c>
      <c r="AQ46" s="616">
        <f t="shared" si="32"/>
        <v>0</v>
      </c>
      <c r="AR46" s="616">
        <f t="shared" si="33"/>
        <v>0</v>
      </c>
      <c r="AS46" s="616">
        <f t="shared" si="34"/>
        <v>0</v>
      </c>
      <c r="AT46" s="637">
        <f t="shared" si="35"/>
        <v>17.09</v>
      </c>
      <c r="AU46" s="638">
        <f t="shared" si="12"/>
        <v>85.6140384</v>
      </c>
      <c r="AV46" s="616">
        <f t="shared" si="13"/>
        <v>32.005248</v>
      </c>
      <c r="AW46" s="616">
        <f t="shared" si="14"/>
        <v>16.002624</v>
      </c>
      <c r="AX46" s="616">
        <f t="shared" si="15"/>
        <v>12.001968</v>
      </c>
      <c r="AY46" s="616">
        <f t="shared" si="16"/>
        <v>0.4000656</v>
      </c>
      <c r="AZ46" s="616">
        <f t="shared" si="17"/>
        <v>1.2001968</v>
      </c>
      <c r="BA46" s="616">
        <f t="shared" si="18"/>
        <v>24.003936</v>
      </c>
      <c r="BB46" s="616"/>
      <c r="BC46" s="615">
        <f t="shared" si="36"/>
        <v>-1.40384</v>
      </c>
      <c r="BD46" s="616">
        <f t="shared" si="37"/>
        <v>-0.5248</v>
      </c>
      <c r="BE46" s="616">
        <f t="shared" si="38"/>
        <v>-0.2624</v>
      </c>
      <c r="BF46" s="616">
        <f t="shared" si="39"/>
        <v>-0.1968</v>
      </c>
      <c r="BG46" s="616">
        <f t="shared" si="40"/>
        <v>-0.00656</v>
      </c>
      <c r="BH46" s="616">
        <f t="shared" si="41"/>
        <v>-0.01968</v>
      </c>
      <c r="BI46" s="616">
        <f t="shared" si="42"/>
        <v>-0.3936</v>
      </c>
      <c r="BJ46" s="616"/>
      <c r="BK46" s="615">
        <f t="shared" si="43"/>
        <v>84.2101984</v>
      </c>
      <c r="BL46" s="616">
        <f t="shared" si="44"/>
        <v>31.480448</v>
      </c>
      <c r="BM46" s="616">
        <f t="shared" si="45"/>
        <v>15.740224</v>
      </c>
      <c r="BN46" s="616">
        <f t="shared" si="46"/>
        <v>11.805168</v>
      </c>
      <c r="BO46" s="616">
        <f t="shared" si="47"/>
        <v>0.3935056</v>
      </c>
      <c r="BP46" s="616">
        <f t="shared" si="48"/>
        <v>1.1805168</v>
      </c>
      <c r="BQ46" s="616">
        <f t="shared" si="49"/>
        <v>23.610336</v>
      </c>
      <c r="BR46" s="616">
        <f t="shared" si="50"/>
        <v>0</v>
      </c>
      <c r="BS46" s="304"/>
    </row>
    <row r="47" s="132" customFormat="1" ht="24" spans="1:71">
      <c r="A47" s="497" t="s">
        <v>226</v>
      </c>
      <c r="B47" s="497" t="s">
        <v>203</v>
      </c>
      <c r="C47" s="497" t="s">
        <v>253</v>
      </c>
      <c r="D47" s="497" t="s">
        <v>214</v>
      </c>
      <c r="E47" s="615">
        <f t="shared" si="8"/>
        <v>0</v>
      </c>
      <c r="F47" s="615">
        <f t="shared" si="9"/>
        <v>0</v>
      </c>
      <c r="G47" s="616"/>
      <c r="H47" s="616"/>
      <c r="I47" s="616"/>
      <c r="J47" s="616"/>
      <c r="K47" s="616"/>
      <c r="L47" s="616"/>
      <c r="M47" s="615">
        <f t="shared" si="10"/>
        <v>0</v>
      </c>
      <c r="N47" s="616"/>
      <c r="O47" s="616"/>
      <c r="P47" s="616"/>
      <c r="Q47" s="616"/>
      <c r="R47" s="616"/>
      <c r="S47" s="615">
        <f t="shared" si="19"/>
        <v>0</v>
      </c>
      <c r="T47" s="615">
        <f t="shared" si="20"/>
        <v>0</v>
      </c>
      <c r="U47" s="616"/>
      <c r="V47" s="616"/>
      <c r="W47" s="616"/>
      <c r="X47" s="616"/>
      <c r="Y47" s="616"/>
      <c r="Z47" s="616"/>
      <c r="AA47" s="615">
        <f t="shared" si="21"/>
        <v>0</v>
      </c>
      <c r="AB47" s="616"/>
      <c r="AC47" s="616"/>
      <c r="AD47" s="616"/>
      <c r="AE47" s="616"/>
      <c r="AF47" s="616"/>
      <c r="AG47" s="615">
        <f t="shared" si="22"/>
        <v>0</v>
      </c>
      <c r="AH47" s="615">
        <f t="shared" si="23"/>
        <v>0</v>
      </c>
      <c r="AI47" s="616">
        <f t="shared" si="24"/>
        <v>0</v>
      </c>
      <c r="AJ47" s="616">
        <f t="shared" si="25"/>
        <v>0</v>
      </c>
      <c r="AK47" s="616">
        <f t="shared" si="26"/>
        <v>0</v>
      </c>
      <c r="AL47" s="616">
        <f t="shared" si="27"/>
        <v>0</v>
      </c>
      <c r="AM47" s="616">
        <f t="shared" si="28"/>
        <v>0</v>
      </c>
      <c r="AN47" s="616">
        <f t="shared" si="29"/>
        <v>0</v>
      </c>
      <c r="AO47" s="615">
        <f t="shared" si="30"/>
        <v>0</v>
      </c>
      <c r="AP47" s="616">
        <f t="shared" si="31"/>
        <v>0</v>
      </c>
      <c r="AQ47" s="616">
        <f t="shared" si="32"/>
        <v>0</v>
      </c>
      <c r="AR47" s="616">
        <f t="shared" si="33"/>
        <v>0</v>
      </c>
      <c r="AS47" s="616">
        <f t="shared" si="34"/>
        <v>0</v>
      </c>
      <c r="AT47" s="637">
        <f t="shared" si="35"/>
        <v>0</v>
      </c>
      <c r="AU47" s="638">
        <f t="shared" si="12"/>
        <v>0</v>
      </c>
      <c r="AV47" s="616">
        <f t="shared" si="13"/>
        <v>0</v>
      </c>
      <c r="AW47" s="616">
        <f t="shared" si="14"/>
        <v>0</v>
      </c>
      <c r="AX47" s="616">
        <f t="shared" si="15"/>
        <v>0</v>
      </c>
      <c r="AY47" s="616">
        <f t="shared" si="16"/>
        <v>0</v>
      </c>
      <c r="AZ47" s="616">
        <f t="shared" si="17"/>
        <v>0</v>
      </c>
      <c r="BA47" s="616">
        <f t="shared" si="18"/>
        <v>0</v>
      </c>
      <c r="BB47" s="616"/>
      <c r="BC47" s="615">
        <f t="shared" si="36"/>
        <v>0</v>
      </c>
      <c r="BD47" s="616">
        <f t="shared" si="37"/>
        <v>0</v>
      </c>
      <c r="BE47" s="616">
        <f t="shared" si="38"/>
        <v>0</v>
      </c>
      <c r="BF47" s="616">
        <f t="shared" si="39"/>
        <v>0</v>
      </c>
      <c r="BG47" s="616">
        <f t="shared" si="40"/>
        <v>0</v>
      </c>
      <c r="BH47" s="616">
        <f t="shared" si="41"/>
        <v>0</v>
      </c>
      <c r="BI47" s="616">
        <f t="shared" si="42"/>
        <v>0</v>
      </c>
      <c r="BJ47" s="616"/>
      <c r="BK47" s="615">
        <f t="shared" si="43"/>
        <v>0</v>
      </c>
      <c r="BL47" s="616">
        <f t="shared" si="44"/>
        <v>0</v>
      </c>
      <c r="BM47" s="616">
        <f t="shared" si="45"/>
        <v>0</v>
      </c>
      <c r="BN47" s="616">
        <f t="shared" si="46"/>
        <v>0</v>
      </c>
      <c r="BO47" s="616">
        <f t="shared" si="47"/>
        <v>0</v>
      </c>
      <c r="BP47" s="616">
        <f t="shared" si="48"/>
        <v>0</v>
      </c>
      <c r="BQ47" s="616">
        <f t="shared" si="49"/>
        <v>0</v>
      </c>
      <c r="BR47" s="616">
        <f t="shared" si="50"/>
        <v>0</v>
      </c>
      <c r="BS47" s="304"/>
    </row>
    <row r="48" s="132" customFormat="1" ht="24" spans="1:71">
      <c r="A48" s="497" t="s">
        <v>226</v>
      </c>
      <c r="B48" s="497" t="s">
        <v>206</v>
      </c>
      <c r="C48" s="497" t="s">
        <v>254</v>
      </c>
      <c r="D48" s="497" t="s">
        <v>220</v>
      </c>
      <c r="E48" s="615">
        <f t="shared" si="8"/>
        <v>259.79</v>
      </c>
      <c r="F48" s="615">
        <f t="shared" si="9"/>
        <v>216.49</v>
      </c>
      <c r="G48" s="616">
        <v>114.41</v>
      </c>
      <c r="H48" s="616"/>
      <c r="I48" s="616">
        <v>45.28</v>
      </c>
      <c r="J48" s="616">
        <v>10.8</v>
      </c>
      <c r="K48" s="616">
        <v>1.25</v>
      </c>
      <c r="L48" s="616">
        <v>44.75</v>
      </c>
      <c r="M48" s="615">
        <f t="shared" si="10"/>
        <v>43.3</v>
      </c>
      <c r="N48" s="616">
        <v>26.8</v>
      </c>
      <c r="O48" s="616"/>
      <c r="P48" s="616"/>
      <c r="Q48" s="616"/>
      <c r="R48" s="616">
        <v>16.5</v>
      </c>
      <c r="S48" s="615">
        <f t="shared" si="19"/>
        <v>4.9</v>
      </c>
      <c r="T48" s="615">
        <f t="shared" si="20"/>
        <v>3.91</v>
      </c>
      <c r="U48" s="616">
        <v>2.2</v>
      </c>
      <c r="V48" s="616">
        <v>0.96</v>
      </c>
      <c r="W48" s="616"/>
      <c r="X48" s="616">
        <v>0.47</v>
      </c>
      <c r="Y48" s="616"/>
      <c r="Z48" s="616">
        <v>0.28</v>
      </c>
      <c r="AA48" s="615">
        <f t="shared" si="21"/>
        <v>0.99</v>
      </c>
      <c r="AB48" s="616">
        <v>0.68</v>
      </c>
      <c r="AC48" s="616"/>
      <c r="AD48" s="616"/>
      <c r="AE48" s="616"/>
      <c r="AF48" s="616">
        <v>0.31</v>
      </c>
      <c r="AG48" s="615">
        <f t="shared" si="22"/>
        <v>264.69</v>
      </c>
      <c r="AH48" s="615">
        <f t="shared" si="23"/>
        <v>220.4</v>
      </c>
      <c r="AI48" s="616">
        <f t="shared" si="24"/>
        <v>116.61</v>
      </c>
      <c r="AJ48" s="616">
        <f t="shared" si="25"/>
        <v>0.96</v>
      </c>
      <c r="AK48" s="616">
        <f t="shared" si="26"/>
        <v>45.28</v>
      </c>
      <c r="AL48" s="616">
        <f t="shared" si="27"/>
        <v>11.27</v>
      </c>
      <c r="AM48" s="616">
        <f t="shared" si="28"/>
        <v>1.25</v>
      </c>
      <c r="AN48" s="616">
        <f t="shared" si="29"/>
        <v>45.03</v>
      </c>
      <c r="AO48" s="615">
        <f t="shared" si="30"/>
        <v>44.29</v>
      </c>
      <c r="AP48" s="616">
        <f t="shared" si="31"/>
        <v>27.48</v>
      </c>
      <c r="AQ48" s="616">
        <f t="shared" si="32"/>
        <v>0</v>
      </c>
      <c r="AR48" s="616">
        <f t="shared" si="33"/>
        <v>0</v>
      </c>
      <c r="AS48" s="616">
        <f t="shared" si="34"/>
        <v>0</v>
      </c>
      <c r="AT48" s="637">
        <f t="shared" si="35"/>
        <v>16.81</v>
      </c>
      <c r="AU48" s="638">
        <f t="shared" si="12"/>
        <v>79.81772</v>
      </c>
      <c r="AV48" s="616">
        <f t="shared" si="13"/>
        <v>29.8384</v>
      </c>
      <c r="AW48" s="616">
        <f t="shared" si="14"/>
        <v>14.9192</v>
      </c>
      <c r="AX48" s="616">
        <f t="shared" si="15"/>
        <v>11.1894</v>
      </c>
      <c r="AY48" s="616">
        <f t="shared" si="16"/>
        <v>0.37298</v>
      </c>
      <c r="AZ48" s="616">
        <f t="shared" si="17"/>
        <v>1.11894</v>
      </c>
      <c r="BA48" s="616">
        <f t="shared" si="18"/>
        <v>22.3788</v>
      </c>
      <c r="BB48" s="616"/>
      <c r="BC48" s="615">
        <f t="shared" si="36"/>
        <v>1.64352</v>
      </c>
      <c r="BD48" s="616">
        <f t="shared" si="37"/>
        <v>0.6144</v>
      </c>
      <c r="BE48" s="616">
        <f t="shared" si="38"/>
        <v>0.3072</v>
      </c>
      <c r="BF48" s="616">
        <f t="shared" si="39"/>
        <v>0.2304</v>
      </c>
      <c r="BG48" s="616">
        <f t="shared" si="40"/>
        <v>0.00768</v>
      </c>
      <c r="BH48" s="616">
        <f t="shared" si="41"/>
        <v>0.02304</v>
      </c>
      <c r="BI48" s="616">
        <f t="shared" si="42"/>
        <v>0.4608</v>
      </c>
      <c r="BJ48" s="616"/>
      <c r="BK48" s="615">
        <f t="shared" si="43"/>
        <v>81.46124</v>
      </c>
      <c r="BL48" s="616">
        <f t="shared" si="44"/>
        <v>30.4528</v>
      </c>
      <c r="BM48" s="616">
        <f t="shared" si="45"/>
        <v>15.2264</v>
      </c>
      <c r="BN48" s="616">
        <f t="shared" si="46"/>
        <v>11.4198</v>
      </c>
      <c r="BO48" s="616">
        <f t="shared" si="47"/>
        <v>0.38066</v>
      </c>
      <c r="BP48" s="616">
        <f t="shared" si="48"/>
        <v>1.14198</v>
      </c>
      <c r="BQ48" s="616">
        <f t="shared" si="49"/>
        <v>22.8396</v>
      </c>
      <c r="BR48" s="616">
        <f t="shared" si="50"/>
        <v>0</v>
      </c>
      <c r="BS48" s="304"/>
    </row>
    <row r="49" s="132" customFormat="1" ht="24" spans="1:71">
      <c r="A49" s="497" t="s">
        <v>226</v>
      </c>
      <c r="B49" s="497" t="s">
        <v>203</v>
      </c>
      <c r="C49" s="497" t="s">
        <v>255</v>
      </c>
      <c r="D49" s="497" t="s">
        <v>214</v>
      </c>
      <c r="E49" s="615">
        <f t="shared" si="8"/>
        <v>0</v>
      </c>
      <c r="F49" s="615">
        <f t="shared" si="9"/>
        <v>0</v>
      </c>
      <c r="G49" s="616"/>
      <c r="H49" s="616"/>
      <c r="I49" s="616"/>
      <c r="J49" s="616"/>
      <c r="K49" s="616"/>
      <c r="L49" s="616"/>
      <c r="M49" s="615">
        <f t="shared" si="10"/>
        <v>0</v>
      </c>
      <c r="N49" s="616"/>
      <c r="O49" s="616"/>
      <c r="P49" s="616"/>
      <c r="Q49" s="616"/>
      <c r="R49" s="616"/>
      <c r="S49" s="615">
        <f t="shared" si="19"/>
        <v>0</v>
      </c>
      <c r="T49" s="615">
        <f t="shared" si="20"/>
        <v>0</v>
      </c>
      <c r="U49" s="616"/>
      <c r="V49" s="616"/>
      <c r="W49" s="616"/>
      <c r="X49" s="616"/>
      <c r="Y49" s="616"/>
      <c r="Z49" s="616"/>
      <c r="AA49" s="615">
        <f t="shared" si="21"/>
        <v>0</v>
      </c>
      <c r="AB49" s="616"/>
      <c r="AC49" s="616"/>
      <c r="AD49" s="616"/>
      <c r="AE49" s="616"/>
      <c r="AF49" s="616"/>
      <c r="AG49" s="615">
        <f t="shared" si="22"/>
        <v>0</v>
      </c>
      <c r="AH49" s="615">
        <f t="shared" si="23"/>
        <v>0</v>
      </c>
      <c r="AI49" s="616">
        <f t="shared" si="24"/>
        <v>0</v>
      </c>
      <c r="AJ49" s="616">
        <f t="shared" si="25"/>
        <v>0</v>
      </c>
      <c r="AK49" s="616">
        <f t="shared" si="26"/>
        <v>0</v>
      </c>
      <c r="AL49" s="616">
        <f t="shared" si="27"/>
        <v>0</v>
      </c>
      <c r="AM49" s="616">
        <f t="shared" si="28"/>
        <v>0</v>
      </c>
      <c r="AN49" s="616">
        <f t="shared" si="29"/>
        <v>0</v>
      </c>
      <c r="AO49" s="615">
        <f t="shared" si="30"/>
        <v>0</v>
      </c>
      <c r="AP49" s="616">
        <f t="shared" si="31"/>
        <v>0</v>
      </c>
      <c r="AQ49" s="616">
        <f t="shared" si="32"/>
        <v>0</v>
      </c>
      <c r="AR49" s="616">
        <f t="shared" si="33"/>
        <v>0</v>
      </c>
      <c r="AS49" s="616">
        <f t="shared" si="34"/>
        <v>0</v>
      </c>
      <c r="AT49" s="637">
        <f t="shared" si="35"/>
        <v>0</v>
      </c>
      <c r="AU49" s="638">
        <f t="shared" si="12"/>
        <v>0</v>
      </c>
      <c r="AV49" s="616">
        <f t="shared" si="13"/>
        <v>0</v>
      </c>
      <c r="AW49" s="616">
        <f t="shared" si="14"/>
        <v>0</v>
      </c>
      <c r="AX49" s="616">
        <f t="shared" si="15"/>
        <v>0</v>
      </c>
      <c r="AY49" s="616">
        <f t="shared" si="16"/>
        <v>0</v>
      </c>
      <c r="AZ49" s="616">
        <f t="shared" si="17"/>
        <v>0</v>
      </c>
      <c r="BA49" s="616">
        <f t="shared" si="18"/>
        <v>0</v>
      </c>
      <c r="BB49" s="616"/>
      <c r="BC49" s="615">
        <f t="shared" si="36"/>
        <v>0</v>
      </c>
      <c r="BD49" s="616">
        <f t="shared" si="37"/>
        <v>0</v>
      </c>
      <c r="BE49" s="616">
        <f t="shared" si="38"/>
        <v>0</v>
      </c>
      <c r="BF49" s="616">
        <f t="shared" si="39"/>
        <v>0</v>
      </c>
      <c r="BG49" s="616">
        <f t="shared" si="40"/>
        <v>0</v>
      </c>
      <c r="BH49" s="616">
        <f t="shared" si="41"/>
        <v>0</v>
      </c>
      <c r="BI49" s="616">
        <f t="shared" si="42"/>
        <v>0</v>
      </c>
      <c r="BJ49" s="616"/>
      <c r="BK49" s="615">
        <f t="shared" si="43"/>
        <v>0</v>
      </c>
      <c r="BL49" s="616">
        <f t="shared" si="44"/>
        <v>0</v>
      </c>
      <c r="BM49" s="616">
        <f t="shared" si="45"/>
        <v>0</v>
      </c>
      <c r="BN49" s="616">
        <f t="shared" si="46"/>
        <v>0</v>
      </c>
      <c r="BO49" s="616">
        <f t="shared" si="47"/>
        <v>0</v>
      </c>
      <c r="BP49" s="616">
        <f t="shared" si="48"/>
        <v>0</v>
      </c>
      <c r="BQ49" s="616">
        <f t="shared" si="49"/>
        <v>0</v>
      </c>
      <c r="BR49" s="616">
        <f t="shared" si="50"/>
        <v>0</v>
      </c>
      <c r="BS49" s="304"/>
    </row>
    <row r="50" s="132" customFormat="1" ht="24" spans="1:71">
      <c r="A50" s="497" t="s">
        <v>226</v>
      </c>
      <c r="B50" s="497" t="s">
        <v>206</v>
      </c>
      <c r="C50" s="497" t="s">
        <v>256</v>
      </c>
      <c r="D50" s="497" t="s">
        <v>220</v>
      </c>
      <c r="E50" s="615">
        <f t="shared" si="8"/>
        <v>263.79</v>
      </c>
      <c r="F50" s="615">
        <f t="shared" si="9"/>
        <v>220.97</v>
      </c>
      <c r="G50" s="616">
        <v>119.88</v>
      </c>
      <c r="H50" s="616"/>
      <c r="I50" s="616">
        <v>45.57</v>
      </c>
      <c r="J50" s="616">
        <v>10.8</v>
      </c>
      <c r="K50" s="616">
        <v>0.62</v>
      </c>
      <c r="L50" s="616">
        <v>44.1</v>
      </c>
      <c r="M50" s="615">
        <f t="shared" si="10"/>
        <v>42.82</v>
      </c>
      <c r="N50" s="616">
        <v>26.82</v>
      </c>
      <c r="O50" s="616"/>
      <c r="P50" s="616"/>
      <c r="Q50" s="616"/>
      <c r="R50" s="616">
        <v>16</v>
      </c>
      <c r="S50" s="615">
        <f t="shared" si="19"/>
        <v>-3.0483</v>
      </c>
      <c r="T50" s="615">
        <f t="shared" si="20"/>
        <v>-2.59</v>
      </c>
      <c r="U50" s="616">
        <v>-1.58</v>
      </c>
      <c r="V50" s="616">
        <v>-0.79</v>
      </c>
      <c r="W50" s="616"/>
      <c r="X50" s="616">
        <v>0.12</v>
      </c>
      <c r="Y50" s="616"/>
      <c r="Z50" s="616">
        <v>-0.34</v>
      </c>
      <c r="AA50" s="615">
        <f t="shared" si="21"/>
        <v>-0.4583</v>
      </c>
      <c r="AB50" s="616">
        <v>-0.5</v>
      </c>
      <c r="AC50" s="616"/>
      <c r="AD50" s="616"/>
      <c r="AE50" s="616"/>
      <c r="AF50" s="616">
        <v>0.0417</v>
      </c>
      <c r="AG50" s="615">
        <f t="shared" si="22"/>
        <v>260.7417</v>
      </c>
      <c r="AH50" s="615">
        <f t="shared" si="23"/>
        <v>218.38</v>
      </c>
      <c r="AI50" s="616">
        <f t="shared" si="24"/>
        <v>118.3</v>
      </c>
      <c r="AJ50" s="616">
        <f t="shared" si="25"/>
        <v>-0.79</v>
      </c>
      <c r="AK50" s="616">
        <f t="shared" si="26"/>
        <v>45.57</v>
      </c>
      <c r="AL50" s="616">
        <f t="shared" si="27"/>
        <v>10.92</v>
      </c>
      <c r="AM50" s="616">
        <f t="shared" si="28"/>
        <v>0.62</v>
      </c>
      <c r="AN50" s="616">
        <f t="shared" si="29"/>
        <v>43.76</v>
      </c>
      <c r="AO50" s="615">
        <f t="shared" si="30"/>
        <v>42.3617</v>
      </c>
      <c r="AP50" s="616">
        <f t="shared" si="31"/>
        <v>26.32</v>
      </c>
      <c r="AQ50" s="616">
        <f t="shared" si="32"/>
        <v>0</v>
      </c>
      <c r="AR50" s="616">
        <f t="shared" si="33"/>
        <v>0</v>
      </c>
      <c r="AS50" s="616">
        <f t="shared" si="34"/>
        <v>0</v>
      </c>
      <c r="AT50" s="637">
        <f t="shared" si="35"/>
        <v>16.0417</v>
      </c>
      <c r="AU50" s="638">
        <f t="shared" si="12"/>
        <v>82.29156</v>
      </c>
      <c r="AV50" s="616">
        <f t="shared" si="13"/>
        <v>30.7632</v>
      </c>
      <c r="AW50" s="616">
        <f t="shared" si="14"/>
        <v>15.3816</v>
      </c>
      <c r="AX50" s="616">
        <f t="shared" si="15"/>
        <v>11.5362</v>
      </c>
      <c r="AY50" s="616">
        <f t="shared" si="16"/>
        <v>0.38454</v>
      </c>
      <c r="AZ50" s="616">
        <f t="shared" si="17"/>
        <v>1.15362</v>
      </c>
      <c r="BA50" s="616">
        <f t="shared" si="18"/>
        <v>23.0724</v>
      </c>
      <c r="BB50" s="616"/>
      <c r="BC50" s="615">
        <f t="shared" si="36"/>
        <v>-1.22836</v>
      </c>
      <c r="BD50" s="616">
        <f t="shared" si="37"/>
        <v>-0.4592</v>
      </c>
      <c r="BE50" s="616">
        <f t="shared" si="38"/>
        <v>-0.2296</v>
      </c>
      <c r="BF50" s="616">
        <f t="shared" si="39"/>
        <v>-0.1722</v>
      </c>
      <c r="BG50" s="616">
        <f t="shared" si="40"/>
        <v>-0.00574</v>
      </c>
      <c r="BH50" s="616">
        <f t="shared" si="41"/>
        <v>-0.01722</v>
      </c>
      <c r="BI50" s="616">
        <f t="shared" si="42"/>
        <v>-0.3444</v>
      </c>
      <c r="BJ50" s="616"/>
      <c r="BK50" s="615">
        <f t="shared" si="43"/>
        <v>81.0632</v>
      </c>
      <c r="BL50" s="616">
        <f t="shared" si="44"/>
        <v>30.304</v>
      </c>
      <c r="BM50" s="616">
        <f t="shared" si="45"/>
        <v>15.152</v>
      </c>
      <c r="BN50" s="616">
        <f t="shared" si="46"/>
        <v>11.364</v>
      </c>
      <c r="BO50" s="616">
        <f t="shared" si="47"/>
        <v>0.3788</v>
      </c>
      <c r="BP50" s="616">
        <f t="shared" si="48"/>
        <v>1.1364</v>
      </c>
      <c r="BQ50" s="616">
        <f t="shared" si="49"/>
        <v>22.728</v>
      </c>
      <c r="BR50" s="616">
        <f t="shared" si="50"/>
        <v>0</v>
      </c>
      <c r="BS50" s="304"/>
    </row>
    <row r="51" s="132" customFormat="1" ht="24" spans="1:71">
      <c r="A51" s="497" t="s">
        <v>226</v>
      </c>
      <c r="B51" s="497" t="s">
        <v>203</v>
      </c>
      <c r="C51" s="497" t="s">
        <v>257</v>
      </c>
      <c r="D51" s="497" t="s">
        <v>214</v>
      </c>
      <c r="E51" s="615">
        <f t="shared" si="8"/>
        <v>0</v>
      </c>
      <c r="F51" s="615">
        <f t="shared" si="9"/>
        <v>0</v>
      </c>
      <c r="G51" s="616"/>
      <c r="H51" s="616"/>
      <c r="I51" s="616"/>
      <c r="J51" s="616"/>
      <c r="K51" s="616"/>
      <c r="L51" s="616"/>
      <c r="M51" s="615">
        <f t="shared" si="10"/>
        <v>0</v>
      </c>
      <c r="N51" s="616"/>
      <c r="O51" s="616"/>
      <c r="P51" s="616"/>
      <c r="Q51" s="616"/>
      <c r="R51" s="616"/>
      <c r="S51" s="615">
        <f t="shared" si="19"/>
        <v>0</v>
      </c>
      <c r="T51" s="615">
        <f t="shared" si="20"/>
        <v>0</v>
      </c>
      <c r="U51" s="616"/>
      <c r="V51" s="616"/>
      <c r="W51" s="616"/>
      <c r="X51" s="616"/>
      <c r="Y51" s="616"/>
      <c r="Z51" s="616"/>
      <c r="AA51" s="615">
        <f t="shared" si="21"/>
        <v>0</v>
      </c>
      <c r="AB51" s="616"/>
      <c r="AC51" s="616"/>
      <c r="AD51" s="616"/>
      <c r="AE51" s="616"/>
      <c r="AF51" s="616"/>
      <c r="AG51" s="615">
        <f t="shared" si="22"/>
        <v>0</v>
      </c>
      <c r="AH51" s="615">
        <f t="shared" si="23"/>
        <v>0</v>
      </c>
      <c r="AI51" s="616">
        <f t="shared" si="24"/>
        <v>0</v>
      </c>
      <c r="AJ51" s="616">
        <f t="shared" si="25"/>
        <v>0</v>
      </c>
      <c r="AK51" s="616">
        <f t="shared" si="26"/>
        <v>0</v>
      </c>
      <c r="AL51" s="616">
        <f t="shared" si="27"/>
        <v>0</v>
      </c>
      <c r="AM51" s="616">
        <f t="shared" si="28"/>
        <v>0</v>
      </c>
      <c r="AN51" s="616">
        <f t="shared" si="29"/>
        <v>0</v>
      </c>
      <c r="AO51" s="615">
        <f t="shared" si="30"/>
        <v>0</v>
      </c>
      <c r="AP51" s="616">
        <f t="shared" si="31"/>
        <v>0</v>
      </c>
      <c r="AQ51" s="616">
        <f t="shared" si="32"/>
        <v>0</v>
      </c>
      <c r="AR51" s="616">
        <f t="shared" si="33"/>
        <v>0</v>
      </c>
      <c r="AS51" s="616">
        <f t="shared" si="34"/>
        <v>0</v>
      </c>
      <c r="AT51" s="637">
        <f t="shared" si="35"/>
        <v>0</v>
      </c>
      <c r="AU51" s="638">
        <f t="shared" si="12"/>
        <v>0</v>
      </c>
      <c r="AV51" s="616">
        <f t="shared" si="13"/>
        <v>0</v>
      </c>
      <c r="AW51" s="616">
        <f t="shared" si="14"/>
        <v>0</v>
      </c>
      <c r="AX51" s="616">
        <f t="shared" si="15"/>
        <v>0</v>
      </c>
      <c r="AY51" s="616">
        <f t="shared" si="16"/>
        <v>0</v>
      </c>
      <c r="AZ51" s="616">
        <f t="shared" si="17"/>
        <v>0</v>
      </c>
      <c r="BA51" s="616">
        <f t="shared" si="18"/>
        <v>0</v>
      </c>
      <c r="BB51" s="616"/>
      <c r="BC51" s="615">
        <f t="shared" si="36"/>
        <v>0</v>
      </c>
      <c r="BD51" s="616">
        <f t="shared" si="37"/>
        <v>0</v>
      </c>
      <c r="BE51" s="616">
        <f t="shared" si="38"/>
        <v>0</v>
      </c>
      <c r="BF51" s="616">
        <f t="shared" si="39"/>
        <v>0</v>
      </c>
      <c r="BG51" s="616">
        <f t="shared" si="40"/>
        <v>0</v>
      </c>
      <c r="BH51" s="616">
        <f t="shared" si="41"/>
        <v>0</v>
      </c>
      <c r="BI51" s="616">
        <f t="shared" si="42"/>
        <v>0</v>
      </c>
      <c r="BJ51" s="616"/>
      <c r="BK51" s="615">
        <f t="shared" si="43"/>
        <v>0</v>
      </c>
      <c r="BL51" s="616">
        <f t="shared" si="44"/>
        <v>0</v>
      </c>
      <c r="BM51" s="616">
        <f t="shared" si="45"/>
        <v>0</v>
      </c>
      <c r="BN51" s="616">
        <f t="shared" si="46"/>
        <v>0</v>
      </c>
      <c r="BO51" s="616">
        <f t="shared" si="47"/>
        <v>0</v>
      </c>
      <c r="BP51" s="616">
        <f t="shared" si="48"/>
        <v>0</v>
      </c>
      <c r="BQ51" s="616">
        <f t="shared" si="49"/>
        <v>0</v>
      </c>
      <c r="BR51" s="616">
        <f t="shared" si="50"/>
        <v>0</v>
      </c>
      <c r="BS51" s="304"/>
    </row>
    <row r="52" s="132" customFormat="1" ht="24" spans="1:71">
      <c r="A52" s="497" t="s">
        <v>226</v>
      </c>
      <c r="B52" s="497" t="s">
        <v>206</v>
      </c>
      <c r="C52" s="497" t="s">
        <v>258</v>
      </c>
      <c r="D52" s="497" t="s">
        <v>220</v>
      </c>
      <c r="E52" s="615">
        <f t="shared" si="8"/>
        <v>203.82</v>
      </c>
      <c r="F52" s="615">
        <f t="shared" si="9"/>
        <v>169.04</v>
      </c>
      <c r="G52" s="616">
        <v>85.9</v>
      </c>
      <c r="H52" s="616"/>
      <c r="I52" s="616">
        <v>35.1</v>
      </c>
      <c r="J52" s="616">
        <v>12</v>
      </c>
      <c r="K52" s="616">
        <v>0.94</v>
      </c>
      <c r="L52" s="616">
        <v>35.1</v>
      </c>
      <c r="M52" s="615">
        <f t="shared" si="10"/>
        <v>34.78</v>
      </c>
      <c r="N52" s="616">
        <v>21.78</v>
      </c>
      <c r="O52" s="616"/>
      <c r="P52" s="616"/>
      <c r="Q52" s="616"/>
      <c r="R52" s="616">
        <v>13</v>
      </c>
      <c r="S52" s="615">
        <f t="shared" si="19"/>
        <v>9</v>
      </c>
      <c r="T52" s="615">
        <f t="shared" si="20"/>
        <v>6.5</v>
      </c>
      <c r="U52" s="616">
        <v>1.09</v>
      </c>
      <c r="V52" s="616">
        <v>1.13</v>
      </c>
      <c r="W52" s="616"/>
      <c r="X52" s="616">
        <v>0.4</v>
      </c>
      <c r="Y52" s="616"/>
      <c r="Z52" s="616">
        <v>3.88</v>
      </c>
      <c r="AA52" s="615">
        <f t="shared" si="21"/>
        <v>2.5</v>
      </c>
      <c r="AB52" s="616">
        <v>0.89</v>
      </c>
      <c r="AC52" s="616"/>
      <c r="AD52" s="616"/>
      <c r="AE52" s="616">
        <v>0.9</v>
      </c>
      <c r="AF52" s="616">
        <v>0.71</v>
      </c>
      <c r="AG52" s="615">
        <f t="shared" si="22"/>
        <v>212.82</v>
      </c>
      <c r="AH52" s="615">
        <f t="shared" si="23"/>
        <v>175.54</v>
      </c>
      <c r="AI52" s="616">
        <f t="shared" si="24"/>
        <v>86.99</v>
      </c>
      <c r="AJ52" s="616">
        <f t="shared" si="25"/>
        <v>1.13</v>
      </c>
      <c r="AK52" s="616">
        <f t="shared" si="26"/>
        <v>35.1</v>
      </c>
      <c r="AL52" s="616">
        <f t="shared" si="27"/>
        <v>12.4</v>
      </c>
      <c r="AM52" s="616">
        <f t="shared" si="28"/>
        <v>0.94</v>
      </c>
      <c r="AN52" s="616">
        <f t="shared" si="29"/>
        <v>38.98</v>
      </c>
      <c r="AO52" s="615">
        <f t="shared" si="30"/>
        <v>37.28</v>
      </c>
      <c r="AP52" s="616">
        <f t="shared" si="31"/>
        <v>22.67</v>
      </c>
      <c r="AQ52" s="616">
        <f t="shared" si="32"/>
        <v>0</v>
      </c>
      <c r="AR52" s="616">
        <f t="shared" si="33"/>
        <v>0</v>
      </c>
      <c r="AS52" s="616">
        <f t="shared" si="34"/>
        <v>0.9</v>
      </c>
      <c r="AT52" s="637">
        <f t="shared" si="35"/>
        <v>13.71</v>
      </c>
      <c r="AU52" s="638">
        <f t="shared" si="12"/>
        <v>61.10984</v>
      </c>
      <c r="AV52" s="616">
        <f t="shared" si="13"/>
        <v>22.8448</v>
      </c>
      <c r="AW52" s="616">
        <f t="shared" si="14"/>
        <v>11.4224</v>
      </c>
      <c r="AX52" s="616">
        <f t="shared" si="15"/>
        <v>8.5668</v>
      </c>
      <c r="AY52" s="616">
        <f t="shared" si="16"/>
        <v>0.28556</v>
      </c>
      <c r="AZ52" s="616">
        <f t="shared" si="17"/>
        <v>0.85668</v>
      </c>
      <c r="BA52" s="616">
        <f t="shared" si="18"/>
        <v>17.1336</v>
      </c>
      <c r="BB52" s="616"/>
      <c r="BC52" s="615">
        <f t="shared" si="36"/>
        <v>1.33108</v>
      </c>
      <c r="BD52" s="616">
        <f t="shared" si="37"/>
        <v>0.4976</v>
      </c>
      <c r="BE52" s="616">
        <f t="shared" si="38"/>
        <v>0.2488</v>
      </c>
      <c r="BF52" s="616">
        <f t="shared" si="39"/>
        <v>0.1866</v>
      </c>
      <c r="BG52" s="616">
        <f t="shared" si="40"/>
        <v>0.00622</v>
      </c>
      <c r="BH52" s="616">
        <f t="shared" si="41"/>
        <v>0.01866</v>
      </c>
      <c r="BI52" s="616">
        <f t="shared" si="42"/>
        <v>0.3732</v>
      </c>
      <c r="BJ52" s="616"/>
      <c r="BK52" s="615">
        <f t="shared" si="43"/>
        <v>62.44092</v>
      </c>
      <c r="BL52" s="616">
        <f t="shared" si="44"/>
        <v>23.3424</v>
      </c>
      <c r="BM52" s="616">
        <f t="shared" si="45"/>
        <v>11.6712</v>
      </c>
      <c r="BN52" s="616">
        <f t="shared" si="46"/>
        <v>8.7534</v>
      </c>
      <c r="BO52" s="616">
        <f t="shared" si="47"/>
        <v>0.29178</v>
      </c>
      <c r="BP52" s="616">
        <f t="shared" si="48"/>
        <v>0.87534</v>
      </c>
      <c r="BQ52" s="616">
        <f t="shared" si="49"/>
        <v>17.5068</v>
      </c>
      <c r="BR52" s="616">
        <f t="shared" si="50"/>
        <v>0</v>
      </c>
      <c r="BS52" s="304"/>
    </row>
    <row r="53" s="132" customFormat="1" ht="24" spans="1:71">
      <c r="A53" s="497" t="s">
        <v>226</v>
      </c>
      <c r="B53" s="497" t="s">
        <v>203</v>
      </c>
      <c r="C53" s="497" t="s">
        <v>259</v>
      </c>
      <c r="D53" s="497" t="s">
        <v>214</v>
      </c>
      <c r="E53" s="615">
        <f t="shared" si="8"/>
        <v>0</v>
      </c>
      <c r="F53" s="615">
        <f t="shared" si="9"/>
        <v>0</v>
      </c>
      <c r="G53" s="616"/>
      <c r="H53" s="616"/>
      <c r="I53" s="616"/>
      <c r="J53" s="616"/>
      <c r="K53" s="616"/>
      <c r="L53" s="616"/>
      <c r="M53" s="615">
        <f t="shared" si="10"/>
        <v>0</v>
      </c>
      <c r="N53" s="616"/>
      <c r="O53" s="616"/>
      <c r="P53" s="616"/>
      <c r="Q53" s="616"/>
      <c r="R53" s="616"/>
      <c r="S53" s="615">
        <f t="shared" si="19"/>
        <v>0</v>
      </c>
      <c r="T53" s="615">
        <f t="shared" si="20"/>
        <v>0</v>
      </c>
      <c r="U53" s="616"/>
      <c r="V53" s="616"/>
      <c r="W53" s="616"/>
      <c r="X53" s="616"/>
      <c r="Y53" s="616"/>
      <c r="Z53" s="616"/>
      <c r="AA53" s="615">
        <f t="shared" si="21"/>
        <v>0</v>
      </c>
      <c r="AB53" s="616"/>
      <c r="AC53" s="616"/>
      <c r="AD53" s="616"/>
      <c r="AE53" s="616"/>
      <c r="AF53" s="616"/>
      <c r="AG53" s="615">
        <f t="shared" si="22"/>
        <v>0</v>
      </c>
      <c r="AH53" s="615">
        <f t="shared" si="23"/>
        <v>0</v>
      </c>
      <c r="AI53" s="616">
        <f t="shared" si="24"/>
        <v>0</v>
      </c>
      <c r="AJ53" s="616">
        <f t="shared" si="25"/>
        <v>0</v>
      </c>
      <c r="AK53" s="616">
        <f t="shared" si="26"/>
        <v>0</v>
      </c>
      <c r="AL53" s="616">
        <f t="shared" si="27"/>
        <v>0</v>
      </c>
      <c r="AM53" s="616">
        <f t="shared" si="28"/>
        <v>0</v>
      </c>
      <c r="AN53" s="616">
        <f t="shared" si="29"/>
        <v>0</v>
      </c>
      <c r="AO53" s="615">
        <f t="shared" si="30"/>
        <v>0</v>
      </c>
      <c r="AP53" s="616">
        <f t="shared" si="31"/>
        <v>0</v>
      </c>
      <c r="AQ53" s="616">
        <f t="shared" si="32"/>
        <v>0</v>
      </c>
      <c r="AR53" s="616">
        <f t="shared" si="33"/>
        <v>0</v>
      </c>
      <c r="AS53" s="616">
        <f t="shared" si="34"/>
        <v>0</v>
      </c>
      <c r="AT53" s="637">
        <f t="shared" si="35"/>
        <v>0</v>
      </c>
      <c r="AU53" s="638">
        <f t="shared" si="12"/>
        <v>0</v>
      </c>
      <c r="AV53" s="616">
        <f t="shared" si="13"/>
        <v>0</v>
      </c>
      <c r="AW53" s="616">
        <f t="shared" si="14"/>
        <v>0</v>
      </c>
      <c r="AX53" s="616">
        <f t="shared" si="15"/>
        <v>0</v>
      </c>
      <c r="AY53" s="616">
        <f t="shared" si="16"/>
        <v>0</v>
      </c>
      <c r="AZ53" s="616">
        <f t="shared" si="17"/>
        <v>0</v>
      </c>
      <c r="BA53" s="616">
        <f t="shared" si="18"/>
        <v>0</v>
      </c>
      <c r="BB53" s="616"/>
      <c r="BC53" s="615">
        <f t="shared" si="36"/>
        <v>0</v>
      </c>
      <c r="BD53" s="616">
        <f t="shared" si="37"/>
        <v>0</v>
      </c>
      <c r="BE53" s="616">
        <f t="shared" si="38"/>
        <v>0</v>
      </c>
      <c r="BF53" s="616">
        <f t="shared" si="39"/>
        <v>0</v>
      </c>
      <c r="BG53" s="616">
        <f t="shared" si="40"/>
        <v>0</v>
      </c>
      <c r="BH53" s="616">
        <f t="shared" si="41"/>
        <v>0</v>
      </c>
      <c r="BI53" s="616">
        <f t="shared" si="42"/>
        <v>0</v>
      </c>
      <c r="BJ53" s="616"/>
      <c r="BK53" s="615">
        <f t="shared" si="43"/>
        <v>0</v>
      </c>
      <c r="BL53" s="616">
        <f t="shared" si="44"/>
        <v>0</v>
      </c>
      <c r="BM53" s="616">
        <f t="shared" si="45"/>
        <v>0</v>
      </c>
      <c r="BN53" s="616">
        <f t="shared" si="46"/>
        <v>0</v>
      </c>
      <c r="BO53" s="616">
        <f t="shared" si="47"/>
        <v>0</v>
      </c>
      <c r="BP53" s="616">
        <f t="shared" si="48"/>
        <v>0</v>
      </c>
      <c r="BQ53" s="616">
        <f t="shared" si="49"/>
        <v>0</v>
      </c>
      <c r="BR53" s="616">
        <f t="shared" si="50"/>
        <v>0</v>
      </c>
      <c r="BS53" s="304"/>
    </row>
    <row r="54" s="132" customFormat="1" ht="24" spans="1:71">
      <c r="A54" s="497" t="s">
        <v>226</v>
      </c>
      <c r="B54" s="497" t="s">
        <v>206</v>
      </c>
      <c r="C54" s="497" t="s">
        <v>260</v>
      </c>
      <c r="D54" s="497" t="s">
        <v>220</v>
      </c>
      <c r="E54" s="615">
        <f t="shared" si="8"/>
        <v>163.3735</v>
      </c>
      <c r="F54" s="615">
        <f t="shared" si="9"/>
        <v>135.048</v>
      </c>
      <c r="G54" s="616">
        <v>65.5524</v>
      </c>
      <c r="H54" s="616"/>
      <c r="I54" s="616">
        <v>28.8756</v>
      </c>
      <c r="J54" s="616">
        <v>10.56</v>
      </c>
      <c r="K54" s="616">
        <v>1.2</v>
      </c>
      <c r="L54" s="616">
        <v>28.86</v>
      </c>
      <c r="M54" s="615">
        <f t="shared" si="10"/>
        <v>28.3255</v>
      </c>
      <c r="N54" s="616">
        <v>17.3255</v>
      </c>
      <c r="O54" s="616"/>
      <c r="P54" s="616"/>
      <c r="Q54" s="616"/>
      <c r="R54" s="616">
        <v>11</v>
      </c>
      <c r="S54" s="615">
        <f t="shared" si="19"/>
        <v>18.7</v>
      </c>
      <c r="T54" s="615">
        <f t="shared" si="20"/>
        <v>15.73</v>
      </c>
      <c r="U54" s="616">
        <v>7.46</v>
      </c>
      <c r="V54" s="616">
        <v>3.7</v>
      </c>
      <c r="W54" s="616"/>
      <c r="X54" s="616">
        <v>1.12</v>
      </c>
      <c r="Y54" s="616"/>
      <c r="Z54" s="616">
        <v>3.45</v>
      </c>
      <c r="AA54" s="615">
        <f t="shared" si="21"/>
        <v>2.97</v>
      </c>
      <c r="AB54" s="616">
        <v>2.22</v>
      </c>
      <c r="AC54" s="616"/>
      <c r="AD54" s="616"/>
      <c r="AE54" s="616"/>
      <c r="AF54" s="616">
        <v>0.75</v>
      </c>
      <c r="AG54" s="615">
        <f t="shared" si="22"/>
        <v>182.0735</v>
      </c>
      <c r="AH54" s="615">
        <f t="shared" si="23"/>
        <v>150.778</v>
      </c>
      <c r="AI54" s="616">
        <f t="shared" si="24"/>
        <v>73.0124</v>
      </c>
      <c r="AJ54" s="616">
        <f t="shared" si="25"/>
        <v>3.7</v>
      </c>
      <c r="AK54" s="616">
        <f t="shared" si="26"/>
        <v>28.8756</v>
      </c>
      <c r="AL54" s="616">
        <f t="shared" si="27"/>
        <v>11.68</v>
      </c>
      <c r="AM54" s="616">
        <f t="shared" si="28"/>
        <v>1.2</v>
      </c>
      <c r="AN54" s="616">
        <f t="shared" si="29"/>
        <v>32.31</v>
      </c>
      <c r="AO54" s="615">
        <f t="shared" si="30"/>
        <v>31.2955</v>
      </c>
      <c r="AP54" s="616">
        <f t="shared" si="31"/>
        <v>19.5455</v>
      </c>
      <c r="AQ54" s="616">
        <f t="shared" si="32"/>
        <v>0</v>
      </c>
      <c r="AR54" s="616">
        <f t="shared" si="33"/>
        <v>0</v>
      </c>
      <c r="AS54" s="616">
        <f t="shared" si="34"/>
        <v>0</v>
      </c>
      <c r="AT54" s="637">
        <f t="shared" si="35"/>
        <v>11.75</v>
      </c>
      <c r="AU54" s="638">
        <f t="shared" si="12"/>
        <v>47.830498</v>
      </c>
      <c r="AV54" s="616">
        <f t="shared" si="13"/>
        <v>17.88056</v>
      </c>
      <c r="AW54" s="616">
        <f t="shared" si="14"/>
        <v>8.94028</v>
      </c>
      <c r="AX54" s="616">
        <f t="shared" si="15"/>
        <v>6.70521</v>
      </c>
      <c r="AY54" s="616">
        <f t="shared" si="16"/>
        <v>0.223507</v>
      </c>
      <c r="AZ54" s="616">
        <f t="shared" si="17"/>
        <v>0.670521</v>
      </c>
      <c r="BA54" s="616">
        <f t="shared" si="18"/>
        <v>13.41042</v>
      </c>
      <c r="BB54" s="616"/>
      <c r="BC54" s="615">
        <f t="shared" si="36"/>
        <v>5.72664</v>
      </c>
      <c r="BD54" s="616">
        <f t="shared" si="37"/>
        <v>2.1408</v>
      </c>
      <c r="BE54" s="616">
        <f t="shared" si="38"/>
        <v>1.0704</v>
      </c>
      <c r="BF54" s="616">
        <f t="shared" si="39"/>
        <v>0.8028</v>
      </c>
      <c r="BG54" s="616">
        <f t="shared" si="40"/>
        <v>0.02676</v>
      </c>
      <c r="BH54" s="616">
        <f t="shared" si="41"/>
        <v>0.08028</v>
      </c>
      <c r="BI54" s="616">
        <f t="shared" si="42"/>
        <v>1.6056</v>
      </c>
      <c r="BJ54" s="616"/>
      <c r="BK54" s="615">
        <f t="shared" si="43"/>
        <v>53.557138</v>
      </c>
      <c r="BL54" s="616">
        <f t="shared" si="44"/>
        <v>20.02136</v>
      </c>
      <c r="BM54" s="616">
        <f t="shared" si="45"/>
        <v>10.01068</v>
      </c>
      <c r="BN54" s="616">
        <f t="shared" si="46"/>
        <v>7.50801</v>
      </c>
      <c r="BO54" s="616">
        <f t="shared" si="47"/>
        <v>0.250267</v>
      </c>
      <c r="BP54" s="616">
        <f t="shared" si="48"/>
        <v>0.750801</v>
      </c>
      <c r="BQ54" s="616">
        <f t="shared" si="49"/>
        <v>15.01602</v>
      </c>
      <c r="BR54" s="616">
        <f t="shared" si="50"/>
        <v>0</v>
      </c>
      <c r="BS54" s="304"/>
    </row>
    <row r="55" s="132" customFormat="1" ht="24" spans="1:71">
      <c r="A55" s="497" t="s">
        <v>261</v>
      </c>
      <c r="B55" s="497" t="s">
        <v>203</v>
      </c>
      <c r="C55" s="497" t="s">
        <v>262</v>
      </c>
      <c r="D55" s="497" t="s">
        <v>263</v>
      </c>
      <c r="E55" s="615">
        <f t="shared" si="8"/>
        <v>0</v>
      </c>
      <c r="F55" s="615">
        <f t="shared" si="9"/>
        <v>0</v>
      </c>
      <c r="G55" s="616"/>
      <c r="H55" s="616"/>
      <c r="I55" s="616"/>
      <c r="J55" s="616"/>
      <c r="K55" s="616"/>
      <c r="L55" s="616"/>
      <c r="M55" s="615">
        <f t="shared" si="10"/>
        <v>0</v>
      </c>
      <c r="N55" s="616"/>
      <c r="O55" s="616"/>
      <c r="P55" s="616"/>
      <c r="Q55" s="616"/>
      <c r="R55" s="616"/>
      <c r="S55" s="615">
        <f t="shared" si="19"/>
        <v>0</v>
      </c>
      <c r="T55" s="615">
        <f t="shared" si="20"/>
        <v>0</v>
      </c>
      <c r="U55" s="616"/>
      <c r="V55" s="616"/>
      <c r="W55" s="616"/>
      <c r="X55" s="616"/>
      <c r="Y55" s="616"/>
      <c r="Z55" s="616"/>
      <c r="AA55" s="615">
        <f t="shared" si="21"/>
        <v>0</v>
      </c>
      <c r="AB55" s="616"/>
      <c r="AC55" s="616"/>
      <c r="AD55" s="616"/>
      <c r="AE55" s="616"/>
      <c r="AF55" s="616"/>
      <c r="AG55" s="615">
        <f t="shared" si="22"/>
        <v>0</v>
      </c>
      <c r="AH55" s="615">
        <f t="shared" si="23"/>
        <v>0</v>
      </c>
      <c r="AI55" s="616">
        <f t="shared" si="24"/>
        <v>0</v>
      </c>
      <c r="AJ55" s="616">
        <f t="shared" si="25"/>
        <v>0</v>
      </c>
      <c r="AK55" s="616">
        <f t="shared" si="26"/>
        <v>0</v>
      </c>
      <c r="AL55" s="616">
        <f t="shared" si="27"/>
        <v>0</v>
      </c>
      <c r="AM55" s="616">
        <f t="shared" si="28"/>
        <v>0</v>
      </c>
      <c r="AN55" s="616">
        <f t="shared" si="29"/>
        <v>0</v>
      </c>
      <c r="AO55" s="615">
        <f t="shared" si="30"/>
        <v>0</v>
      </c>
      <c r="AP55" s="616">
        <f t="shared" si="31"/>
        <v>0</v>
      </c>
      <c r="AQ55" s="616">
        <f t="shared" si="32"/>
        <v>0</v>
      </c>
      <c r="AR55" s="616">
        <f t="shared" si="33"/>
        <v>0</v>
      </c>
      <c r="AS55" s="616">
        <f t="shared" si="34"/>
        <v>0</v>
      </c>
      <c r="AT55" s="637">
        <f t="shared" si="35"/>
        <v>0</v>
      </c>
      <c r="AU55" s="638">
        <f t="shared" si="12"/>
        <v>0</v>
      </c>
      <c r="AV55" s="616">
        <f t="shared" si="13"/>
        <v>0</v>
      </c>
      <c r="AW55" s="616">
        <f t="shared" si="14"/>
        <v>0</v>
      </c>
      <c r="AX55" s="616">
        <f t="shared" si="15"/>
        <v>0</v>
      </c>
      <c r="AY55" s="616">
        <f t="shared" si="16"/>
        <v>0</v>
      </c>
      <c r="AZ55" s="616">
        <f t="shared" si="17"/>
        <v>0</v>
      </c>
      <c r="BA55" s="616">
        <f t="shared" si="18"/>
        <v>0</v>
      </c>
      <c r="BB55" s="616"/>
      <c r="BC55" s="615">
        <f t="shared" si="36"/>
        <v>0</v>
      </c>
      <c r="BD55" s="616">
        <f t="shared" si="37"/>
        <v>0</v>
      </c>
      <c r="BE55" s="616">
        <f t="shared" si="38"/>
        <v>0</v>
      </c>
      <c r="BF55" s="616">
        <f t="shared" si="39"/>
        <v>0</v>
      </c>
      <c r="BG55" s="616">
        <f t="shared" si="40"/>
        <v>0</v>
      </c>
      <c r="BH55" s="616">
        <f t="shared" si="41"/>
        <v>0</v>
      </c>
      <c r="BI55" s="616">
        <f t="shared" si="42"/>
        <v>0</v>
      </c>
      <c r="BJ55" s="616"/>
      <c r="BK55" s="615">
        <f t="shared" si="43"/>
        <v>0</v>
      </c>
      <c r="BL55" s="616">
        <f t="shared" si="44"/>
        <v>0</v>
      </c>
      <c r="BM55" s="616">
        <f t="shared" si="45"/>
        <v>0</v>
      </c>
      <c r="BN55" s="616">
        <f t="shared" si="46"/>
        <v>0</v>
      </c>
      <c r="BO55" s="616">
        <f t="shared" si="47"/>
        <v>0</v>
      </c>
      <c r="BP55" s="616">
        <f t="shared" si="48"/>
        <v>0</v>
      </c>
      <c r="BQ55" s="616">
        <f t="shared" si="49"/>
        <v>0</v>
      </c>
      <c r="BR55" s="616">
        <f t="shared" si="50"/>
        <v>0</v>
      </c>
      <c r="BS55" s="304"/>
    </row>
    <row r="56" s="132" customFormat="1" ht="23" customHeight="1" spans="1:71">
      <c r="A56" s="497" t="s">
        <v>261</v>
      </c>
      <c r="B56" s="497" t="s">
        <v>206</v>
      </c>
      <c r="C56" s="497" t="s">
        <v>264</v>
      </c>
      <c r="D56" s="497" t="s">
        <v>265</v>
      </c>
      <c r="E56" s="615">
        <f t="shared" si="8"/>
        <v>58.176096</v>
      </c>
      <c r="F56" s="615">
        <f t="shared" si="9"/>
        <v>46.914</v>
      </c>
      <c r="G56" s="619">
        <v>28.0524</v>
      </c>
      <c r="H56" s="620"/>
      <c r="I56" s="619">
        <v>9.5316</v>
      </c>
      <c r="J56" s="616"/>
      <c r="K56" s="616"/>
      <c r="L56" s="616">
        <v>9.33</v>
      </c>
      <c r="M56" s="615">
        <f t="shared" si="10"/>
        <v>11.262096</v>
      </c>
      <c r="N56" s="619">
        <v>5.71896</v>
      </c>
      <c r="O56" s="618"/>
      <c r="P56" s="619">
        <v>2.543136</v>
      </c>
      <c r="Q56" s="616"/>
      <c r="R56" s="616">
        <v>3</v>
      </c>
      <c r="S56" s="615">
        <f t="shared" si="19"/>
        <v>19.77</v>
      </c>
      <c r="T56" s="615">
        <f t="shared" si="20"/>
        <v>16.78</v>
      </c>
      <c r="U56" s="616">
        <v>9.81</v>
      </c>
      <c r="V56" s="616"/>
      <c r="W56" s="616">
        <v>3.24</v>
      </c>
      <c r="X56" s="616"/>
      <c r="Y56" s="616"/>
      <c r="Z56" s="616">
        <v>3.73</v>
      </c>
      <c r="AA56" s="615">
        <f t="shared" si="21"/>
        <v>2.99</v>
      </c>
      <c r="AB56" s="616">
        <v>2.24</v>
      </c>
      <c r="AC56" s="616"/>
      <c r="AD56" s="616">
        <v>0.15</v>
      </c>
      <c r="AE56" s="616">
        <f>0.15+0.45</f>
        <v>0.6</v>
      </c>
      <c r="AF56" s="616"/>
      <c r="AG56" s="615">
        <f t="shared" si="22"/>
        <v>77.946096</v>
      </c>
      <c r="AH56" s="615">
        <f t="shared" si="23"/>
        <v>63.694</v>
      </c>
      <c r="AI56" s="616">
        <f t="shared" si="24"/>
        <v>37.8624</v>
      </c>
      <c r="AJ56" s="616">
        <f t="shared" si="25"/>
        <v>0</v>
      </c>
      <c r="AK56" s="616">
        <f t="shared" si="26"/>
        <v>12.7716</v>
      </c>
      <c r="AL56" s="616">
        <f t="shared" si="27"/>
        <v>0</v>
      </c>
      <c r="AM56" s="616">
        <f t="shared" si="28"/>
        <v>0</v>
      </c>
      <c r="AN56" s="616">
        <f t="shared" si="29"/>
        <v>13.06</v>
      </c>
      <c r="AO56" s="615">
        <f t="shared" si="30"/>
        <v>14.252096</v>
      </c>
      <c r="AP56" s="616">
        <f t="shared" si="31"/>
        <v>7.95896</v>
      </c>
      <c r="AQ56" s="616">
        <f t="shared" si="32"/>
        <v>0</v>
      </c>
      <c r="AR56" s="616">
        <f t="shared" si="33"/>
        <v>2.693136</v>
      </c>
      <c r="AS56" s="616">
        <f t="shared" si="34"/>
        <v>0.6</v>
      </c>
      <c r="AT56" s="637">
        <f t="shared" si="35"/>
        <v>3</v>
      </c>
      <c r="AU56" s="638">
        <f t="shared" si="12"/>
        <v>18.53366688</v>
      </c>
      <c r="AV56" s="616">
        <f t="shared" si="13"/>
        <v>6.9284736</v>
      </c>
      <c r="AW56" s="616">
        <f t="shared" si="14"/>
        <v>3.4642368</v>
      </c>
      <c r="AX56" s="616">
        <f t="shared" si="15"/>
        <v>2.5981776</v>
      </c>
      <c r="AY56" s="616">
        <f t="shared" si="16"/>
        <v>0.08660592</v>
      </c>
      <c r="AZ56" s="616">
        <f t="shared" si="17"/>
        <v>0.25981776</v>
      </c>
      <c r="BA56" s="616">
        <f t="shared" si="18"/>
        <v>5.1963552</v>
      </c>
      <c r="BB56" s="616"/>
      <c r="BC56" s="615">
        <f t="shared" si="36"/>
        <v>6.54412</v>
      </c>
      <c r="BD56" s="616">
        <f t="shared" si="37"/>
        <v>2.4464</v>
      </c>
      <c r="BE56" s="616">
        <f t="shared" si="38"/>
        <v>1.2232</v>
      </c>
      <c r="BF56" s="616">
        <f t="shared" si="39"/>
        <v>0.9174</v>
      </c>
      <c r="BG56" s="616">
        <f t="shared" si="40"/>
        <v>0.03058</v>
      </c>
      <c r="BH56" s="616">
        <f t="shared" si="41"/>
        <v>0.09174</v>
      </c>
      <c r="BI56" s="616">
        <f t="shared" si="42"/>
        <v>1.8348</v>
      </c>
      <c r="BJ56" s="616"/>
      <c r="BK56" s="615">
        <f t="shared" si="43"/>
        <v>25.07778688</v>
      </c>
      <c r="BL56" s="616">
        <f t="shared" si="44"/>
        <v>9.3748736</v>
      </c>
      <c r="BM56" s="616">
        <f t="shared" si="45"/>
        <v>4.6874368</v>
      </c>
      <c r="BN56" s="616">
        <f t="shared" si="46"/>
        <v>3.5155776</v>
      </c>
      <c r="BO56" s="616">
        <f t="shared" si="47"/>
        <v>0.11718592</v>
      </c>
      <c r="BP56" s="616">
        <f t="shared" si="48"/>
        <v>0.35155776</v>
      </c>
      <c r="BQ56" s="616">
        <f t="shared" si="49"/>
        <v>7.0311552</v>
      </c>
      <c r="BR56" s="616">
        <f t="shared" si="50"/>
        <v>0</v>
      </c>
      <c r="BS56" s="304"/>
    </row>
    <row r="57" s="132" customFormat="1" ht="24" spans="1:71">
      <c r="A57" s="497" t="s">
        <v>261</v>
      </c>
      <c r="B57" s="497" t="s">
        <v>206</v>
      </c>
      <c r="C57" s="497" t="s">
        <v>266</v>
      </c>
      <c r="D57" s="497" t="s">
        <v>265</v>
      </c>
      <c r="E57" s="615">
        <f t="shared" si="8"/>
        <v>173.77</v>
      </c>
      <c r="F57" s="615">
        <f t="shared" si="9"/>
        <v>144.18</v>
      </c>
      <c r="G57" s="619">
        <v>83.29</v>
      </c>
      <c r="H57" s="619"/>
      <c r="I57" s="619">
        <v>30.98</v>
      </c>
      <c r="J57" s="616"/>
      <c r="K57" s="616"/>
      <c r="L57" s="616">
        <v>29.91</v>
      </c>
      <c r="M57" s="615">
        <f t="shared" si="10"/>
        <v>29.59</v>
      </c>
      <c r="N57" s="619">
        <v>18.59</v>
      </c>
      <c r="O57" s="618"/>
      <c r="P57" s="618"/>
      <c r="Q57" s="616"/>
      <c r="R57" s="616">
        <v>11</v>
      </c>
      <c r="S57" s="615">
        <f t="shared" si="19"/>
        <v>15.4</v>
      </c>
      <c r="T57" s="615">
        <f t="shared" si="20"/>
        <v>13.68</v>
      </c>
      <c r="U57" s="616">
        <v>7.56</v>
      </c>
      <c r="V57" s="616"/>
      <c r="W57" s="616">
        <v>2.93</v>
      </c>
      <c r="X57" s="616"/>
      <c r="Y57" s="616"/>
      <c r="Z57" s="616">
        <v>3.19</v>
      </c>
      <c r="AA57" s="615">
        <f t="shared" si="21"/>
        <v>1.72</v>
      </c>
      <c r="AB57" s="616">
        <v>1.72</v>
      </c>
      <c r="AC57" s="616"/>
      <c r="AD57" s="616"/>
      <c r="AE57" s="616"/>
      <c r="AF57" s="616"/>
      <c r="AG57" s="615">
        <f t="shared" si="22"/>
        <v>189.17</v>
      </c>
      <c r="AH57" s="615">
        <f t="shared" si="23"/>
        <v>157.86</v>
      </c>
      <c r="AI57" s="616">
        <f t="shared" si="24"/>
        <v>90.85</v>
      </c>
      <c r="AJ57" s="616">
        <f t="shared" si="25"/>
        <v>0</v>
      </c>
      <c r="AK57" s="616">
        <f t="shared" si="26"/>
        <v>33.91</v>
      </c>
      <c r="AL57" s="616">
        <f t="shared" si="27"/>
        <v>0</v>
      </c>
      <c r="AM57" s="616">
        <f t="shared" si="28"/>
        <v>0</v>
      </c>
      <c r="AN57" s="616">
        <f t="shared" si="29"/>
        <v>33.1</v>
      </c>
      <c r="AO57" s="615">
        <f t="shared" si="30"/>
        <v>31.31</v>
      </c>
      <c r="AP57" s="616">
        <f t="shared" si="31"/>
        <v>20.31</v>
      </c>
      <c r="AQ57" s="616">
        <f t="shared" si="32"/>
        <v>0</v>
      </c>
      <c r="AR57" s="616">
        <f t="shared" si="33"/>
        <v>0</v>
      </c>
      <c r="AS57" s="616">
        <f t="shared" si="34"/>
        <v>0</v>
      </c>
      <c r="AT57" s="637">
        <f t="shared" si="35"/>
        <v>11</v>
      </c>
      <c r="AU57" s="638">
        <f t="shared" si="12"/>
        <v>56.86408</v>
      </c>
      <c r="AV57" s="616">
        <f t="shared" si="13"/>
        <v>21.2576</v>
      </c>
      <c r="AW57" s="616">
        <f t="shared" si="14"/>
        <v>10.6288</v>
      </c>
      <c r="AX57" s="616">
        <f t="shared" si="15"/>
        <v>7.9716</v>
      </c>
      <c r="AY57" s="616">
        <f t="shared" si="16"/>
        <v>0.26572</v>
      </c>
      <c r="AZ57" s="616">
        <f t="shared" si="17"/>
        <v>0.79716</v>
      </c>
      <c r="BA57" s="616">
        <f t="shared" si="18"/>
        <v>15.9432</v>
      </c>
      <c r="BB57" s="616"/>
      <c r="BC57" s="615">
        <f t="shared" si="36"/>
        <v>5.22588</v>
      </c>
      <c r="BD57" s="616">
        <f t="shared" si="37"/>
        <v>1.9536</v>
      </c>
      <c r="BE57" s="616">
        <f t="shared" si="38"/>
        <v>0.9768</v>
      </c>
      <c r="BF57" s="616">
        <f t="shared" si="39"/>
        <v>0.7326</v>
      </c>
      <c r="BG57" s="616">
        <f t="shared" si="40"/>
        <v>0.02442</v>
      </c>
      <c r="BH57" s="616">
        <f t="shared" si="41"/>
        <v>0.07326</v>
      </c>
      <c r="BI57" s="616">
        <f t="shared" si="42"/>
        <v>1.4652</v>
      </c>
      <c r="BJ57" s="616"/>
      <c r="BK57" s="615">
        <f t="shared" si="43"/>
        <v>62.08996</v>
      </c>
      <c r="BL57" s="616">
        <f t="shared" si="44"/>
        <v>23.2112</v>
      </c>
      <c r="BM57" s="616">
        <f t="shared" si="45"/>
        <v>11.6056</v>
      </c>
      <c r="BN57" s="616">
        <f t="shared" si="46"/>
        <v>8.7042</v>
      </c>
      <c r="BO57" s="616">
        <f t="shared" si="47"/>
        <v>0.29014</v>
      </c>
      <c r="BP57" s="616">
        <f t="shared" si="48"/>
        <v>0.87042</v>
      </c>
      <c r="BQ57" s="616">
        <f t="shared" si="49"/>
        <v>17.4084</v>
      </c>
      <c r="BR57" s="616">
        <f t="shared" si="50"/>
        <v>0</v>
      </c>
      <c r="BS57" s="304"/>
    </row>
    <row r="58" s="132" customFormat="1" ht="24" spans="1:71">
      <c r="A58" s="497" t="s">
        <v>202</v>
      </c>
      <c r="B58" s="497" t="s">
        <v>203</v>
      </c>
      <c r="C58" s="497" t="s">
        <v>267</v>
      </c>
      <c r="D58" s="497" t="s">
        <v>268</v>
      </c>
      <c r="E58" s="615">
        <f t="shared" si="8"/>
        <v>0</v>
      </c>
      <c r="F58" s="615">
        <f t="shared" si="9"/>
        <v>0</v>
      </c>
      <c r="G58" s="616"/>
      <c r="H58" s="616"/>
      <c r="I58" s="616"/>
      <c r="J58" s="616"/>
      <c r="K58" s="616"/>
      <c r="L58" s="616"/>
      <c r="M58" s="615">
        <f t="shared" si="10"/>
        <v>0</v>
      </c>
      <c r="N58" s="616"/>
      <c r="O58" s="616"/>
      <c r="P58" s="616"/>
      <c r="Q58" s="616"/>
      <c r="R58" s="616"/>
      <c r="S58" s="615">
        <f t="shared" si="19"/>
        <v>0</v>
      </c>
      <c r="T58" s="615">
        <f t="shared" si="20"/>
        <v>0</v>
      </c>
      <c r="U58" s="616"/>
      <c r="V58" s="616"/>
      <c r="W58" s="616"/>
      <c r="X58" s="616"/>
      <c r="Y58" s="616"/>
      <c r="Z58" s="616"/>
      <c r="AA58" s="615">
        <f t="shared" si="21"/>
        <v>0</v>
      </c>
      <c r="AB58" s="616"/>
      <c r="AC58" s="616"/>
      <c r="AD58" s="616"/>
      <c r="AE58" s="616"/>
      <c r="AF58" s="616"/>
      <c r="AG58" s="615">
        <f t="shared" si="22"/>
        <v>0</v>
      </c>
      <c r="AH58" s="615">
        <f t="shared" si="23"/>
        <v>0</v>
      </c>
      <c r="AI58" s="616">
        <f t="shared" si="24"/>
        <v>0</v>
      </c>
      <c r="AJ58" s="616">
        <f t="shared" si="25"/>
        <v>0</v>
      </c>
      <c r="AK58" s="616">
        <f t="shared" si="26"/>
        <v>0</v>
      </c>
      <c r="AL58" s="616">
        <f t="shared" si="27"/>
        <v>0</v>
      </c>
      <c r="AM58" s="616">
        <f t="shared" si="28"/>
        <v>0</v>
      </c>
      <c r="AN58" s="616">
        <f t="shared" si="29"/>
        <v>0</v>
      </c>
      <c r="AO58" s="615">
        <f t="shared" si="30"/>
        <v>0</v>
      </c>
      <c r="AP58" s="616">
        <f t="shared" si="31"/>
        <v>0</v>
      </c>
      <c r="AQ58" s="616">
        <f t="shared" si="32"/>
        <v>0</v>
      </c>
      <c r="AR58" s="616">
        <f t="shared" si="33"/>
        <v>0</v>
      </c>
      <c r="AS58" s="616">
        <f t="shared" si="34"/>
        <v>0</v>
      </c>
      <c r="AT58" s="637">
        <f t="shared" si="35"/>
        <v>0</v>
      </c>
      <c r="AU58" s="638">
        <f t="shared" si="12"/>
        <v>0</v>
      </c>
      <c r="AV58" s="616">
        <f t="shared" si="13"/>
        <v>0</v>
      </c>
      <c r="AW58" s="616">
        <f t="shared" si="14"/>
        <v>0</v>
      </c>
      <c r="AX58" s="616">
        <f t="shared" si="15"/>
        <v>0</v>
      </c>
      <c r="AY58" s="616">
        <f t="shared" si="16"/>
        <v>0</v>
      </c>
      <c r="AZ58" s="616">
        <f t="shared" si="17"/>
        <v>0</v>
      </c>
      <c r="BA58" s="616">
        <f t="shared" si="18"/>
        <v>0</v>
      </c>
      <c r="BB58" s="616"/>
      <c r="BC58" s="615">
        <f t="shared" si="36"/>
        <v>0</v>
      </c>
      <c r="BD58" s="616">
        <f t="shared" si="37"/>
        <v>0</v>
      </c>
      <c r="BE58" s="616">
        <f t="shared" si="38"/>
        <v>0</v>
      </c>
      <c r="BF58" s="616">
        <f t="shared" si="39"/>
        <v>0</v>
      </c>
      <c r="BG58" s="616">
        <f t="shared" si="40"/>
        <v>0</v>
      </c>
      <c r="BH58" s="616">
        <f t="shared" si="41"/>
        <v>0</v>
      </c>
      <c r="BI58" s="616">
        <f t="shared" si="42"/>
        <v>0</v>
      </c>
      <c r="BJ58" s="616"/>
      <c r="BK58" s="615">
        <f t="shared" si="43"/>
        <v>0</v>
      </c>
      <c r="BL58" s="616">
        <f t="shared" si="44"/>
        <v>0</v>
      </c>
      <c r="BM58" s="616">
        <f t="shared" si="45"/>
        <v>0</v>
      </c>
      <c r="BN58" s="616">
        <f t="shared" si="46"/>
        <v>0</v>
      </c>
      <c r="BO58" s="616">
        <f t="shared" si="47"/>
        <v>0</v>
      </c>
      <c r="BP58" s="616">
        <f t="shared" si="48"/>
        <v>0</v>
      </c>
      <c r="BQ58" s="616">
        <f t="shared" si="49"/>
        <v>0</v>
      </c>
      <c r="BR58" s="616">
        <f t="shared" si="50"/>
        <v>0</v>
      </c>
      <c r="BS58" s="304"/>
    </row>
    <row r="59" s="132" customFormat="1" ht="24" spans="1:71">
      <c r="A59" s="497" t="s">
        <v>202</v>
      </c>
      <c r="B59" s="497" t="s">
        <v>203</v>
      </c>
      <c r="C59" s="497" t="s">
        <v>269</v>
      </c>
      <c r="D59" s="497" t="s">
        <v>268</v>
      </c>
      <c r="E59" s="615">
        <f t="shared" si="8"/>
        <v>0</v>
      </c>
      <c r="F59" s="615">
        <f t="shared" si="9"/>
        <v>0</v>
      </c>
      <c r="G59" s="616"/>
      <c r="H59" s="616"/>
      <c r="I59" s="616"/>
      <c r="J59" s="616"/>
      <c r="K59" s="616"/>
      <c r="L59" s="616"/>
      <c r="M59" s="615">
        <f t="shared" si="10"/>
        <v>0</v>
      </c>
      <c r="N59" s="616"/>
      <c r="O59" s="616"/>
      <c r="P59" s="616"/>
      <c r="Q59" s="616"/>
      <c r="R59" s="616"/>
      <c r="S59" s="615">
        <f t="shared" si="19"/>
        <v>0</v>
      </c>
      <c r="T59" s="615">
        <f t="shared" si="20"/>
        <v>0</v>
      </c>
      <c r="U59" s="616"/>
      <c r="V59" s="616"/>
      <c r="W59" s="616"/>
      <c r="X59" s="616"/>
      <c r="Y59" s="616"/>
      <c r="Z59" s="616"/>
      <c r="AA59" s="615">
        <f t="shared" si="21"/>
        <v>0</v>
      </c>
      <c r="AB59" s="616"/>
      <c r="AC59" s="616"/>
      <c r="AD59" s="616"/>
      <c r="AE59" s="616"/>
      <c r="AF59" s="616"/>
      <c r="AG59" s="615">
        <f t="shared" si="22"/>
        <v>0</v>
      </c>
      <c r="AH59" s="615">
        <f t="shared" si="23"/>
        <v>0</v>
      </c>
      <c r="AI59" s="616">
        <f t="shared" si="24"/>
        <v>0</v>
      </c>
      <c r="AJ59" s="616">
        <f t="shared" si="25"/>
        <v>0</v>
      </c>
      <c r="AK59" s="616">
        <f t="shared" si="26"/>
        <v>0</v>
      </c>
      <c r="AL59" s="616">
        <f t="shared" si="27"/>
        <v>0</v>
      </c>
      <c r="AM59" s="616">
        <f t="shared" si="28"/>
        <v>0</v>
      </c>
      <c r="AN59" s="616">
        <f t="shared" si="29"/>
        <v>0</v>
      </c>
      <c r="AO59" s="615">
        <f t="shared" si="30"/>
        <v>0</v>
      </c>
      <c r="AP59" s="616">
        <f t="shared" si="31"/>
        <v>0</v>
      </c>
      <c r="AQ59" s="616">
        <f t="shared" si="32"/>
        <v>0</v>
      </c>
      <c r="AR59" s="616">
        <f t="shared" si="33"/>
        <v>0</v>
      </c>
      <c r="AS59" s="616">
        <f t="shared" si="34"/>
        <v>0</v>
      </c>
      <c r="AT59" s="637">
        <f t="shared" si="35"/>
        <v>0</v>
      </c>
      <c r="AU59" s="638">
        <f t="shared" si="12"/>
        <v>0</v>
      </c>
      <c r="AV59" s="616">
        <f t="shared" si="13"/>
        <v>0</v>
      </c>
      <c r="AW59" s="616">
        <f t="shared" si="14"/>
        <v>0</v>
      </c>
      <c r="AX59" s="616">
        <f t="shared" si="15"/>
        <v>0</v>
      </c>
      <c r="AY59" s="616">
        <f t="shared" si="16"/>
        <v>0</v>
      </c>
      <c r="AZ59" s="616">
        <f t="shared" si="17"/>
        <v>0</v>
      </c>
      <c r="BA59" s="616">
        <f t="shared" si="18"/>
        <v>0</v>
      </c>
      <c r="BB59" s="616"/>
      <c r="BC59" s="615">
        <f t="shared" si="36"/>
        <v>0</v>
      </c>
      <c r="BD59" s="616">
        <f t="shared" si="37"/>
        <v>0</v>
      </c>
      <c r="BE59" s="616">
        <f t="shared" si="38"/>
        <v>0</v>
      </c>
      <c r="BF59" s="616">
        <f t="shared" si="39"/>
        <v>0</v>
      </c>
      <c r="BG59" s="616">
        <f t="shared" si="40"/>
        <v>0</v>
      </c>
      <c r="BH59" s="616">
        <f t="shared" si="41"/>
        <v>0</v>
      </c>
      <c r="BI59" s="616">
        <f t="shared" si="42"/>
        <v>0</v>
      </c>
      <c r="BJ59" s="616"/>
      <c r="BK59" s="615">
        <f t="shared" si="43"/>
        <v>0</v>
      </c>
      <c r="BL59" s="616">
        <f t="shared" si="44"/>
        <v>0</v>
      </c>
      <c r="BM59" s="616">
        <f t="shared" si="45"/>
        <v>0</v>
      </c>
      <c r="BN59" s="616">
        <f t="shared" si="46"/>
        <v>0</v>
      </c>
      <c r="BO59" s="616">
        <f t="shared" si="47"/>
        <v>0</v>
      </c>
      <c r="BP59" s="616">
        <f t="shared" si="48"/>
        <v>0</v>
      </c>
      <c r="BQ59" s="616">
        <f t="shared" si="49"/>
        <v>0</v>
      </c>
      <c r="BR59" s="616">
        <f t="shared" si="50"/>
        <v>0</v>
      </c>
      <c r="BS59" s="304"/>
    </row>
    <row r="60" s="132" customFormat="1" ht="24" spans="1:71">
      <c r="A60" s="497" t="s">
        <v>202</v>
      </c>
      <c r="B60" s="497" t="s">
        <v>203</v>
      </c>
      <c r="C60" s="497" t="s">
        <v>270</v>
      </c>
      <c r="D60" s="497" t="s">
        <v>268</v>
      </c>
      <c r="E60" s="615">
        <f t="shared" si="8"/>
        <v>0</v>
      </c>
      <c r="F60" s="615">
        <f t="shared" si="9"/>
        <v>0</v>
      </c>
      <c r="G60" s="616"/>
      <c r="H60" s="616"/>
      <c r="I60" s="616"/>
      <c r="J60" s="616"/>
      <c r="K60" s="616"/>
      <c r="L60" s="616"/>
      <c r="M60" s="615">
        <f t="shared" si="10"/>
        <v>0</v>
      </c>
      <c r="N60" s="616"/>
      <c r="O60" s="616"/>
      <c r="P60" s="616"/>
      <c r="Q60" s="616"/>
      <c r="R60" s="616"/>
      <c r="S60" s="615">
        <f t="shared" si="19"/>
        <v>0</v>
      </c>
      <c r="T60" s="615">
        <f t="shared" si="20"/>
        <v>0</v>
      </c>
      <c r="U60" s="616"/>
      <c r="V60" s="616"/>
      <c r="W60" s="616"/>
      <c r="X60" s="616"/>
      <c r="Y60" s="616"/>
      <c r="Z60" s="616"/>
      <c r="AA60" s="615">
        <f t="shared" si="21"/>
        <v>0</v>
      </c>
      <c r="AB60" s="616"/>
      <c r="AC60" s="616"/>
      <c r="AD60" s="616"/>
      <c r="AE60" s="616"/>
      <c r="AF60" s="616"/>
      <c r="AG60" s="615">
        <f t="shared" si="22"/>
        <v>0</v>
      </c>
      <c r="AH60" s="615">
        <f t="shared" si="23"/>
        <v>0</v>
      </c>
      <c r="AI60" s="616">
        <f t="shared" si="24"/>
        <v>0</v>
      </c>
      <c r="AJ60" s="616">
        <f t="shared" si="25"/>
        <v>0</v>
      </c>
      <c r="AK60" s="616">
        <f t="shared" si="26"/>
        <v>0</v>
      </c>
      <c r="AL60" s="616">
        <f t="shared" si="27"/>
        <v>0</v>
      </c>
      <c r="AM60" s="616">
        <f t="shared" si="28"/>
        <v>0</v>
      </c>
      <c r="AN60" s="616">
        <f t="shared" si="29"/>
        <v>0</v>
      </c>
      <c r="AO60" s="615">
        <f t="shared" si="30"/>
        <v>0</v>
      </c>
      <c r="AP60" s="616">
        <f t="shared" si="31"/>
        <v>0</v>
      </c>
      <c r="AQ60" s="616">
        <f t="shared" si="32"/>
        <v>0</v>
      </c>
      <c r="AR60" s="616">
        <f t="shared" si="33"/>
        <v>0</v>
      </c>
      <c r="AS60" s="616">
        <f t="shared" si="34"/>
        <v>0</v>
      </c>
      <c r="AT60" s="637">
        <f t="shared" si="35"/>
        <v>0</v>
      </c>
      <c r="AU60" s="638">
        <f t="shared" si="12"/>
        <v>0</v>
      </c>
      <c r="AV60" s="616">
        <f t="shared" si="13"/>
        <v>0</v>
      </c>
      <c r="AW60" s="616">
        <f t="shared" si="14"/>
        <v>0</v>
      </c>
      <c r="AX60" s="616">
        <f t="shared" si="15"/>
        <v>0</v>
      </c>
      <c r="AY60" s="616">
        <f t="shared" si="16"/>
        <v>0</v>
      </c>
      <c r="AZ60" s="616">
        <f t="shared" si="17"/>
        <v>0</v>
      </c>
      <c r="BA60" s="616">
        <f t="shared" si="18"/>
        <v>0</v>
      </c>
      <c r="BB60" s="616"/>
      <c r="BC60" s="615">
        <f t="shared" si="36"/>
        <v>0</v>
      </c>
      <c r="BD60" s="616">
        <f t="shared" si="37"/>
        <v>0</v>
      </c>
      <c r="BE60" s="616">
        <f t="shared" si="38"/>
        <v>0</v>
      </c>
      <c r="BF60" s="616">
        <f t="shared" si="39"/>
        <v>0</v>
      </c>
      <c r="BG60" s="616">
        <f t="shared" si="40"/>
        <v>0</v>
      </c>
      <c r="BH60" s="616">
        <f t="shared" si="41"/>
        <v>0</v>
      </c>
      <c r="BI60" s="616">
        <f t="shared" si="42"/>
        <v>0</v>
      </c>
      <c r="BJ60" s="616"/>
      <c r="BK60" s="615">
        <f t="shared" si="43"/>
        <v>0</v>
      </c>
      <c r="BL60" s="616">
        <f t="shared" si="44"/>
        <v>0</v>
      </c>
      <c r="BM60" s="616">
        <f t="shared" si="45"/>
        <v>0</v>
      </c>
      <c r="BN60" s="616">
        <f t="shared" si="46"/>
        <v>0</v>
      </c>
      <c r="BO60" s="616">
        <f t="shared" si="47"/>
        <v>0</v>
      </c>
      <c r="BP60" s="616">
        <f t="shared" si="48"/>
        <v>0</v>
      </c>
      <c r="BQ60" s="616">
        <f t="shared" si="49"/>
        <v>0</v>
      </c>
      <c r="BR60" s="616">
        <f t="shared" si="50"/>
        <v>0</v>
      </c>
      <c r="BS60" s="304"/>
    </row>
    <row r="61" s="132" customFormat="1" ht="24" spans="1:71">
      <c r="A61" s="497" t="s">
        <v>202</v>
      </c>
      <c r="B61" s="497" t="s">
        <v>203</v>
      </c>
      <c r="C61" s="497" t="s">
        <v>271</v>
      </c>
      <c r="D61" s="497" t="s">
        <v>268</v>
      </c>
      <c r="E61" s="615">
        <f t="shared" si="8"/>
        <v>0</v>
      </c>
      <c r="F61" s="615">
        <f t="shared" si="9"/>
        <v>0</v>
      </c>
      <c r="G61" s="616"/>
      <c r="H61" s="616"/>
      <c r="I61" s="616"/>
      <c r="J61" s="616"/>
      <c r="K61" s="616"/>
      <c r="L61" s="616"/>
      <c r="M61" s="615">
        <f t="shared" si="10"/>
        <v>0</v>
      </c>
      <c r="N61" s="616"/>
      <c r="O61" s="616"/>
      <c r="P61" s="616"/>
      <c r="Q61" s="616"/>
      <c r="R61" s="616"/>
      <c r="S61" s="615">
        <f t="shared" si="19"/>
        <v>0</v>
      </c>
      <c r="T61" s="615">
        <f t="shared" si="20"/>
        <v>0</v>
      </c>
      <c r="U61" s="616"/>
      <c r="V61" s="616"/>
      <c r="W61" s="616"/>
      <c r="X61" s="616"/>
      <c r="Y61" s="616"/>
      <c r="Z61" s="616"/>
      <c r="AA61" s="615">
        <f t="shared" si="21"/>
        <v>0</v>
      </c>
      <c r="AB61" s="616"/>
      <c r="AC61" s="616"/>
      <c r="AD61" s="616"/>
      <c r="AE61" s="616"/>
      <c r="AF61" s="616"/>
      <c r="AG61" s="615">
        <f t="shared" si="22"/>
        <v>0</v>
      </c>
      <c r="AH61" s="615">
        <f t="shared" si="23"/>
        <v>0</v>
      </c>
      <c r="AI61" s="616">
        <f t="shared" si="24"/>
        <v>0</v>
      </c>
      <c r="AJ61" s="616">
        <f t="shared" si="25"/>
        <v>0</v>
      </c>
      <c r="AK61" s="616">
        <f t="shared" si="26"/>
        <v>0</v>
      </c>
      <c r="AL61" s="616">
        <f t="shared" si="27"/>
        <v>0</v>
      </c>
      <c r="AM61" s="616">
        <f t="shared" si="28"/>
        <v>0</v>
      </c>
      <c r="AN61" s="616">
        <f t="shared" si="29"/>
        <v>0</v>
      </c>
      <c r="AO61" s="615">
        <f t="shared" si="30"/>
        <v>0</v>
      </c>
      <c r="AP61" s="616">
        <f t="shared" si="31"/>
        <v>0</v>
      </c>
      <c r="AQ61" s="616">
        <f t="shared" si="32"/>
        <v>0</v>
      </c>
      <c r="AR61" s="616">
        <f t="shared" si="33"/>
        <v>0</v>
      </c>
      <c r="AS61" s="616">
        <f t="shared" si="34"/>
        <v>0</v>
      </c>
      <c r="AT61" s="637">
        <f t="shared" si="35"/>
        <v>0</v>
      </c>
      <c r="AU61" s="638">
        <f t="shared" si="12"/>
        <v>0</v>
      </c>
      <c r="AV61" s="616">
        <f t="shared" si="13"/>
        <v>0</v>
      </c>
      <c r="AW61" s="616">
        <f t="shared" si="14"/>
        <v>0</v>
      </c>
      <c r="AX61" s="616">
        <f t="shared" si="15"/>
        <v>0</v>
      </c>
      <c r="AY61" s="616">
        <f t="shared" si="16"/>
        <v>0</v>
      </c>
      <c r="AZ61" s="616">
        <f t="shared" si="17"/>
        <v>0</v>
      </c>
      <c r="BA61" s="616">
        <f t="shared" si="18"/>
        <v>0</v>
      </c>
      <c r="BB61" s="616"/>
      <c r="BC61" s="615">
        <f t="shared" si="36"/>
        <v>0</v>
      </c>
      <c r="BD61" s="616">
        <f t="shared" si="37"/>
        <v>0</v>
      </c>
      <c r="BE61" s="616">
        <f t="shared" si="38"/>
        <v>0</v>
      </c>
      <c r="BF61" s="616">
        <f t="shared" si="39"/>
        <v>0</v>
      </c>
      <c r="BG61" s="616">
        <f t="shared" si="40"/>
        <v>0</v>
      </c>
      <c r="BH61" s="616">
        <f t="shared" si="41"/>
        <v>0</v>
      </c>
      <c r="BI61" s="616">
        <f t="shared" si="42"/>
        <v>0</v>
      </c>
      <c r="BJ61" s="616"/>
      <c r="BK61" s="615">
        <f t="shared" si="43"/>
        <v>0</v>
      </c>
      <c r="BL61" s="616">
        <f t="shared" si="44"/>
        <v>0</v>
      </c>
      <c r="BM61" s="616">
        <f t="shared" si="45"/>
        <v>0</v>
      </c>
      <c r="BN61" s="616">
        <f t="shared" si="46"/>
        <v>0</v>
      </c>
      <c r="BO61" s="616">
        <f t="shared" si="47"/>
        <v>0</v>
      </c>
      <c r="BP61" s="616">
        <f t="shared" si="48"/>
        <v>0</v>
      </c>
      <c r="BQ61" s="616">
        <f t="shared" si="49"/>
        <v>0</v>
      </c>
      <c r="BR61" s="616">
        <f t="shared" si="50"/>
        <v>0</v>
      </c>
      <c r="BS61" s="304"/>
    </row>
    <row r="62" s="132" customFormat="1" ht="24" spans="1:71">
      <c r="A62" s="497" t="s">
        <v>202</v>
      </c>
      <c r="B62" s="497" t="s">
        <v>206</v>
      </c>
      <c r="C62" s="497" t="s">
        <v>272</v>
      </c>
      <c r="D62" s="497" t="s">
        <v>273</v>
      </c>
      <c r="E62" s="615">
        <f t="shared" si="8"/>
        <v>116.29</v>
      </c>
      <c r="F62" s="615">
        <f t="shared" si="9"/>
        <v>97.16</v>
      </c>
      <c r="G62" s="616">
        <v>56.56</v>
      </c>
      <c r="H62" s="616"/>
      <c r="I62" s="616">
        <v>20.22</v>
      </c>
      <c r="J62" s="616"/>
      <c r="K62" s="616"/>
      <c r="L62" s="616">
        <v>20.38</v>
      </c>
      <c r="M62" s="615">
        <f t="shared" si="10"/>
        <v>19.13</v>
      </c>
      <c r="N62" s="616">
        <v>12.13</v>
      </c>
      <c r="O62" s="616"/>
      <c r="P62" s="616"/>
      <c r="Q62" s="616"/>
      <c r="R62" s="616">
        <v>7</v>
      </c>
      <c r="S62" s="615">
        <f t="shared" si="19"/>
        <v>3.3</v>
      </c>
      <c r="T62" s="615">
        <f t="shared" si="20"/>
        <v>2.86</v>
      </c>
      <c r="U62" s="616">
        <v>1.88</v>
      </c>
      <c r="V62" s="616"/>
      <c r="W62" s="616">
        <v>0.53</v>
      </c>
      <c r="X62" s="616"/>
      <c r="Y62" s="616"/>
      <c r="Z62" s="616">
        <v>0.45</v>
      </c>
      <c r="AA62" s="615">
        <f t="shared" si="21"/>
        <v>0.44</v>
      </c>
      <c r="AB62" s="616">
        <v>0.32</v>
      </c>
      <c r="AC62" s="616"/>
      <c r="AD62" s="616"/>
      <c r="AE62" s="616">
        <v>0.45</v>
      </c>
      <c r="AF62" s="616">
        <v>-0.33</v>
      </c>
      <c r="AG62" s="615">
        <f t="shared" si="22"/>
        <v>119.59</v>
      </c>
      <c r="AH62" s="615">
        <f t="shared" si="23"/>
        <v>100.02</v>
      </c>
      <c r="AI62" s="616">
        <f t="shared" si="24"/>
        <v>58.44</v>
      </c>
      <c r="AJ62" s="616">
        <f t="shared" si="25"/>
        <v>0</v>
      </c>
      <c r="AK62" s="616">
        <f t="shared" si="26"/>
        <v>20.75</v>
      </c>
      <c r="AL62" s="616">
        <f t="shared" si="27"/>
        <v>0</v>
      </c>
      <c r="AM62" s="616">
        <f t="shared" si="28"/>
        <v>0</v>
      </c>
      <c r="AN62" s="616">
        <f t="shared" si="29"/>
        <v>20.83</v>
      </c>
      <c r="AO62" s="615">
        <f t="shared" si="30"/>
        <v>19.57</v>
      </c>
      <c r="AP62" s="616">
        <f t="shared" si="31"/>
        <v>12.45</v>
      </c>
      <c r="AQ62" s="616">
        <f t="shared" si="32"/>
        <v>0</v>
      </c>
      <c r="AR62" s="616">
        <f t="shared" si="33"/>
        <v>0</v>
      </c>
      <c r="AS62" s="616">
        <f t="shared" si="34"/>
        <v>0.45</v>
      </c>
      <c r="AT62" s="637">
        <f t="shared" si="35"/>
        <v>6.67</v>
      </c>
      <c r="AU62" s="638">
        <f t="shared" si="12"/>
        <v>38.05348</v>
      </c>
      <c r="AV62" s="616">
        <f t="shared" si="13"/>
        <v>14.2256</v>
      </c>
      <c r="AW62" s="616">
        <f t="shared" si="14"/>
        <v>7.1128</v>
      </c>
      <c r="AX62" s="616">
        <f t="shared" si="15"/>
        <v>5.3346</v>
      </c>
      <c r="AY62" s="616">
        <f t="shared" si="16"/>
        <v>0.17782</v>
      </c>
      <c r="AZ62" s="616">
        <f t="shared" si="17"/>
        <v>0.53346</v>
      </c>
      <c r="BA62" s="616">
        <f t="shared" si="18"/>
        <v>10.6692</v>
      </c>
      <c r="BB62" s="616"/>
      <c r="BC62" s="615">
        <f t="shared" si="36"/>
        <v>1.16844</v>
      </c>
      <c r="BD62" s="616">
        <f t="shared" si="37"/>
        <v>0.4368</v>
      </c>
      <c r="BE62" s="616">
        <f t="shared" si="38"/>
        <v>0.2184</v>
      </c>
      <c r="BF62" s="616">
        <f t="shared" si="39"/>
        <v>0.1638</v>
      </c>
      <c r="BG62" s="616">
        <f t="shared" si="40"/>
        <v>0.00546</v>
      </c>
      <c r="BH62" s="616">
        <f t="shared" si="41"/>
        <v>0.01638</v>
      </c>
      <c r="BI62" s="616">
        <f t="shared" si="42"/>
        <v>0.3276</v>
      </c>
      <c r="BJ62" s="616"/>
      <c r="BK62" s="615">
        <f t="shared" si="43"/>
        <v>39.22192</v>
      </c>
      <c r="BL62" s="616">
        <f t="shared" si="44"/>
        <v>14.6624</v>
      </c>
      <c r="BM62" s="616">
        <f t="shared" si="45"/>
        <v>7.3312</v>
      </c>
      <c r="BN62" s="616">
        <f t="shared" si="46"/>
        <v>5.4984</v>
      </c>
      <c r="BO62" s="616">
        <f t="shared" si="47"/>
        <v>0.18328</v>
      </c>
      <c r="BP62" s="616">
        <f t="shared" si="48"/>
        <v>0.54984</v>
      </c>
      <c r="BQ62" s="616">
        <f t="shared" si="49"/>
        <v>10.9968</v>
      </c>
      <c r="BR62" s="616">
        <f t="shared" si="50"/>
        <v>0</v>
      </c>
      <c r="BS62" s="304"/>
    </row>
    <row r="63" s="132" customFormat="1" ht="48" customHeight="1" spans="1:71">
      <c r="A63" s="497" t="s">
        <v>226</v>
      </c>
      <c r="B63" s="497" t="s">
        <v>203</v>
      </c>
      <c r="C63" s="497" t="s">
        <v>274</v>
      </c>
      <c r="D63" s="497" t="s">
        <v>275</v>
      </c>
      <c r="E63" s="615">
        <f t="shared" si="8"/>
        <v>0</v>
      </c>
      <c r="F63" s="615">
        <f t="shared" si="9"/>
        <v>0</v>
      </c>
      <c r="G63" s="616"/>
      <c r="H63" s="616"/>
      <c r="I63" s="616"/>
      <c r="J63" s="616"/>
      <c r="K63" s="616"/>
      <c r="L63" s="616"/>
      <c r="M63" s="615">
        <f t="shared" si="10"/>
        <v>0</v>
      </c>
      <c r="N63" s="616"/>
      <c r="O63" s="616"/>
      <c r="P63" s="616"/>
      <c r="Q63" s="616"/>
      <c r="R63" s="616"/>
      <c r="S63" s="615">
        <f t="shared" si="19"/>
        <v>0</v>
      </c>
      <c r="T63" s="615">
        <f t="shared" si="20"/>
        <v>0</v>
      </c>
      <c r="U63" s="616"/>
      <c r="V63" s="616"/>
      <c r="W63" s="616"/>
      <c r="X63" s="616"/>
      <c r="Y63" s="616"/>
      <c r="Z63" s="616"/>
      <c r="AA63" s="615">
        <f t="shared" si="21"/>
        <v>0</v>
      </c>
      <c r="AB63" s="616"/>
      <c r="AC63" s="616"/>
      <c r="AD63" s="616"/>
      <c r="AE63" s="616"/>
      <c r="AF63" s="616"/>
      <c r="AG63" s="615">
        <f t="shared" si="22"/>
        <v>0</v>
      </c>
      <c r="AH63" s="615">
        <f t="shared" si="23"/>
        <v>0</v>
      </c>
      <c r="AI63" s="616">
        <f t="shared" si="24"/>
        <v>0</v>
      </c>
      <c r="AJ63" s="616">
        <f t="shared" si="25"/>
        <v>0</v>
      </c>
      <c r="AK63" s="616">
        <f t="shared" si="26"/>
        <v>0</v>
      </c>
      <c r="AL63" s="616">
        <f t="shared" si="27"/>
        <v>0</v>
      </c>
      <c r="AM63" s="616">
        <f t="shared" si="28"/>
        <v>0</v>
      </c>
      <c r="AN63" s="616">
        <f t="shared" si="29"/>
        <v>0</v>
      </c>
      <c r="AO63" s="615">
        <f t="shared" si="30"/>
        <v>0</v>
      </c>
      <c r="AP63" s="616">
        <f t="shared" si="31"/>
        <v>0</v>
      </c>
      <c r="AQ63" s="616">
        <f t="shared" si="32"/>
        <v>0</v>
      </c>
      <c r="AR63" s="616">
        <f t="shared" si="33"/>
        <v>0</v>
      </c>
      <c r="AS63" s="616">
        <f t="shared" si="34"/>
        <v>0</v>
      </c>
      <c r="AT63" s="637">
        <f t="shared" si="35"/>
        <v>0</v>
      </c>
      <c r="AU63" s="638">
        <f t="shared" si="12"/>
        <v>0</v>
      </c>
      <c r="AV63" s="616">
        <f t="shared" si="13"/>
        <v>0</v>
      </c>
      <c r="AW63" s="616">
        <f t="shared" si="14"/>
        <v>0</v>
      </c>
      <c r="AX63" s="616">
        <f t="shared" si="15"/>
        <v>0</v>
      </c>
      <c r="AY63" s="616">
        <f t="shared" si="16"/>
        <v>0</v>
      </c>
      <c r="AZ63" s="616">
        <f t="shared" si="17"/>
        <v>0</v>
      </c>
      <c r="BA63" s="616">
        <f t="shared" si="18"/>
        <v>0</v>
      </c>
      <c r="BB63" s="616"/>
      <c r="BC63" s="615">
        <f t="shared" si="36"/>
        <v>0</v>
      </c>
      <c r="BD63" s="616">
        <f t="shared" si="37"/>
        <v>0</v>
      </c>
      <c r="BE63" s="616">
        <f t="shared" si="38"/>
        <v>0</v>
      </c>
      <c r="BF63" s="616">
        <f t="shared" si="39"/>
        <v>0</v>
      </c>
      <c r="BG63" s="616">
        <f t="shared" si="40"/>
        <v>0</v>
      </c>
      <c r="BH63" s="616">
        <f t="shared" si="41"/>
        <v>0</v>
      </c>
      <c r="BI63" s="616">
        <f t="shared" si="42"/>
        <v>0</v>
      </c>
      <c r="BJ63" s="616"/>
      <c r="BK63" s="615">
        <f t="shared" si="43"/>
        <v>0</v>
      </c>
      <c r="BL63" s="616">
        <f t="shared" si="44"/>
        <v>0</v>
      </c>
      <c r="BM63" s="616">
        <f t="shared" si="45"/>
        <v>0</v>
      </c>
      <c r="BN63" s="616">
        <f t="shared" si="46"/>
        <v>0</v>
      </c>
      <c r="BO63" s="616">
        <f t="shared" si="47"/>
        <v>0</v>
      </c>
      <c r="BP63" s="616">
        <f t="shared" si="48"/>
        <v>0</v>
      </c>
      <c r="BQ63" s="616">
        <f t="shared" si="49"/>
        <v>0</v>
      </c>
      <c r="BR63" s="616">
        <f t="shared" si="50"/>
        <v>0</v>
      </c>
      <c r="BS63" s="304"/>
    </row>
    <row r="64" s="132" customFormat="1" ht="36" spans="1:71">
      <c r="A64" s="497" t="s">
        <v>226</v>
      </c>
      <c r="B64" s="497" t="s">
        <v>206</v>
      </c>
      <c r="C64" s="497" t="s">
        <v>276</v>
      </c>
      <c r="D64" s="497" t="s">
        <v>277</v>
      </c>
      <c r="E64" s="615">
        <f t="shared" si="8"/>
        <v>84.26</v>
      </c>
      <c r="F64" s="615">
        <f t="shared" si="9"/>
        <v>68.43</v>
      </c>
      <c r="G64" s="616">
        <v>39.41</v>
      </c>
      <c r="H64" s="616"/>
      <c r="I64" s="616">
        <v>14.64</v>
      </c>
      <c r="J64" s="616"/>
      <c r="K64" s="616"/>
      <c r="L64" s="616">
        <v>14.38</v>
      </c>
      <c r="M64" s="615">
        <f t="shared" si="10"/>
        <v>15.83</v>
      </c>
      <c r="N64" s="616">
        <v>8.78</v>
      </c>
      <c r="O64" s="616"/>
      <c r="P64" s="616">
        <v>2.55</v>
      </c>
      <c r="Q64" s="616"/>
      <c r="R64" s="616">
        <v>4.5</v>
      </c>
      <c r="S64" s="615">
        <f t="shared" si="19"/>
        <v>3.8</v>
      </c>
      <c r="T64" s="615">
        <f t="shared" si="20"/>
        <v>2.86</v>
      </c>
      <c r="U64" s="616">
        <v>1.58</v>
      </c>
      <c r="V64" s="616"/>
      <c r="W64" s="616">
        <v>0.48</v>
      </c>
      <c r="X64" s="616"/>
      <c r="Y64" s="616"/>
      <c r="Z64" s="616">
        <v>0.8</v>
      </c>
      <c r="AA64" s="615">
        <f t="shared" si="21"/>
        <v>0.94</v>
      </c>
      <c r="AB64" s="616">
        <v>0.29</v>
      </c>
      <c r="AC64" s="616"/>
      <c r="AD64" s="616"/>
      <c r="AE64" s="616">
        <v>0.15</v>
      </c>
      <c r="AF64" s="616">
        <v>0.5</v>
      </c>
      <c r="AG64" s="615">
        <f t="shared" si="22"/>
        <v>88.06</v>
      </c>
      <c r="AH64" s="615">
        <f t="shared" si="23"/>
        <v>71.29</v>
      </c>
      <c r="AI64" s="616">
        <f t="shared" si="24"/>
        <v>40.99</v>
      </c>
      <c r="AJ64" s="616">
        <f t="shared" si="25"/>
        <v>0</v>
      </c>
      <c r="AK64" s="616">
        <f t="shared" si="26"/>
        <v>15.12</v>
      </c>
      <c r="AL64" s="616">
        <f t="shared" si="27"/>
        <v>0</v>
      </c>
      <c r="AM64" s="616">
        <f t="shared" si="28"/>
        <v>0</v>
      </c>
      <c r="AN64" s="616">
        <f t="shared" si="29"/>
        <v>15.18</v>
      </c>
      <c r="AO64" s="615">
        <f t="shared" si="30"/>
        <v>16.77</v>
      </c>
      <c r="AP64" s="616">
        <f t="shared" si="31"/>
        <v>9.07</v>
      </c>
      <c r="AQ64" s="616">
        <f t="shared" si="32"/>
        <v>0</v>
      </c>
      <c r="AR64" s="616">
        <f t="shared" si="33"/>
        <v>2.55</v>
      </c>
      <c r="AS64" s="616">
        <f t="shared" si="34"/>
        <v>0.15</v>
      </c>
      <c r="AT64" s="637">
        <f t="shared" si="35"/>
        <v>5</v>
      </c>
      <c r="AU64" s="638">
        <f t="shared" si="12"/>
        <v>26.89124</v>
      </c>
      <c r="AV64" s="616">
        <f t="shared" si="13"/>
        <v>10.0528</v>
      </c>
      <c r="AW64" s="616">
        <f t="shared" si="14"/>
        <v>5.0264</v>
      </c>
      <c r="AX64" s="616">
        <f t="shared" si="15"/>
        <v>3.7698</v>
      </c>
      <c r="AY64" s="616">
        <f t="shared" si="16"/>
        <v>0.12566</v>
      </c>
      <c r="AZ64" s="616">
        <f t="shared" si="17"/>
        <v>0.37698</v>
      </c>
      <c r="BA64" s="616">
        <f t="shared" si="18"/>
        <v>7.5396</v>
      </c>
      <c r="BB64" s="616"/>
      <c r="BC64" s="615">
        <f t="shared" si="36"/>
        <v>1.0058</v>
      </c>
      <c r="BD64" s="616">
        <f t="shared" si="37"/>
        <v>0.376</v>
      </c>
      <c r="BE64" s="616">
        <f t="shared" si="38"/>
        <v>0.188</v>
      </c>
      <c r="BF64" s="616">
        <f t="shared" si="39"/>
        <v>0.141</v>
      </c>
      <c r="BG64" s="616">
        <f t="shared" si="40"/>
        <v>0.0047</v>
      </c>
      <c r="BH64" s="616">
        <f t="shared" si="41"/>
        <v>0.0141</v>
      </c>
      <c r="BI64" s="616">
        <f t="shared" si="42"/>
        <v>0.282</v>
      </c>
      <c r="BJ64" s="616"/>
      <c r="BK64" s="615">
        <f t="shared" si="43"/>
        <v>27.89704</v>
      </c>
      <c r="BL64" s="616">
        <f t="shared" si="44"/>
        <v>10.4288</v>
      </c>
      <c r="BM64" s="616">
        <f t="shared" si="45"/>
        <v>5.2144</v>
      </c>
      <c r="BN64" s="616">
        <f t="shared" si="46"/>
        <v>3.9108</v>
      </c>
      <c r="BO64" s="616">
        <f t="shared" si="47"/>
        <v>0.13036</v>
      </c>
      <c r="BP64" s="616">
        <f t="shared" si="48"/>
        <v>0.39108</v>
      </c>
      <c r="BQ64" s="616">
        <f t="shared" si="49"/>
        <v>7.8216</v>
      </c>
      <c r="BR64" s="616">
        <f t="shared" si="50"/>
        <v>0</v>
      </c>
      <c r="BS64" s="304"/>
    </row>
    <row r="65" s="132" customFormat="1" ht="24" spans="1:71">
      <c r="A65" s="497" t="s">
        <v>226</v>
      </c>
      <c r="B65" s="497" t="s">
        <v>206</v>
      </c>
      <c r="C65" s="497" t="s">
        <v>278</v>
      </c>
      <c r="D65" s="497" t="s">
        <v>279</v>
      </c>
      <c r="E65" s="615">
        <f t="shared" si="8"/>
        <v>160.22</v>
      </c>
      <c r="F65" s="615">
        <f t="shared" si="9"/>
        <v>135.6</v>
      </c>
      <c r="G65" s="616">
        <v>82.5</v>
      </c>
      <c r="H65" s="616"/>
      <c r="I65" s="616">
        <v>26.87</v>
      </c>
      <c r="J65" s="616"/>
      <c r="K65" s="616"/>
      <c r="L65" s="616">
        <v>26.23</v>
      </c>
      <c r="M65" s="615">
        <f t="shared" si="10"/>
        <v>24.62</v>
      </c>
      <c r="N65" s="616">
        <v>16.12</v>
      </c>
      <c r="O65" s="616"/>
      <c r="P65" s="616"/>
      <c r="Q65" s="616"/>
      <c r="R65" s="616">
        <v>8.5</v>
      </c>
      <c r="S65" s="615">
        <f t="shared" si="19"/>
        <v>6.25</v>
      </c>
      <c r="T65" s="615">
        <f t="shared" si="20"/>
        <v>5.48</v>
      </c>
      <c r="U65" s="616">
        <v>4.13</v>
      </c>
      <c r="V65" s="616">
        <v>0.78</v>
      </c>
      <c r="W65" s="616"/>
      <c r="X65" s="616"/>
      <c r="Y65" s="616"/>
      <c r="Z65" s="616">
        <v>0.57</v>
      </c>
      <c r="AA65" s="615">
        <f t="shared" si="21"/>
        <v>0.77</v>
      </c>
      <c r="AB65" s="616">
        <v>0.47</v>
      </c>
      <c r="AC65" s="616"/>
      <c r="AD65" s="616"/>
      <c r="AE65" s="616">
        <v>0.3</v>
      </c>
      <c r="AF65" s="616"/>
      <c r="AG65" s="615">
        <f t="shared" si="22"/>
        <v>166.47</v>
      </c>
      <c r="AH65" s="615">
        <f t="shared" si="23"/>
        <v>141.08</v>
      </c>
      <c r="AI65" s="616">
        <f t="shared" si="24"/>
        <v>86.63</v>
      </c>
      <c r="AJ65" s="616">
        <f t="shared" si="25"/>
        <v>0.78</v>
      </c>
      <c r="AK65" s="616">
        <f t="shared" si="26"/>
        <v>26.87</v>
      </c>
      <c r="AL65" s="616">
        <f t="shared" si="27"/>
        <v>0</v>
      </c>
      <c r="AM65" s="616">
        <f t="shared" si="28"/>
        <v>0</v>
      </c>
      <c r="AN65" s="616">
        <f t="shared" si="29"/>
        <v>26.8</v>
      </c>
      <c r="AO65" s="615">
        <f t="shared" si="30"/>
        <v>25.39</v>
      </c>
      <c r="AP65" s="616">
        <f t="shared" si="31"/>
        <v>16.59</v>
      </c>
      <c r="AQ65" s="616">
        <f t="shared" si="32"/>
        <v>0</v>
      </c>
      <c r="AR65" s="616">
        <f t="shared" si="33"/>
        <v>0</v>
      </c>
      <c r="AS65" s="616">
        <f t="shared" si="34"/>
        <v>0.3</v>
      </c>
      <c r="AT65" s="637">
        <f t="shared" si="35"/>
        <v>8.5</v>
      </c>
      <c r="AU65" s="638">
        <f t="shared" si="12"/>
        <v>53.70972</v>
      </c>
      <c r="AV65" s="616">
        <f t="shared" si="13"/>
        <v>20.0784</v>
      </c>
      <c r="AW65" s="616">
        <f t="shared" si="14"/>
        <v>10.0392</v>
      </c>
      <c r="AX65" s="616">
        <f t="shared" si="15"/>
        <v>7.5294</v>
      </c>
      <c r="AY65" s="616">
        <f t="shared" si="16"/>
        <v>0.25098</v>
      </c>
      <c r="AZ65" s="616">
        <f t="shared" si="17"/>
        <v>0.75294</v>
      </c>
      <c r="BA65" s="616">
        <f t="shared" si="18"/>
        <v>15.0588</v>
      </c>
      <c r="BB65" s="616"/>
      <c r="BC65" s="615">
        <f t="shared" si="36"/>
        <v>2.30264</v>
      </c>
      <c r="BD65" s="616">
        <f t="shared" si="37"/>
        <v>0.8608</v>
      </c>
      <c r="BE65" s="616">
        <f t="shared" si="38"/>
        <v>0.4304</v>
      </c>
      <c r="BF65" s="616">
        <f t="shared" si="39"/>
        <v>0.3228</v>
      </c>
      <c r="BG65" s="616">
        <f t="shared" si="40"/>
        <v>0.01076</v>
      </c>
      <c r="BH65" s="616">
        <f t="shared" si="41"/>
        <v>0.03228</v>
      </c>
      <c r="BI65" s="616">
        <f t="shared" si="42"/>
        <v>0.6456</v>
      </c>
      <c r="BJ65" s="616"/>
      <c r="BK65" s="615">
        <f t="shared" si="43"/>
        <v>56.01236</v>
      </c>
      <c r="BL65" s="616">
        <f t="shared" si="44"/>
        <v>20.9392</v>
      </c>
      <c r="BM65" s="616">
        <f t="shared" si="45"/>
        <v>10.4696</v>
      </c>
      <c r="BN65" s="616">
        <f t="shared" si="46"/>
        <v>7.8522</v>
      </c>
      <c r="BO65" s="616">
        <f t="shared" si="47"/>
        <v>0.26174</v>
      </c>
      <c r="BP65" s="616">
        <f t="shared" si="48"/>
        <v>0.78522</v>
      </c>
      <c r="BQ65" s="616">
        <f t="shared" si="49"/>
        <v>15.7044</v>
      </c>
      <c r="BR65" s="616">
        <f t="shared" si="50"/>
        <v>0</v>
      </c>
      <c r="BS65" s="304"/>
    </row>
    <row r="66" s="132" customFormat="1" ht="24" spans="1:71">
      <c r="A66" s="497" t="s">
        <v>226</v>
      </c>
      <c r="B66" s="497" t="s">
        <v>206</v>
      </c>
      <c r="C66" s="497" t="s">
        <v>280</v>
      </c>
      <c r="D66" s="497" t="s">
        <v>279</v>
      </c>
      <c r="E66" s="615">
        <f t="shared" si="8"/>
        <v>61.28</v>
      </c>
      <c r="F66" s="615">
        <f t="shared" si="9"/>
        <v>51.37</v>
      </c>
      <c r="G66" s="616">
        <v>30.17</v>
      </c>
      <c r="H66" s="616"/>
      <c r="I66" s="616">
        <v>10.67</v>
      </c>
      <c r="J66" s="616"/>
      <c r="K66" s="616"/>
      <c r="L66" s="616">
        <v>10.53</v>
      </c>
      <c r="M66" s="615">
        <f t="shared" si="10"/>
        <v>9.91</v>
      </c>
      <c r="N66" s="616">
        <v>6.41</v>
      </c>
      <c r="O66" s="616"/>
      <c r="P66" s="616"/>
      <c r="Q66" s="616"/>
      <c r="R66" s="616">
        <v>3.5</v>
      </c>
      <c r="S66" s="615">
        <f t="shared" si="19"/>
        <v>1.87</v>
      </c>
      <c r="T66" s="615">
        <f t="shared" si="20"/>
        <v>1.32</v>
      </c>
      <c r="U66" s="616">
        <v>1</v>
      </c>
      <c r="V66" s="616"/>
      <c r="W66" s="616">
        <v>0.17</v>
      </c>
      <c r="X66" s="616"/>
      <c r="Y66" s="616"/>
      <c r="Z66" s="616">
        <v>0.15</v>
      </c>
      <c r="AA66" s="615">
        <f t="shared" si="21"/>
        <v>0.55</v>
      </c>
      <c r="AB66" s="616">
        <v>0.1</v>
      </c>
      <c r="AC66" s="616"/>
      <c r="AD66" s="616"/>
      <c r="AE66" s="616">
        <v>0.45</v>
      </c>
      <c r="AF66" s="616"/>
      <c r="AG66" s="615">
        <f t="shared" si="22"/>
        <v>63.15</v>
      </c>
      <c r="AH66" s="615">
        <f t="shared" si="23"/>
        <v>52.69</v>
      </c>
      <c r="AI66" s="616">
        <f t="shared" si="24"/>
        <v>31.17</v>
      </c>
      <c r="AJ66" s="616">
        <f t="shared" si="25"/>
        <v>0</v>
      </c>
      <c r="AK66" s="616">
        <f t="shared" si="26"/>
        <v>10.84</v>
      </c>
      <c r="AL66" s="616">
        <f t="shared" si="27"/>
        <v>0</v>
      </c>
      <c r="AM66" s="616">
        <f t="shared" si="28"/>
        <v>0</v>
      </c>
      <c r="AN66" s="616">
        <f t="shared" si="29"/>
        <v>10.68</v>
      </c>
      <c r="AO66" s="615">
        <f t="shared" si="30"/>
        <v>10.46</v>
      </c>
      <c r="AP66" s="616">
        <f t="shared" si="31"/>
        <v>6.51</v>
      </c>
      <c r="AQ66" s="616">
        <f t="shared" si="32"/>
        <v>0</v>
      </c>
      <c r="AR66" s="616">
        <f t="shared" si="33"/>
        <v>0</v>
      </c>
      <c r="AS66" s="616">
        <f t="shared" si="34"/>
        <v>0.45</v>
      </c>
      <c r="AT66" s="637">
        <f t="shared" si="35"/>
        <v>3.5</v>
      </c>
      <c r="AU66" s="638">
        <f t="shared" si="12"/>
        <v>20.223</v>
      </c>
      <c r="AV66" s="616">
        <f t="shared" si="13"/>
        <v>7.56</v>
      </c>
      <c r="AW66" s="616">
        <f t="shared" si="14"/>
        <v>3.78</v>
      </c>
      <c r="AX66" s="616">
        <f t="shared" si="15"/>
        <v>2.835</v>
      </c>
      <c r="AY66" s="616">
        <f t="shared" si="16"/>
        <v>0.0945</v>
      </c>
      <c r="AZ66" s="616">
        <f t="shared" si="17"/>
        <v>0.2835</v>
      </c>
      <c r="BA66" s="616">
        <f t="shared" si="18"/>
        <v>5.67</v>
      </c>
      <c r="BB66" s="616"/>
      <c r="BC66" s="615">
        <f t="shared" si="36"/>
        <v>0.54356</v>
      </c>
      <c r="BD66" s="616">
        <f t="shared" si="37"/>
        <v>0.2032</v>
      </c>
      <c r="BE66" s="616">
        <f t="shared" si="38"/>
        <v>0.1016</v>
      </c>
      <c r="BF66" s="616">
        <f t="shared" si="39"/>
        <v>0.0762</v>
      </c>
      <c r="BG66" s="616">
        <f t="shared" si="40"/>
        <v>0.00254</v>
      </c>
      <c r="BH66" s="616">
        <f t="shared" si="41"/>
        <v>0.00762</v>
      </c>
      <c r="BI66" s="616">
        <f t="shared" si="42"/>
        <v>0.1524</v>
      </c>
      <c r="BJ66" s="616"/>
      <c r="BK66" s="615">
        <f t="shared" si="43"/>
        <v>20.76656</v>
      </c>
      <c r="BL66" s="616">
        <f t="shared" si="44"/>
        <v>7.7632</v>
      </c>
      <c r="BM66" s="616">
        <f t="shared" si="45"/>
        <v>3.8816</v>
      </c>
      <c r="BN66" s="616">
        <f t="shared" si="46"/>
        <v>2.9112</v>
      </c>
      <c r="BO66" s="616">
        <f t="shared" si="47"/>
        <v>0.09704</v>
      </c>
      <c r="BP66" s="616">
        <f t="shared" si="48"/>
        <v>0.29112</v>
      </c>
      <c r="BQ66" s="616">
        <f t="shared" si="49"/>
        <v>5.8224</v>
      </c>
      <c r="BR66" s="616">
        <f t="shared" si="50"/>
        <v>0</v>
      </c>
      <c r="BS66" s="304"/>
    </row>
    <row r="67" s="132" customFormat="1" ht="24" spans="1:71">
      <c r="A67" s="497" t="s">
        <v>226</v>
      </c>
      <c r="B67" s="497" t="s">
        <v>206</v>
      </c>
      <c r="C67" s="497" t="s">
        <v>281</v>
      </c>
      <c r="D67" s="497" t="s">
        <v>279</v>
      </c>
      <c r="E67" s="615">
        <f t="shared" si="8"/>
        <v>171.07</v>
      </c>
      <c r="F67" s="615">
        <f t="shared" si="9"/>
        <v>140.38</v>
      </c>
      <c r="G67" s="616">
        <v>80.07</v>
      </c>
      <c r="H67" s="616"/>
      <c r="I67" s="616">
        <v>29.4</v>
      </c>
      <c r="J67" s="616"/>
      <c r="K67" s="616"/>
      <c r="L67" s="616">
        <v>30.91</v>
      </c>
      <c r="M67" s="615">
        <f t="shared" si="10"/>
        <v>30.69</v>
      </c>
      <c r="N67" s="616">
        <v>17.64</v>
      </c>
      <c r="O67" s="616"/>
      <c r="P67" s="616">
        <v>2.55</v>
      </c>
      <c r="Q67" s="616"/>
      <c r="R67" s="616">
        <v>10.5</v>
      </c>
      <c r="S67" s="615">
        <f t="shared" si="19"/>
        <v>16.5542</v>
      </c>
      <c r="T67" s="615">
        <f t="shared" si="20"/>
        <v>11.7342</v>
      </c>
      <c r="U67" s="616">
        <v>8.1725</v>
      </c>
      <c r="V67" s="616"/>
      <c r="W67" s="616">
        <v>2.7017</v>
      </c>
      <c r="X67" s="616"/>
      <c r="Y67" s="616"/>
      <c r="Z67" s="616">
        <v>0.86</v>
      </c>
      <c r="AA67" s="615">
        <f t="shared" si="21"/>
        <v>4.82</v>
      </c>
      <c r="AB67" s="616">
        <v>1.62</v>
      </c>
      <c r="AC67" s="616"/>
      <c r="AD67" s="616"/>
      <c r="AE67" s="616">
        <f>2.05+0.9</f>
        <v>2.95</v>
      </c>
      <c r="AF67" s="616">
        <v>0.25</v>
      </c>
      <c r="AG67" s="615">
        <f t="shared" si="22"/>
        <v>187.6242</v>
      </c>
      <c r="AH67" s="615">
        <f t="shared" si="23"/>
        <v>152.1142</v>
      </c>
      <c r="AI67" s="616">
        <f t="shared" si="24"/>
        <v>88.2425</v>
      </c>
      <c r="AJ67" s="616">
        <f t="shared" si="25"/>
        <v>0</v>
      </c>
      <c r="AK67" s="616">
        <f t="shared" si="26"/>
        <v>32.1017</v>
      </c>
      <c r="AL67" s="616">
        <f t="shared" si="27"/>
        <v>0</v>
      </c>
      <c r="AM67" s="616">
        <f t="shared" si="28"/>
        <v>0</v>
      </c>
      <c r="AN67" s="616">
        <f t="shared" si="29"/>
        <v>31.77</v>
      </c>
      <c r="AO67" s="615">
        <f t="shared" si="30"/>
        <v>35.51</v>
      </c>
      <c r="AP67" s="616">
        <f t="shared" si="31"/>
        <v>19.26</v>
      </c>
      <c r="AQ67" s="616">
        <f t="shared" si="32"/>
        <v>0</v>
      </c>
      <c r="AR67" s="616">
        <f t="shared" si="33"/>
        <v>2.55</v>
      </c>
      <c r="AS67" s="616">
        <f t="shared" si="34"/>
        <v>2.95</v>
      </c>
      <c r="AT67" s="637">
        <f t="shared" si="35"/>
        <v>10.75</v>
      </c>
      <c r="AU67" s="638">
        <f t="shared" si="12"/>
        <v>54.40308</v>
      </c>
      <c r="AV67" s="616">
        <f t="shared" si="13"/>
        <v>20.3376</v>
      </c>
      <c r="AW67" s="616">
        <f t="shared" si="14"/>
        <v>10.1688</v>
      </c>
      <c r="AX67" s="616">
        <f t="shared" si="15"/>
        <v>7.6266</v>
      </c>
      <c r="AY67" s="616">
        <f t="shared" si="16"/>
        <v>0.25422</v>
      </c>
      <c r="AZ67" s="616">
        <f t="shared" si="17"/>
        <v>0.76266</v>
      </c>
      <c r="BA67" s="616">
        <f t="shared" si="18"/>
        <v>15.2532</v>
      </c>
      <c r="BB67" s="616"/>
      <c r="BC67" s="615">
        <f t="shared" si="36"/>
        <v>5.3475176</v>
      </c>
      <c r="BD67" s="616">
        <f t="shared" si="37"/>
        <v>1.999072</v>
      </c>
      <c r="BE67" s="616">
        <f t="shared" si="38"/>
        <v>0.999536</v>
      </c>
      <c r="BF67" s="616">
        <f t="shared" si="39"/>
        <v>0.749652</v>
      </c>
      <c r="BG67" s="616">
        <f t="shared" si="40"/>
        <v>0.0249884</v>
      </c>
      <c r="BH67" s="616">
        <f t="shared" si="41"/>
        <v>0.0749652</v>
      </c>
      <c r="BI67" s="616">
        <f t="shared" si="42"/>
        <v>1.499304</v>
      </c>
      <c r="BJ67" s="616"/>
      <c r="BK67" s="615">
        <f t="shared" si="43"/>
        <v>59.7505976</v>
      </c>
      <c r="BL67" s="616">
        <f t="shared" si="44"/>
        <v>22.336672</v>
      </c>
      <c r="BM67" s="616">
        <f t="shared" si="45"/>
        <v>11.168336</v>
      </c>
      <c r="BN67" s="616">
        <f t="shared" si="46"/>
        <v>8.376252</v>
      </c>
      <c r="BO67" s="616">
        <f t="shared" si="47"/>
        <v>0.2792084</v>
      </c>
      <c r="BP67" s="616">
        <f t="shared" si="48"/>
        <v>0.8376252</v>
      </c>
      <c r="BQ67" s="616">
        <f t="shared" si="49"/>
        <v>16.752504</v>
      </c>
      <c r="BR67" s="616">
        <f t="shared" si="50"/>
        <v>0</v>
      </c>
      <c r="BS67" s="304"/>
    </row>
    <row r="68" s="132" customFormat="1" ht="24" spans="1:71">
      <c r="A68" s="497" t="s">
        <v>226</v>
      </c>
      <c r="B68" s="497" t="s">
        <v>206</v>
      </c>
      <c r="C68" s="497" t="s">
        <v>282</v>
      </c>
      <c r="D68" s="497" t="s">
        <v>279</v>
      </c>
      <c r="E68" s="615">
        <f t="shared" si="8"/>
        <v>64.55</v>
      </c>
      <c r="F68" s="615">
        <f t="shared" si="9"/>
        <v>53.33</v>
      </c>
      <c r="G68" s="616">
        <v>30.62</v>
      </c>
      <c r="H68" s="616"/>
      <c r="I68" s="616">
        <v>12.04</v>
      </c>
      <c r="J68" s="616"/>
      <c r="K68" s="616"/>
      <c r="L68" s="616">
        <v>10.67</v>
      </c>
      <c r="M68" s="615">
        <f t="shared" si="10"/>
        <v>11.22</v>
      </c>
      <c r="N68" s="616">
        <v>7.22</v>
      </c>
      <c r="O68" s="616"/>
      <c r="P68" s="616"/>
      <c r="Q68" s="616"/>
      <c r="R68" s="616">
        <v>4</v>
      </c>
      <c r="S68" s="615">
        <f t="shared" si="19"/>
        <v>-5.98</v>
      </c>
      <c r="T68" s="615">
        <f t="shared" si="20"/>
        <v>-5.05</v>
      </c>
      <c r="U68" s="616">
        <v>-3.63</v>
      </c>
      <c r="V68" s="616"/>
      <c r="W68" s="616">
        <v>-1.38</v>
      </c>
      <c r="X68" s="616"/>
      <c r="Y68" s="616"/>
      <c r="Z68" s="616">
        <v>-0.04</v>
      </c>
      <c r="AA68" s="615">
        <f t="shared" si="21"/>
        <v>-0.93</v>
      </c>
      <c r="AB68" s="616">
        <v>-0.83</v>
      </c>
      <c r="AC68" s="616"/>
      <c r="AD68" s="616"/>
      <c r="AE68" s="616">
        <v>0.15</v>
      </c>
      <c r="AF68" s="616">
        <v>-0.25</v>
      </c>
      <c r="AG68" s="615">
        <f t="shared" si="22"/>
        <v>58.57</v>
      </c>
      <c r="AH68" s="615">
        <f t="shared" si="23"/>
        <v>48.28</v>
      </c>
      <c r="AI68" s="616">
        <f t="shared" si="24"/>
        <v>26.99</v>
      </c>
      <c r="AJ68" s="616">
        <f t="shared" si="25"/>
        <v>0</v>
      </c>
      <c r="AK68" s="616">
        <f t="shared" si="26"/>
        <v>10.66</v>
      </c>
      <c r="AL68" s="616">
        <f t="shared" si="27"/>
        <v>0</v>
      </c>
      <c r="AM68" s="616">
        <f t="shared" si="28"/>
        <v>0</v>
      </c>
      <c r="AN68" s="616">
        <f t="shared" si="29"/>
        <v>10.63</v>
      </c>
      <c r="AO68" s="615">
        <f t="shared" si="30"/>
        <v>10.29</v>
      </c>
      <c r="AP68" s="616">
        <f t="shared" si="31"/>
        <v>6.39</v>
      </c>
      <c r="AQ68" s="616">
        <f t="shared" si="32"/>
        <v>0</v>
      </c>
      <c r="AR68" s="616">
        <f t="shared" si="33"/>
        <v>0</v>
      </c>
      <c r="AS68" s="616">
        <f t="shared" si="34"/>
        <v>0.15</v>
      </c>
      <c r="AT68" s="637">
        <f t="shared" si="35"/>
        <v>3.75</v>
      </c>
      <c r="AU68" s="638">
        <f t="shared" si="12"/>
        <v>21.34864</v>
      </c>
      <c r="AV68" s="616">
        <f t="shared" si="13"/>
        <v>7.9808</v>
      </c>
      <c r="AW68" s="616">
        <f t="shared" si="14"/>
        <v>3.9904</v>
      </c>
      <c r="AX68" s="616">
        <f t="shared" si="15"/>
        <v>2.9928</v>
      </c>
      <c r="AY68" s="616">
        <f t="shared" si="16"/>
        <v>0.09976</v>
      </c>
      <c r="AZ68" s="616">
        <f t="shared" si="17"/>
        <v>0.29928</v>
      </c>
      <c r="BA68" s="616">
        <f t="shared" si="18"/>
        <v>5.9856</v>
      </c>
      <c r="BB68" s="616"/>
      <c r="BC68" s="615">
        <f t="shared" si="36"/>
        <v>-2.49952</v>
      </c>
      <c r="BD68" s="616">
        <f t="shared" si="37"/>
        <v>-0.9344</v>
      </c>
      <c r="BE68" s="616">
        <f t="shared" si="38"/>
        <v>-0.4672</v>
      </c>
      <c r="BF68" s="616">
        <f t="shared" si="39"/>
        <v>-0.3504</v>
      </c>
      <c r="BG68" s="616">
        <f t="shared" si="40"/>
        <v>-0.01168</v>
      </c>
      <c r="BH68" s="616">
        <f t="shared" si="41"/>
        <v>-0.03504</v>
      </c>
      <c r="BI68" s="616">
        <f t="shared" si="42"/>
        <v>-0.7008</v>
      </c>
      <c r="BJ68" s="616"/>
      <c r="BK68" s="615">
        <f t="shared" si="43"/>
        <v>18.84912</v>
      </c>
      <c r="BL68" s="616">
        <f t="shared" si="44"/>
        <v>7.0464</v>
      </c>
      <c r="BM68" s="616">
        <f t="shared" si="45"/>
        <v>3.5232</v>
      </c>
      <c r="BN68" s="616">
        <f t="shared" si="46"/>
        <v>2.6424</v>
      </c>
      <c r="BO68" s="616">
        <f t="shared" si="47"/>
        <v>0.08808</v>
      </c>
      <c r="BP68" s="616">
        <f t="shared" si="48"/>
        <v>0.26424</v>
      </c>
      <c r="BQ68" s="616">
        <f t="shared" si="49"/>
        <v>5.2848</v>
      </c>
      <c r="BR68" s="616">
        <f t="shared" si="50"/>
        <v>0</v>
      </c>
      <c r="BS68" s="304"/>
    </row>
    <row r="69" s="132" customFormat="1" ht="24" spans="1:71">
      <c r="A69" s="497" t="s">
        <v>226</v>
      </c>
      <c r="B69" s="497" t="s">
        <v>206</v>
      </c>
      <c r="C69" s="497" t="s">
        <v>283</v>
      </c>
      <c r="D69" s="497" t="s">
        <v>279</v>
      </c>
      <c r="E69" s="615">
        <f t="shared" si="8"/>
        <v>42.37</v>
      </c>
      <c r="F69" s="615">
        <f t="shared" si="9"/>
        <v>35.31</v>
      </c>
      <c r="G69" s="616">
        <v>20.2</v>
      </c>
      <c r="H69" s="616"/>
      <c r="I69" s="616">
        <v>7.6</v>
      </c>
      <c r="J69" s="616"/>
      <c r="K69" s="616"/>
      <c r="L69" s="616">
        <v>7.51</v>
      </c>
      <c r="M69" s="615">
        <f t="shared" si="10"/>
        <v>7.06</v>
      </c>
      <c r="N69" s="616">
        <v>4.56</v>
      </c>
      <c r="O69" s="616"/>
      <c r="P69" s="616"/>
      <c r="Q69" s="616"/>
      <c r="R69" s="616">
        <v>2.5</v>
      </c>
      <c r="S69" s="615">
        <f t="shared" si="19"/>
        <v>-4.03</v>
      </c>
      <c r="T69" s="615">
        <f t="shared" si="20"/>
        <v>-3.13</v>
      </c>
      <c r="U69" s="616">
        <v>-1.58</v>
      </c>
      <c r="V69" s="616"/>
      <c r="W69" s="616">
        <v>-0.81</v>
      </c>
      <c r="X69" s="616"/>
      <c r="Y69" s="616"/>
      <c r="Z69" s="616">
        <v>-0.74</v>
      </c>
      <c r="AA69" s="615">
        <f t="shared" si="21"/>
        <v>-0.9</v>
      </c>
      <c r="AB69" s="616">
        <v>-0.48</v>
      </c>
      <c r="AC69" s="616"/>
      <c r="AD69" s="616"/>
      <c r="AE69" s="616">
        <v>-0.17</v>
      </c>
      <c r="AF69" s="616">
        <v>-0.25</v>
      </c>
      <c r="AG69" s="615">
        <f t="shared" si="22"/>
        <v>38.34</v>
      </c>
      <c r="AH69" s="615">
        <f t="shared" si="23"/>
        <v>32.18</v>
      </c>
      <c r="AI69" s="616">
        <f t="shared" si="24"/>
        <v>18.62</v>
      </c>
      <c r="AJ69" s="616">
        <f t="shared" si="25"/>
        <v>0</v>
      </c>
      <c r="AK69" s="616">
        <f t="shared" si="26"/>
        <v>6.79</v>
      </c>
      <c r="AL69" s="616">
        <f t="shared" si="27"/>
        <v>0</v>
      </c>
      <c r="AM69" s="616">
        <f t="shared" si="28"/>
        <v>0</v>
      </c>
      <c r="AN69" s="616">
        <f t="shared" si="29"/>
        <v>6.77</v>
      </c>
      <c r="AO69" s="615">
        <f t="shared" si="30"/>
        <v>6.16</v>
      </c>
      <c r="AP69" s="616">
        <f t="shared" si="31"/>
        <v>4.08</v>
      </c>
      <c r="AQ69" s="616">
        <f t="shared" si="32"/>
        <v>0</v>
      </c>
      <c r="AR69" s="616">
        <f t="shared" si="33"/>
        <v>0</v>
      </c>
      <c r="AS69" s="616">
        <f t="shared" si="34"/>
        <v>-0.17</v>
      </c>
      <c r="AT69" s="637">
        <f t="shared" si="35"/>
        <v>2.25</v>
      </c>
      <c r="AU69" s="638">
        <f t="shared" si="12"/>
        <v>13.85008</v>
      </c>
      <c r="AV69" s="616">
        <f t="shared" si="13"/>
        <v>5.1776</v>
      </c>
      <c r="AW69" s="616">
        <f t="shared" si="14"/>
        <v>2.5888</v>
      </c>
      <c r="AX69" s="616">
        <f t="shared" si="15"/>
        <v>1.9416</v>
      </c>
      <c r="AY69" s="616">
        <f t="shared" si="16"/>
        <v>0.06472</v>
      </c>
      <c r="AZ69" s="616">
        <f t="shared" si="17"/>
        <v>0.19416</v>
      </c>
      <c r="BA69" s="616">
        <f t="shared" si="18"/>
        <v>3.8832</v>
      </c>
      <c r="BB69" s="616"/>
      <c r="BC69" s="615">
        <f t="shared" si="36"/>
        <v>-1.22836</v>
      </c>
      <c r="BD69" s="616">
        <f t="shared" si="37"/>
        <v>-0.4592</v>
      </c>
      <c r="BE69" s="616">
        <f t="shared" si="38"/>
        <v>-0.2296</v>
      </c>
      <c r="BF69" s="616">
        <f t="shared" si="39"/>
        <v>-0.1722</v>
      </c>
      <c r="BG69" s="616">
        <f t="shared" si="40"/>
        <v>-0.00574</v>
      </c>
      <c r="BH69" s="616">
        <f t="shared" si="41"/>
        <v>-0.01722</v>
      </c>
      <c r="BI69" s="616">
        <f t="shared" si="42"/>
        <v>-0.3444</v>
      </c>
      <c r="BJ69" s="616"/>
      <c r="BK69" s="615">
        <f t="shared" si="43"/>
        <v>12.62172</v>
      </c>
      <c r="BL69" s="616">
        <f t="shared" si="44"/>
        <v>4.7184</v>
      </c>
      <c r="BM69" s="616">
        <f t="shared" si="45"/>
        <v>2.3592</v>
      </c>
      <c r="BN69" s="616">
        <f t="shared" si="46"/>
        <v>1.7694</v>
      </c>
      <c r="BO69" s="616">
        <f t="shared" si="47"/>
        <v>0.05898</v>
      </c>
      <c r="BP69" s="616">
        <f t="shared" si="48"/>
        <v>0.17694</v>
      </c>
      <c r="BQ69" s="616">
        <f t="shared" si="49"/>
        <v>3.5388</v>
      </c>
      <c r="BR69" s="616">
        <f t="shared" si="50"/>
        <v>0</v>
      </c>
      <c r="BS69" s="304"/>
    </row>
    <row r="70" s="132" customFormat="1" ht="24" spans="1:71">
      <c r="A70" s="497" t="s">
        <v>202</v>
      </c>
      <c r="B70" s="497" t="s">
        <v>203</v>
      </c>
      <c r="C70" s="497" t="s">
        <v>284</v>
      </c>
      <c r="D70" s="497" t="s">
        <v>285</v>
      </c>
      <c r="E70" s="615">
        <f t="shared" si="8"/>
        <v>0</v>
      </c>
      <c r="F70" s="615">
        <f t="shared" si="9"/>
        <v>0</v>
      </c>
      <c r="G70" s="616"/>
      <c r="H70" s="616"/>
      <c r="I70" s="616"/>
      <c r="J70" s="616"/>
      <c r="K70" s="616"/>
      <c r="L70" s="616"/>
      <c r="M70" s="615">
        <f t="shared" si="10"/>
        <v>0</v>
      </c>
      <c r="N70" s="616"/>
      <c r="O70" s="616"/>
      <c r="P70" s="616"/>
      <c r="Q70" s="616"/>
      <c r="R70" s="616"/>
      <c r="S70" s="615">
        <f t="shared" si="19"/>
        <v>0</v>
      </c>
      <c r="T70" s="615">
        <f t="shared" si="20"/>
        <v>0</v>
      </c>
      <c r="U70" s="616"/>
      <c r="V70" s="616"/>
      <c r="W70" s="616"/>
      <c r="X70" s="616"/>
      <c r="Y70" s="616"/>
      <c r="Z70" s="616"/>
      <c r="AA70" s="615">
        <f t="shared" si="21"/>
        <v>0</v>
      </c>
      <c r="AB70" s="616"/>
      <c r="AC70" s="616"/>
      <c r="AD70" s="616"/>
      <c r="AE70" s="616"/>
      <c r="AF70" s="616"/>
      <c r="AG70" s="615">
        <f t="shared" si="22"/>
        <v>0</v>
      </c>
      <c r="AH70" s="615">
        <f t="shared" si="23"/>
        <v>0</v>
      </c>
      <c r="AI70" s="616">
        <f t="shared" si="24"/>
        <v>0</v>
      </c>
      <c r="AJ70" s="616">
        <f t="shared" si="25"/>
        <v>0</v>
      </c>
      <c r="AK70" s="616">
        <f t="shared" si="26"/>
        <v>0</v>
      </c>
      <c r="AL70" s="616">
        <f t="shared" si="27"/>
        <v>0</v>
      </c>
      <c r="AM70" s="616">
        <f t="shared" si="28"/>
        <v>0</v>
      </c>
      <c r="AN70" s="616">
        <f t="shared" si="29"/>
        <v>0</v>
      </c>
      <c r="AO70" s="615">
        <f t="shared" si="30"/>
        <v>0</v>
      </c>
      <c r="AP70" s="616">
        <f t="shared" si="31"/>
        <v>0</v>
      </c>
      <c r="AQ70" s="616">
        <f t="shared" si="32"/>
        <v>0</v>
      </c>
      <c r="AR70" s="616">
        <f t="shared" si="33"/>
        <v>0</v>
      </c>
      <c r="AS70" s="616">
        <f t="shared" si="34"/>
        <v>0</v>
      </c>
      <c r="AT70" s="637">
        <f t="shared" si="35"/>
        <v>0</v>
      </c>
      <c r="AU70" s="638">
        <f t="shared" si="12"/>
        <v>0</v>
      </c>
      <c r="AV70" s="616">
        <f t="shared" si="13"/>
        <v>0</v>
      </c>
      <c r="AW70" s="616">
        <f t="shared" si="14"/>
        <v>0</v>
      </c>
      <c r="AX70" s="616">
        <f t="shared" si="15"/>
        <v>0</v>
      </c>
      <c r="AY70" s="616">
        <f t="shared" si="16"/>
        <v>0</v>
      </c>
      <c r="AZ70" s="616">
        <f t="shared" si="17"/>
        <v>0</v>
      </c>
      <c r="BA70" s="616">
        <f t="shared" si="18"/>
        <v>0</v>
      </c>
      <c r="BB70" s="616"/>
      <c r="BC70" s="615">
        <f t="shared" si="36"/>
        <v>0</v>
      </c>
      <c r="BD70" s="616">
        <f t="shared" si="37"/>
        <v>0</v>
      </c>
      <c r="BE70" s="616">
        <f t="shared" si="38"/>
        <v>0</v>
      </c>
      <c r="BF70" s="616">
        <f t="shared" si="39"/>
        <v>0</v>
      </c>
      <c r="BG70" s="616">
        <f t="shared" si="40"/>
        <v>0</v>
      </c>
      <c r="BH70" s="616">
        <f t="shared" si="41"/>
        <v>0</v>
      </c>
      <c r="BI70" s="616">
        <f t="shared" si="42"/>
        <v>0</v>
      </c>
      <c r="BJ70" s="616"/>
      <c r="BK70" s="615">
        <f t="shared" si="43"/>
        <v>0</v>
      </c>
      <c r="BL70" s="616">
        <f t="shared" si="44"/>
        <v>0</v>
      </c>
      <c r="BM70" s="616">
        <f t="shared" si="45"/>
        <v>0</v>
      </c>
      <c r="BN70" s="616">
        <f t="shared" si="46"/>
        <v>0</v>
      </c>
      <c r="BO70" s="616">
        <f t="shared" si="47"/>
        <v>0</v>
      </c>
      <c r="BP70" s="616">
        <f t="shared" si="48"/>
        <v>0</v>
      </c>
      <c r="BQ70" s="616">
        <f t="shared" si="49"/>
        <v>0</v>
      </c>
      <c r="BR70" s="616">
        <f t="shared" si="50"/>
        <v>0</v>
      </c>
      <c r="BS70" s="304"/>
    </row>
    <row r="71" s="131" customFormat="1" ht="24" spans="1:71">
      <c r="A71" s="497" t="s">
        <v>202</v>
      </c>
      <c r="B71" s="497" t="s">
        <v>206</v>
      </c>
      <c r="C71" s="497" t="s">
        <v>286</v>
      </c>
      <c r="D71" s="497" t="s">
        <v>287</v>
      </c>
      <c r="E71" s="617">
        <f t="shared" si="8"/>
        <v>171.28</v>
      </c>
      <c r="F71" s="617">
        <f t="shared" si="9"/>
        <v>126.14</v>
      </c>
      <c r="G71" s="618">
        <v>69.43</v>
      </c>
      <c r="H71" s="618"/>
      <c r="I71" s="618">
        <v>28.41</v>
      </c>
      <c r="J71" s="618"/>
      <c r="K71" s="618"/>
      <c r="L71" s="618">
        <v>28.3</v>
      </c>
      <c r="M71" s="617">
        <f t="shared" si="10"/>
        <v>45.14</v>
      </c>
      <c r="N71" s="618">
        <v>17.04</v>
      </c>
      <c r="O71" s="618"/>
      <c r="P71" s="618">
        <v>18.1</v>
      </c>
      <c r="Q71" s="618"/>
      <c r="R71" s="618">
        <v>10</v>
      </c>
      <c r="S71" s="615">
        <f t="shared" si="19"/>
        <v>7.95</v>
      </c>
      <c r="T71" s="615">
        <f t="shared" si="20"/>
        <v>5.82</v>
      </c>
      <c r="U71" s="616">
        <v>3.75</v>
      </c>
      <c r="V71" s="616"/>
      <c r="W71" s="616">
        <v>0.98</v>
      </c>
      <c r="X71" s="616"/>
      <c r="Y71" s="616"/>
      <c r="Z71" s="616">
        <v>1.09</v>
      </c>
      <c r="AA71" s="615">
        <f t="shared" si="21"/>
        <v>2.13</v>
      </c>
      <c r="AB71" s="616">
        <v>0.61</v>
      </c>
      <c r="AC71" s="616"/>
      <c r="AD71" s="616">
        <v>0.42</v>
      </c>
      <c r="AE71" s="616">
        <v>0.6</v>
      </c>
      <c r="AF71" s="616">
        <v>0.5</v>
      </c>
      <c r="AG71" s="615">
        <f t="shared" si="22"/>
        <v>179.23</v>
      </c>
      <c r="AH71" s="615">
        <f t="shared" si="23"/>
        <v>131.96</v>
      </c>
      <c r="AI71" s="616">
        <f t="shared" si="24"/>
        <v>73.18</v>
      </c>
      <c r="AJ71" s="616">
        <f t="shared" si="25"/>
        <v>0</v>
      </c>
      <c r="AK71" s="616">
        <f t="shared" si="26"/>
        <v>29.39</v>
      </c>
      <c r="AL71" s="616">
        <f t="shared" si="27"/>
        <v>0</v>
      </c>
      <c r="AM71" s="616">
        <f t="shared" si="28"/>
        <v>0</v>
      </c>
      <c r="AN71" s="616">
        <f t="shared" si="29"/>
        <v>29.39</v>
      </c>
      <c r="AO71" s="615">
        <f t="shared" si="30"/>
        <v>47.27</v>
      </c>
      <c r="AP71" s="616">
        <f t="shared" si="31"/>
        <v>17.65</v>
      </c>
      <c r="AQ71" s="616">
        <f t="shared" si="32"/>
        <v>0</v>
      </c>
      <c r="AR71" s="616">
        <f t="shared" si="33"/>
        <v>18.52</v>
      </c>
      <c r="AS71" s="616">
        <f t="shared" si="34"/>
        <v>0.6</v>
      </c>
      <c r="AT71" s="637">
        <f t="shared" si="35"/>
        <v>10.5</v>
      </c>
      <c r="AU71" s="639">
        <f t="shared" si="12"/>
        <v>49.16864</v>
      </c>
      <c r="AV71" s="618">
        <f t="shared" si="13"/>
        <v>18.3808</v>
      </c>
      <c r="AW71" s="618">
        <f t="shared" si="14"/>
        <v>9.1904</v>
      </c>
      <c r="AX71" s="618">
        <f t="shared" si="15"/>
        <v>6.8928</v>
      </c>
      <c r="AY71" s="618">
        <f t="shared" si="16"/>
        <v>0.22976</v>
      </c>
      <c r="AZ71" s="618">
        <f t="shared" si="17"/>
        <v>0.68928</v>
      </c>
      <c r="BA71" s="618">
        <f t="shared" si="18"/>
        <v>13.7856</v>
      </c>
      <c r="BB71" s="618"/>
      <c r="BC71" s="615">
        <f t="shared" si="36"/>
        <v>2.28552</v>
      </c>
      <c r="BD71" s="616">
        <f t="shared" si="37"/>
        <v>0.8544</v>
      </c>
      <c r="BE71" s="616">
        <f t="shared" si="38"/>
        <v>0.4272</v>
      </c>
      <c r="BF71" s="616">
        <f t="shared" si="39"/>
        <v>0.3204</v>
      </c>
      <c r="BG71" s="616">
        <f t="shared" si="40"/>
        <v>0.01068</v>
      </c>
      <c r="BH71" s="616">
        <f t="shared" si="41"/>
        <v>0.03204</v>
      </c>
      <c r="BI71" s="616">
        <f t="shared" si="42"/>
        <v>0.6408</v>
      </c>
      <c r="BJ71" s="616"/>
      <c r="BK71" s="615">
        <f t="shared" si="43"/>
        <v>51.45416</v>
      </c>
      <c r="BL71" s="616">
        <f t="shared" si="44"/>
        <v>19.2352</v>
      </c>
      <c r="BM71" s="616">
        <f t="shared" si="45"/>
        <v>9.6176</v>
      </c>
      <c r="BN71" s="616">
        <f t="shared" si="46"/>
        <v>7.2132</v>
      </c>
      <c r="BO71" s="616">
        <f t="shared" si="47"/>
        <v>0.24044</v>
      </c>
      <c r="BP71" s="616">
        <f t="shared" si="48"/>
        <v>0.72132</v>
      </c>
      <c r="BQ71" s="616">
        <f t="shared" si="49"/>
        <v>14.4264</v>
      </c>
      <c r="BR71" s="616">
        <f t="shared" si="50"/>
        <v>0</v>
      </c>
      <c r="BS71" s="304"/>
    </row>
    <row r="72" s="131" customFormat="1" ht="24" spans="1:71">
      <c r="A72" s="497" t="s">
        <v>202</v>
      </c>
      <c r="B72" s="497" t="s">
        <v>203</v>
      </c>
      <c r="C72" s="497" t="s">
        <v>288</v>
      </c>
      <c r="D72" s="497" t="s">
        <v>289</v>
      </c>
      <c r="E72" s="617">
        <f t="shared" ref="E72:E133" si="51">F72+M72</f>
        <v>0</v>
      </c>
      <c r="F72" s="617">
        <f t="shared" ref="F72:F133" si="52">SUM(G72:L72)</f>
        <v>0</v>
      </c>
      <c r="G72" s="618"/>
      <c r="H72" s="618"/>
      <c r="I72" s="618"/>
      <c r="J72" s="618"/>
      <c r="K72" s="618"/>
      <c r="L72" s="618"/>
      <c r="M72" s="617">
        <f t="shared" ref="M72:M133" si="53">SUM(N72:R72)</f>
        <v>0</v>
      </c>
      <c r="N72" s="618"/>
      <c r="O72" s="618"/>
      <c r="P72" s="618"/>
      <c r="Q72" s="618"/>
      <c r="R72" s="618"/>
      <c r="S72" s="615">
        <f t="shared" si="19"/>
        <v>0</v>
      </c>
      <c r="T72" s="615">
        <f t="shared" si="20"/>
        <v>0</v>
      </c>
      <c r="U72" s="616"/>
      <c r="V72" s="616"/>
      <c r="W72" s="616"/>
      <c r="X72" s="616"/>
      <c r="Y72" s="616"/>
      <c r="Z72" s="616"/>
      <c r="AA72" s="615">
        <f t="shared" si="21"/>
        <v>0</v>
      </c>
      <c r="AB72" s="616"/>
      <c r="AC72" s="616"/>
      <c r="AD72" s="616"/>
      <c r="AE72" s="616"/>
      <c r="AF72" s="616"/>
      <c r="AG72" s="615">
        <f t="shared" si="22"/>
        <v>0</v>
      </c>
      <c r="AH72" s="615">
        <f t="shared" si="23"/>
        <v>0</v>
      </c>
      <c r="AI72" s="616">
        <f t="shared" si="24"/>
        <v>0</v>
      </c>
      <c r="AJ72" s="616">
        <f t="shared" si="25"/>
        <v>0</v>
      </c>
      <c r="AK72" s="616">
        <f t="shared" si="26"/>
        <v>0</v>
      </c>
      <c r="AL72" s="616">
        <f t="shared" si="27"/>
        <v>0</v>
      </c>
      <c r="AM72" s="616">
        <f t="shared" si="28"/>
        <v>0</v>
      </c>
      <c r="AN72" s="616">
        <f t="shared" si="29"/>
        <v>0</v>
      </c>
      <c r="AO72" s="615">
        <f t="shared" si="30"/>
        <v>0</v>
      </c>
      <c r="AP72" s="616">
        <f t="shared" si="31"/>
        <v>0</v>
      </c>
      <c r="AQ72" s="616">
        <f t="shared" si="32"/>
        <v>0</v>
      </c>
      <c r="AR72" s="616">
        <f t="shared" si="33"/>
        <v>0</v>
      </c>
      <c r="AS72" s="616">
        <f t="shared" si="34"/>
        <v>0</v>
      </c>
      <c r="AT72" s="637">
        <f t="shared" si="35"/>
        <v>0</v>
      </c>
      <c r="AU72" s="639">
        <f t="shared" ref="AU72:AU133" si="54">SUM(AV72:BB72)</f>
        <v>0</v>
      </c>
      <c r="AV72" s="618">
        <f t="shared" ref="AV72:AV133" si="55">(G72+H72+I72+N72)*0.16</f>
        <v>0</v>
      </c>
      <c r="AW72" s="618">
        <f t="shared" ref="AW72:AW133" si="56">(G72+H72+I72+N72)*0.08</f>
        <v>0</v>
      </c>
      <c r="AX72" s="618">
        <f t="shared" ref="AX72:AX133" si="57">(G72+H72+I72+N72)*0.06</f>
        <v>0</v>
      </c>
      <c r="AY72" s="618">
        <f t="shared" ref="AY72:AY133" si="58">(G72+H72+I72+N72)*0.002</f>
        <v>0</v>
      </c>
      <c r="AZ72" s="618">
        <f t="shared" ref="AZ72:AZ133" si="59">(G72+H72+I72+N72)*0.006</f>
        <v>0</v>
      </c>
      <c r="BA72" s="618">
        <f t="shared" ref="BA72:BA133" si="60">(G72+H72+I72+N72)*0.12</f>
        <v>0</v>
      </c>
      <c r="BB72" s="618"/>
      <c r="BC72" s="615">
        <f t="shared" si="36"/>
        <v>0</v>
      </c>
      <c r="BD72" s="616">
        <f t="shared" si="37"/>
        <v>0</v>
      </c>
      <c r="BE72" s="616">
        <f t="shared" si="38"/>
        <v>0</v>
      </c>
      <c r="BF72" s="616">
        <f t="shared" si="39"/>
        <v>0</v>
      </c>
      <c r="BG72" s="616">
        <f t="shared" si="40"/>
        <v>0</v>
      </c>
      <c r="BH72" s="616">
        <f t="shared" si="41"/>
        <v>0</v>
      </c>
      <c r="BI72" s="616">
        <f t="shared" si="42"/>
        <v>0</v>
      </c>
      <c r="BJ72" s="616"/>
      <c r="BK72" s="615">
        <f t="shared" si="43"/>
        <v>0</v>
      </c>
      <c r="BL72" s="616">
        <f t="shared" si="44"/>
        <v>0</v>
      </c>
      <c r="BM72" s="616">
        <f t="shared" si="45"/>
        <v>0</v>
      </c>
      <c r="BN72" s="616">
        <f t="shared" si="46"/>
        <v>0</v>
      </c>
      <c r="BO72" s="616">
        <f t="shared" si="47"/>
        <v>0</v>
      </c>
      <c r="BP72" s="616">
        <f t="shared" si="48"/>
        <v>0</v>
      </c>
      <c r="BQ72" s="616">
        <f t="shared" si="49"/>
        <v>0</v>
      </c>
      <c r="BR72" s="616">
        <f t="shared" si="50"/>
        <v>0</v>
      </c>
      <c r="BS72" s="304"/>
    </row>
    <row r="73" s="131" customFormat="1" ht="24" spans="1:71">
      <c r="A73" s="497" t="s">
        <v>202</v>
      </c>
      <c r="B73" s="497" t="s">
        <v>206</v>
      </c>
      <c r="C73" s="497" t="s">
        <v>291</v>
      </c>
      <c r="D73" s="497" t="s">
        <v>292</v>
      </c>
      <c r="E73" s="617">
        <f t="shared" si="51"/>
        <v>61.07</v>
      </c>
      <c r="F73" s="617">
        <f t="shared" si="52"/>
        <v>50.69</v>
      </c>
      <c r="G73" s="618">
        <v>27.54</v>
      </c>
      <c r="H73" s="618">
        <v>2.11</v>
      </c>
      <c r="I73" s="618">
        <v>10.63</v>
      </c>
      <c r="J73" s="618"/>
      <c r="K73" s="618"/>
      <c r="L73" s="618">
        <v>10.41</v>
      </c>
      <c r="M73" s="617">
        <f t="shared" si="53"/>
        <v>10.38</v>
      </c>
      <c r="N73" s="618">
        <v>6.38</v>
      </c>
      <c r="O73" s="618"/>
      <c r="P73" s="618"/>
      <c r="Q73" s="618"/>
      <c r="R73" s="618">
        <v>4</v>
      </c>
      <c r="S73" s="615">
        <f t="shared" ref="S73:S136" si="61">T73+AA73</f>
        <v>18.01</v>
      </c>
      <c r="T73" s="615">
        <f t="shared" ref="T73:T136" si="62">SUM(U73:Z73)</f>
        <v>15.53</v>
      </c>
      <c r="U73" s="616">
        <v>8.07</v>
      </c>
      <c r="V73" s="616">
        <v>0.53</v>
      </c>
      <c r="W73" s="616">
        <v>3.42</v>
      </c>
      <c r="X73" s="616"/>
      <c r="Y73" s="616"/>
      <c r="Z73" s="616">
        <v>3.51</v>
      </c>
      <c r="AA73" s="615">
        <f t="shared" ref="AA73:AA136" si="63">SUM(AB73:AF73)</f>
        <v>2.48</v>
      </c>
      <c r="AB73" s="616">
        <v>2.05</v>
      </c>
      <c r="AC73" s="616"/>
      <c r="AD73" s="616"/>
      <c r="AE73" s="616">
        <v>0.3</v>
      </c>
      <c r="AF73" s="616">
        <v>0.13</v>
      </c>
      <c r="AG73" s="615">
        <f t="shared" ref="AG73:AG137" si="64">AH73+AO73</f>
        <v>79.08</v>
      </c>
      <c r="AH73" s="615">
        <f t="shared" ref="AH73:AH137" si="65">SUM(AI73:AN73)</f>
        <v>66.22</v>
      </c>
      <c r="AI73" s="616">
        <f t="shared" ref="AI73:AI137" si="66">G73+U73</f>
        <v>35.61</v>
      </c>
      <c r="AJ73" s="616">
        <f t="shared" ref="AJ73:AJ137" si="67">H73+V73</f>
        <v>2.64</v>
      </c>
      <c r="AK73" s="616">
        <f t="shared" ref="AK73:AK137" si="68">I73+W73</f>
        <v>14.05</v>
      </c>
      <c r="AL73" s="616">
        <f t="shared" ref="AL73:AL137" si="69">J73+X73</f>
        <v>0</v>
      </c>
      <c r="AM73" s="616">
        <f t="shared" ref="AM73:AM136" si="70">K73+Y73</f>
        <v>0</v>
      </c>
      <c r="AN73" s="616">
        <f t="shared" ref="AN73:AN137" si="71">L73+Z73</f>
        <v>13.92</v>
      </c>
      <c r="AO73" s="615">
        <f t="shared" ref="AO73:AO137" si="72">SUM(AP73:AT73)</f>
        <v>12.86</v>
      </c>
      <c r="AP73" s="616">
        <f t="shared" ref="AP73:AP137" si="73">N73+AB73</f>
        <v>8.43</v>
      </c>
      <c r="AQ73" s="616">
        <f t="shared" ref="AQ73:AQ137" si="74">O73+AC73</f>
        <v>0</v>
      </c>
      <c r="AR73" s="616">
        <f t="shared" ref="AR73:AR137" si="75">P73+AD73</f>
        <v>0</v>
      </c>
      <c r="AS73" s="616">
        <f t="shared" ref="AS73:AS137" si="76">Q73+AE73</f>
        <v>0.3</v>
      </c>
      <c r="AT73" s="637">
        <f t="shared" ref="AT73:AT137" si="77">R73+AF73</f>
        <v>4.13</v>
      </c>
      <c r="AU73" s="639">
        <f t="shared" si="54"/>
        <v>19.97048</v>
      </c>
      <c r="AV73" s="618">
        <f t="shared" si="55"/>
        <v>7.4656</v>
      </c>
      <c r="AW73" s="618">
        <f t="shared" si="56"/>
        <v>3.7328</v>
      </c>
      <c r="AX73" s="618">
        <f t="shared" si="57"/>
        <v>2.7996</v>
      </c>
      <c r="AY73" s="618">
        <f t="shared" si="58"/>
        <v>0.09332</v>
      </c>
      <c r="AZ73" s="618">
        <f t="shared" si="59"/>
        <v>0.27996</v>
      </c>
      <c r="BA73" s="618">
        <f t="shared" si="60"/>
        <v>5.5992</v>
      </c>
      <c r="BB73" s="618"/>
      <c r="BC73" s="615">
        <f t="shared" ref="BC73:BC137" si="78">SUM(BD73:BJ73)</f>
        <v>6.02196</v>
      </c>
      <c r="BD73" s="616">
        <f t="shared" ref="BD73:BD137" si="79">(U73+V73+W73+AB73)*0.16</f>
        <v>2.2512</v>
      </c>
      <c r="BE73" s="616">
        <f t="shared" ref="BE73:BE137" si="80">(U73+V73+W73+AB73)*0.08</f>
        <v>1.1256</v>
      </c>
      <c r="BF73" s="616">
        <f t="shared" ref="BF73:BF137" si="81">(U73+V73+W73+AB73)*0.06</f>
        <v>0.8442</v>
      </c>
      <c r="BG73" s="616">
        <f t="shared" ref="BG73:BG137" si="82">(U73+V73+W73+AB73)*0.002</f>
        <v>0.02814</v>
      </c>
      <c r="BH73" s="616">
        <f t="shared" ref="BH73:BH137" si="83">(U73+V73+W73+AB73)*0.006</f>
        <v>0.08442</v>
      </c>
      <c r="BI73" s="616">
        <f t="shared" ref="BI73:BI137" si="84">(U73+V73+W73+AB73)*0.12</f>
        <v>1.6884</v>
      </c>
      <c r="BJ73" s="616"/>
      <c r="BK73" s="615">
        <f t="shared" ref="BK73:BK137" si="85">SUM(BL73:BR73)</f>
        <v>25.99244</v>
      </c>
      <c r="BL73" s="616">
        <f t="shared" ref="BL73:BL137" si="86">(AI73+AJ73+AK73+AP73)*0.16</f>
        <v>9.7168</v>
      </c>
      <c r="BM73" s="616">
        <f t="shared" ref="BM73:BM137" si="87">(AI73+AJ73+AK73+AP73)*0.08</f>
        <v>4.8584</v>
      </c>
      <c r="BN73" s="616">
        <f t="shared" ref="BN73:BN137" si="88">(AI73+AJ73+AK73+AP73)*0.06</f>
        <v>3.6438</v>
      </c>
      <c r="BO73" s="616">
        <f t="shared" ref="BO73:BO137" si="89">(AI73+AJ73+AK73+AP73)*0.002</f>
        <v>0.12146</v>
      </c>
      <c r="BP73" s="616">
        <f t="shared" ref="BP73:BP137" si="90">(AI73+AJ73+AK73+AP73)*0.006</f>
        <v>0.36438</v>
      </c>
      <c r="BQ73" s="616">
        <f t="shared" ref="BQ73:BQ137" si="91">(AI73+AJ73+AK73+AP73)*0.12</f>
        <v>7.2876</v>
      </c>
      <c r="BR73" s="616">
        <f t="shared" ref="BR73:BR137" si="92">BB73+BJ73</f>
        <v>0</v>
      </c>
      <c r="BS73" s="304"/>
    </row>
    <row r="74" s="131" customFormat="1" ht="24" spans="1:71">
      <c r="A74" s="497" t="s">
        <v>215</v>
      </c>
      <c r="B74" s="497" t="s">
        <v>203</v>
      </c>
      <c r="C74" s="497" t="s">
        <v>293</v>
      </c>
      <c r="D74" s="645" t="s">
        <v>294</v>
      </c>
      <c r="E74" s="617">
        <f t="shared" si="51"/>
        <v>0</v>
      </c>
      <c r="F74" s="617">
        <f t="shared" si="52"/>
        <v>0</v>
      </c>
      <c r="G74" s="618"/>
      <c r="H74" s="618"/>
      <c r="I74" s="618"/>
      <c r="J74" s="618"/>
      <c r="K74" s="618"/>
      <c r="L74" s="618"/>
      <c r="M74" s="617">
        <f t="shared" si="53"/>
        <v>0</v>
      </c>
      <c r="N74" s="618"/>
      <c r="O74" s="618"/>
      <c r="P74" s="618"/>
      <c r="Q74" s="618"/>
      <c r="R74" s="618"/>
      <c r="S74" s="615">
        <f t="shared" si="61"/>
        <v>0</v>
      </c>
      <c r="T74" s="615">
        <f t="shared" si="62"/>
        <v>0</v>
      </c>
      <c r="U74" s="616"/>
      <c r="V74" s="616"/>
      <c r="W74" s="616"/>
      <c r="X74" s="616"/>
      <c r="Y74" s="616"/>
      <c r="Z74" s="616"/>
      <c r="AA74" s="615">
        <f t="shared" si="63"/>
        <v>0</v>
      </c>
      <c r="AB74" s="616"/>
      <c r="AC74" s="616"/>
      <c r="AD74" s="616"/>
      <c r="AE74" s="616"/>
      <c r="AF74" s="616"/>
      <c r="AG74" s="615">
        <f t="shared" si="64"/>
        <v>0</v>
      </c>
      <c r="AH74" s="615">
        <f t="shared" si="65"/>
        <v>0</v>
      </c>
      <c r="AI74" s="616">
        <f t="shared" si="66"/>
        <v>0</v>
      </c>
      <c r="AJ74" s="616">
        <f t="shared" si="67"/>
        <v>0</v>
      </c>
      <c r="AK74" s="616">
        <f t="shared" si="68"/>
        <v>0</v>
      </c>
      <c r="AL74" s="616">
        <f t="shared" si="69"/>
        <v>0</v>
      </c>
      <c r="AM74" s="616">
        <f t="shared" si="70"/>
        <v>0</v>
      </c>
      <c r="AN74" s="616">
        <f t="shared" si="71"/>
        <v>0</v>
      </c>
      <c r="AO74" s="615">
        <f t="shared" si="72"/>
        <v>0</v>
      </c>
      <c r="AP74" s="616">
        <f t="shared" si="73"/>
        <v>0</v>
      </c>
      <c r="AQ74" s="616">
        <f t="shared" si="74"/>
        <v>0</v>
      </c>
      <c r="AR74" s="616">
        <f t="shared" si="75"/>
        <v>0</v>
      </c>
      <c r="AS74" s="616">
        <f t="shared" si="76"/>
        <v>0</v>
      </c>
      <c r="AT74" s="637">
        <f t="shared" si="77"/>
        <v>0</v>
      </c>
      <c r="AU74" s="639">
        <f t="shared" si="54"/>
        <v>0</v>
      </c>
      <c r="AV74" s="618">
        <f t="shared" si="55"/>
        <v>0</v>
      </c>
      <c r="AW74" s="618">
        <f t="shared" si="56"/>
        <v>0</v>
      </c>
      <c r="AX74" s="618">
        <f t="shared" si="57"/>
        <v>0</v>
      </c>
      <c r="AY74" s="618">
        <f t="shared" si="58"/>
        <v>0</v>
      </c>
      <c r="AZ74" s="618">
        <f t="shared" si="59"/>
        <v>0</v>
      </c>
      <c r="BA74" s="618">
        <f t="shared" si="60"/>
        <v>0</v>
      </c>
      <c r="BB74" s="618"/>
      <c r="BC74" s="615">
        <f t="shared" si="78"/>
        <v>0</v>
      </c>
      <c r="BD74" s="616">
        <f t="shared" si="79"/>
        <v>0</v>
      </c>
      <c r="BE74" s="616">
        <f t="shared" si="80"/>
        <v>0</v>
      </c>
      <c r="BF74" s="616">
        <f t="shared" si="81"/>
        <v>0</v>
      </c>
      <c r="BG74" s="616">
        <f t="shared" si="82"/>
        <v>0</v>
      </c>
      <c r="BH74" s="616">
        <f t="shared" si="83"/>
        <v>0</v>
      </c>
      <c r="BI74" s="616">
        <f t="shared" si="84"/>
        <v>0</v>
      </c>
      <c r="BJ74" s="616"/>
      <c r="BK74" s="615">
        <f t="shared" si="85"/>
        <v>0</v>
      </c>
      <c r="BL74" s="616">
        <f t="shared" si="86"/>
        <v>0</v>
      </c>
      <c r="BM74" s="616">
        <f t="shared" si="87"/>
        <v>0</v>
      </c>
      <c r="BN74" s="616">
        <f t="shared" si="88"/>
        <v>0</v>
      </c>
      <c r="BO74" s="616">
        <f t="shared" si="89"/>
        <v>0</v>
      </c>
      <c r="BP74" s="616">
        <f t="shared" si="90"/>
        <v>0</v>
      </c>
      <c r="BQ74" s="616">
        <f t="shared" si="91"/>
        <v>0</v>
      </c>
      <c r="BR74" s="616">
        <f t="shared" si="92"/>
        <v>0</v>
      </c>
      <c r="BS74" s="304"/>
    </row>
    <row r="75" s="131" customFormat="1" ht="24" spans="1:71">
      <c r="A75" s="497" t="s">
        <v>215</v>
      </c>
      <c r="B75" s="497" t="s">
        <v>206</v>
      </c>
      <c r="C75" s="497" t="s">
        <v>296</v>
      </c>
      <c r="D75" s="645" t="s">
        <v>297</v>
      </c>
      <c r="E75" s="617">
        <f t="shared" si="51"/>
        <v>328.24</v>
      </c>
      <c r="F75" s="617">
        <f t="shared" si="52"/>
        <v>276.17</v>
      </c>
      <c r="G75" s="619">
        <v>165.76</v>
      </c>
      <c r="H75" s="619"/>
      <c r="I75" s="619">
        <v>55.94</v>
      </c>
      <c r="J75" s="618"/>
      <c r="K75" s="618"/>
      <c r="L75" s="618">
        <v>54.47</v>
      </c>
      <c r="M75" s="617">
        <f t="shared" si="53"/>
        <v>52.07</v>
      </c>
      <c r="N75" s="618">
        <v>33.57</v>
      </c>
      <c r="O75" s="618"/>
      <c r="P75" s="618"/>
      <c r="Q75" s="618"/>
      <c r="R75" s="618">
        <v>18.5</v>
      </c>
      <c r="S75" s="615">
        <f t="shared" si="61"/>
        <v>-328.24</v>
      </c>
      <c r="T75" s="615">
        <f t="shared" si="62"/>
        <v>-276.17</v>
      </c>
      <c r="U75" s="616">
        <v>-165.76</v>
      </c>
      <c r="V75" s="616"/>
      <c r="W75" s="616">
        <v>-55.94</v>
      </c>
      <c r="X75" s="616"/>
      <c r="Y75" s="616"/>
      <c r="Z75" s="616">
        <v>-54.47</v>
      </c>
      <c r="AA75" s="615">
        <f t="shared" si="63"/>
        <v>-52.07</v>
      </c>
      <c r="AB75" s="616">
        <v>-33.57</v>
      </c>
      <c r="AC75" s="616"/>
      <c r="AD75" s="616"/>
      <c r="AE75" s="616"/>
      <c r="AF75" s="616">
        <v>-18.5</v>
      </c>
      <c r="AG75" s="615">
        <f t="shared" si="64"/>
        <v>0</v>
      </c>
      <c r="AH75" s="615">
        <f t="shared" si="65"/>
        <v>0</v>
      </c>
      <c r="AI75" s="616">
        <f t="shared" si="66"/>
        <v>0</v>
      </c>
      <c r="AJ75" s="616">
        <f t="shared" si="67"/>
        <v>0</v>
      </c>
      <c r="AK75" s="616">
        <f t="shared" si="68"/>
        <v>0</v>
      </c>
      <c r="AL75" s="616">
        <f t="shared" si="69"/>
        <v>0</v>
      </c>
      <c r="AM75" s="616">
        <f t="shared" si="70"/>
        <v>0</v>
      </c>
      <c r="AN75" s="616">
        <f t="shared" si="71"/>
        <v>0</v>
      </c>
      <c r="AO75" s="615">
        <f t="shared" si="72"/>
        <v>0</v>
      </c>
      <c r="AP75" s="616">
        <f t="shared" si="73"/>
        <v>0</v>
      </c>
      <c r="AQ75" s="616">
        <f t="shared" si="74"/>
        <v>0</v>
      </c>
      <c r="AR75" s="616">
        <f t="shared" si="75"/>
        <v>0</v>
      </c>
      <c r="AS75" s="616">
        <f t="shared" si="76"/>
        <v>0</v>
      </c>
      <c r="AT75" s="637">
        <f t="shared" si="77"/>
        <v>0</v>
      </c>
      <c r="AU75" s="639">
        <f t="shared" si="54"/>
        <v>109.25556</v>
      </c>
      <c r="AV75" s="618">
        <f t="shared" si="55"/>
        <v>40.8432</v>
      </c>
      <c r="AW75" s="618">
        <f t="shared" si="56"/>
        <v>20.4216</v>
      </c>
      <c r="AX75" s="618">
        <f t="shared" si="57"/>
        <v>15.3162</v>
      </c>
      <c r="AY75" s="618">
        <f t="shared" si="58"/>
        <v>0.51054</v>
      </c>
      <c r="AZ75" s="618">
        <f t="shared" si="59"/>
        <v>1.53162</v>
      </c>
      <c r="BA75" s="618">
        <f t="shared" si="60"/>
        <v>30.6324</v>
      </c>
      <c r="BB75" s="618"/>
      <c r="BC75" s="615">
        <f t="shared" si="78"/>
        <v>-109.25556</v>
      </c>
      <c r="BD75" s="616">
        <f t="shared" si="79"/>
        <v>-40.8432</v>
      </c>
      <c r="BE75" s="616">
        <f t="shared" si="80"/>
        <v>-20.4216</v>
      </c>
      <c r="BF75" s="616">
        <f t="shared" si="81"/>
        <v>-15.3162</v>
      </c>
      <c r="BG75" s="616">
        <f t="shared" si="82"/>
        <v>-0.51054</v>
      </c>
      <c r="BH75" s="616">
        <f t="shared" si="83"/>
        <v>-1.53162</v>
      </c>
      <c r="BI75" s="616">
        <f t="shared" si="84"/>
        <v>-30.6324</v>
      </c>
      <c r="BJ75" s="616"/>
      <c r="BK75" s="615">
        <f t="shared" si="85"/>
        <v>0</v>
      </c>
      <c r="BL75" s="616">
        <f t="shared" si="86"/>
        <v>0</v>
      </c>
      <c r="BM75" s="616">
        <f t="shared" si="87"/>
        <v>0</v>
      </c>
      <c r="BN75" s="616">
        <f t="shared" si="88"/>
        <v>0</v>
      </c>
      <c r="BO75" s="616">
        <f t="shared" si="89"/>
        <v>0</v>
      </c>
      <c r="BP75" s="616">
        <f t="shared" si="90"/>
        <v>0</v>
      </c>
      <c r="BQ75" s="616">
        <f t="shared" si="91"/>
        <v>0</v>
      </c>
      <c r="BR75" s="616">
        <f t="shared" si="92"/>
        <v>0</v>
      </c>
      <c r="BS75" s="304" t="s">
        <v>295</v>
      </c>
    </row>
    <row r="76" s="131" customFormat="1" ht="24" spans="1:71">
      <c r="A76" s="497" t="s">
        <v>261</v>
      </c>
      <c r="B76" s="497" t="s">
        <v>203</v>
      </c>
      <c r="C76" s="497" t="s">
        <v>298</v>
      </c>
      <c r="D76" s="497" t="s">
        <v>294</v>
      </c>
      <c r="E76" s="617">
        <f t="shared" si="51"/>
        <v>0</v>
      </c>
      <c r="F76" s="617">
        <f t="shared" si="52"/>
        <v>0</v>
      </c>
      <c r="G76" s="618"/>
      <c r="H76" s="618"/>
      <c r="I76" s="618"/>
      <c r="J76" s="618"/>
      <c r="K76" s="618"/>
      <c r="L76" s="618"/>
      <c r="M76" s="617">
        <f t="shared" si="53"/>
        <v>0</v>
      </c>
      <c r="N76" s="618"/>
      <c r="O76" s="618"/>
      <c r="P76" s="618"/>
      <c r="Q76" s="618"/>
      <c r="R76" s="618"/>
      <c r="S76" s="615">
        <f t="shared" si="61"/>
        <v>0</v>
      </c>
      <c r="T76" s="615">
        <f t="shared" si="62"/>
        <v>0</v>
      </c>
      <c r="U76" s="616"/>
      <c r="V76" s="616"/>
      <c r="W76" s="616"/>
      <c r="X76" s="616"/>
      <c r="Y76" s="616"/>
      <c r="Z76" s="616"/>
      <c r="AA76" s="615">
        <f t="shared" si="63"/>
        <v>0</v>
      </c>
      <c r="AB76" s="616"/>
      <c r="AC76" s="616"/>
      <c r="AD76" s="616"/>
      <c r="AE76" s="616"/>
      <c r="AF76" s="616"/>
      <c r="AG76" s="615">
        <f t="shared" si="64"/>
        <v>0</v>
      </c>
      <c r="AH76" s="615">
        <f t="shared" si="65"/>
        <v>0</v>
      </c>
      <c r="AI76" s="616">
        <f t="shared" si="66"/>
        <v>0</v>
      </c>
      <c r="AJ76" s="616">
        <f t="shared" si="67"/>
        <v>0</v>
      </c>
      <c r="AK76" s="616">
        <f t="shared" si="68"/>
        <v>0</v>
      </c>
      <c r="AL76" s="616">
        <f t="shared" si="69"/>
        <v>0</v>
      </c>
      <c r="AM76" s="616">
        <f t="shared" si="70"/>
        <v>0</v>
      </c>
      <c r="AN76" s="616">
        <f t="shared" si="71"/>
        <v>0</v>
      </c>
      <c r="AO76" s="615">
        <f t="shared" si="72"/>
        <v>0</v>
      </c>
      <c r="AP76" s="616">
        <f t="shared" si="73"/>
        <v>0</v>
      </c>
      <c r="AQ76" s="616">
        <f t="shared" si="74"/>
        <v>0</v>
      </c>
      <c r="AR76" s="616">
        <f t="shared" si="75"/>
        <v>0</v>
      </c>
      <c r="AS76" s="616">
        <f t="shared" si="76"/>
        <v>0</v>
      </c>
      <c r="AT76" s="637">
        <f t="shared" si="77"/>
        <v>0</v>
      </c>
      <c r="AU76" s="639">
        <f t="shared" si="54"/>
        <v>0</v>
      </c>
      <c r="AV76" s="618">
        <f t="shared" si="55"/>
        <v>0</v>
      </c>
      <c r="AW76" s="618">
        <f t="shared" si="56"/>
        <v>0</v>
      </c>
      <c r="AX76" s="618">
        <f t="shared" si="57"/>
        <v>0</v>
      </c>
      <c r="AY76" s="618">
        <f t="shared" si="58"/>
        <v>0</v>
      </c>
      <c r="AZ76" s="618">
        <f t="shared" si="59"/>
        <v>0</v>
      </c>
      <c r="BA76" s="618">
        <f t="shared" si="60"/>
        <v>0</v>
      </c>
      <c r="BB76" s="618"/>
      <c r="BC76" s="615">
        <f t="shared" si="78"/>
        <v>0</v>
      </c>
      <c r="BD76" s="616">
        <f t="shared" si="79"/>
        <v>0</v>
      </c>
      <c r="BE76" s="616">
        <f t="shared" si="80"/>
        <v>0</v>
      </c>
      <c r="BF76" s="616">
        <f t="shared" si="81"/>
        <v>0</v>
      </c>
      <c r="BG76" s="616">
        <f t="shared" si="82"/>
        <v>0</v>
      </c>
      <c r="BH76" s="616">
        <f t="shared" si="83"/>
        <v>0</v>
      </c>
      <c r="BI76" s="616">
        <f t="shared" si="84"/>
        <v>0</v>
      </c>
      <c r="BJ76" s="616"/>
      <c r="BK76" s="615">
        <f t="shared" si="85"/>
        <v>0</v>
      </c>
      <c r="BL76" s="616">
        <f t="shared" si="86"/>
        <v>0</v>
      </c>
      <c r="BM76" s="616">
        <f t="shared" si="87"/>
        <v>0</v>
      </c>
      <c r="BN76" s="616">
        <f t="shared" si="88"/>
        <v>0</v>
      </c>
      <c r="BO76" s="616">
        <f t="shared" si="89"/>
        <v>0</v>
      </c>
      <c r="BP76" s="616">
        <f t="shared" si="90"/>
        <v>0</v>
      </c>
      <c r="BQ76" s="616">
        <f t="shared" si="91"/>
        <v>0</v>
      </c>
      <c r="BR76" s="616">
        <f t="shared" si="92"/>
        <v>0</v>
      </c>
      <c r="BS76" s="497"/>
    </row>
    <row r="77" s="131" customFormat="1" ht="24" spans="1:71">
      <c r="A77" s="497" t="s">
        <v>215</v>
      </c>
      <c r="B77" s="497" t="s">
        <v>203</v>
      </c>
      <c r="C77" s="497" t="s">
        <v>300</v>
      </c>
      <c r="D77" s="497" t="s">
        <v>294</v>
      </c>
      <c r="E77" s="617">
        <f t="shared" si="51"/>
        <v>0</v>
      </c>
      <c r="F77" s="617">
        <f t="shared" si="52"/>
        <v>0</v>
      </c>
      <c r="G77" s="618"/>
      <c r="H77" s="618"/>
      <c r="I77" s="618"/>
      <c r="J77" s="618"/>
      <c r="K77" s="618"/>
      <c r="L77" s="618"/>
      <c r="M77" s="617">
        <f t="shared" si="53"/>
        <v>0</v>
      </c>
      <c r="N77" s="618"/>
      <c r="O77" s="618"/>
      <c r="P77" s="618"/>
      <c r="Q77" s="618"/>
      <c r="R77" s="618"/>
      <c r="S77" s="615">
        <f t="shared" si="61"/>
        <v>0</v>
      </c>
      <c r="T77" s="615">
        <f t="shared" si="62"/>
        <v>0</v>
      </c>
      <c r="U77" s="616"/>
      <c r="V77" s="616"/>
      <c r="W77" s="616"/>
      <c r="X77" s="616"/>
      <c r="Y77" s="616"/>
      <c r="Z77" s="616"/>
      <c r="AA77" s="615">
        <f t="shared" si="63"/>
        <v>0</v>
      </c>
      <c r="AB77" s="616"/>
      <c r="AC77" s="616"/>
      <c r="AD77" s="616"/>
      <c r="AE77" s="616"/>
      <c r="AF77" s="616"/>
      <c r="AG77" s="615">
        <f t="shared" si="64"/>
        <v>0</v>
      </c>
      <c r="AH77" s="615">
        <f t="shared" si="65"/>
        <v>0</v>
      </c>
      <c r="AI77" s="616">
        <f t="shared" si="66"/>
        <v>0</v>
      </c>
      <c r="AJ77" s="616">
        <f t="shared" si="67"/>
        <v>0</v>
      </c>
      <c r="AK77" s="616">
        <f t="shared" si="68"/>
        <v>0</v>
      </c>
      <c r="AL77" s="616">
        <f t="shared" si="69"/>
        <v>0</v>
      </c>
      <c r="AM77" s="616">
        <f t="shared" si="70"/>
        <v>0</v>
      </c>
      <c r="AN77" s="616">
        <f t="shared" si="71"/>
        <v>0</v>
      </c>
      <c r="AO77" s="615">
        <f t="shared" si="72"/>
        <v>0</v>
      </c>
      <c r="AP77" s="616">
        <f t="shared" si="73"/>
        <v>0</v>
      </c>
      <c r="AQ77" s="616">
        <f t="shared" si="74"/>
        <v>0</v>
      </c>
      <c r="AR77" s="616">
        <f t="shared" si="75"/>
        <v>0</v>
      </c>
      <c r="AS77" s="616">
        <f t="shared" si="76"/>
        <v>0</v>
      </c>
      <c r="AT77" s="637">
        <f t="shared" si="77"/>
        <v>0</v>
      </c>
      <c r="AU77" s="639">
        <f t="shared" si="54"/>
        <v>0</v>
      </c>
      <c r="AV77" s="618">
        <f t="shared" si="55"/>
        <v>0</v>
      </c>
      <c r="AW77" s="618">
        <f t="shared" si="56"/>
        <v>0</v>
      </c>
      <c r="AX77" s="618">
        <f t="shared" si="57"/>
        <v>0</v>
      </c>
      <c r="AY77" s="618">
        <f t="shared" si="58"/>
        <v>0</v>
      </c>
      <c r="AZ77" s="618">
        <f t="shared" si="59"/>
        <v>0</v>
      </c>
      <c r="BA77" s="618">
        <f t="shared" si="60"/>
        <v>0</v>
      </c>
      <c r="BB77" s="618"/>
      <c r="BC77" s="615">
        <f t="shared" si="78"/>
        <v>0</v>
      </c>
      <c r="BD77" s="616">
        <f t="shared" si="79"/>
        <v>0</v>
      </c>
      <c r="BE77" s="616">
        <f t="shared" si="80"/>
        <v>0</v>
      </c>
      <c r="BF77" s="616">
        <f t="shared" si="81"/>
        <v>0</v>
      </c>
      <c r="BG77" s="616">
        <f t="shared" si="82"/>
        <v>0</v>
      </c>
      <c r="BH77" s="616">
        <f t="shared" si="83"/>
        <v>0</v>
      </c>
      <c r="BI77" s="616">
        <f t="shared" si="84"/>
        <v>0</v>
      </c>
      <c r="BJ77" s="616"/>
      <c r="BK77" s="615">
        <f t="shared" si="85"/>
        <v>0</v>
      </c>
      <c r="BL77" s="616">
        <f t="shared" si="86"/>
        <v>0</v>
      </c>
      <c r="BM77" s="616">
        <f t="shared" si="87"/>
        <v>0</v>
      </c>
      <c r="BN77" s="616">
        <f t="shared" si="88"/>
        <v>0</v>
      </c>
      <c r="BO77" s="616">
        <f t="shared" si="89"/>
        <v>0</v>
      </c>
      <c r="BP77" s="616">
        <f t="shared" si="90"/>
        <v>0</v>
      </c>
      <c r="BQ77" s="616">
        <f t="shared" si="91"/>
        <v>0</v>
      </c>
      <c r="BR77" s="616">
        <f t="shared" si="92"/>
        <v>0</v>
      </c>
      <c r="BS77" s="304"/>
    </row>
    <row r="78" s="131" customFormat="1" ht="24" spans="1:71">
      <c r="A78" s="497" t="s">
        <v>261</v>
      </c>
      <c r="B78" s="497" t="s">
        <v>206</v>
      </c>
      <c r="C78" s="497" t="s">
        <v>302</v>
      </c>
      <c r="D78" s="497" t="s">
        <v>297</v>
      </c>
      <c r="E78" s="617">
        <f t="shared" si="51"/>
        <v>47.21</v>
      </c>
      <c r="F78" s="617">
        <f t="shared" si="52"/>
        <v>38.95</v>
      </c>
      <c r="G78" s="618">
        <v>21.78</v>
      </c>
      <c r="H78" s="618"/>
      <c r="I78" s="618">
        <v>8.77</v>
      </c>
      <c r="J78" s="618"/>
      <c r="K78" s="618"/>
      <c r="L78" s="618">
        <v>8.4</v>
      </c>
      <c r="M78" s="617">
        <f t="shared" si="53"/>
        <v>8.26</v>
      </c>
      <c r="N78" s="618">
        <v>5.26</v>
      </c>
      <c r="O78" s="618"/>
      <c r="P78" s="618"/>
      <c r="Q78" s="618"/>
      <c r="R78" s="618">
        <v>3</v>
      </c>
      <c r="S78" s="615">
        <f t="shared" si="61"/>
        <v>2.13</v>
      </c>
      <c r="T78" s="615">
        <f t="shared" si="62"/>
        <v>1.75</v>
      </c>
      <c r="U78" s="616">
        <v>1.3</v>
      </c>
      <c r="V78" s="616"/>
      <c r="W78" s="616"/>
      <c r="X78" s="616"/>
      <c r="Y78" s="616"/>
      <c r="Z78" s="616">
        <v>0.45</v>
      </c>
      <c r="AA78" s="615">
        <f t="shared" si="63"/>
        <v>0.38</v>
      </c>
      <c r="AB78" s="616">
        <v>0.08</v>
      </c>
      <c r="AC78" s="616"/>
      <c r="AD78" s="616"/>
      <c r="AE78" s="616">
        <v>0.3</v>
      </c>
      <c r="AF78" s="616"/>
      <c r="AG78" s="615">
        <f t="shared" si="64"/>
        <v>49.34</v>
      </c>
      <c r="AH78" s="615">
        <f t="shared" si="65"/>
        <v>40.7</v>
      </c>
      <c r="AI78" s="616">
        <f t="shared" si="66"/>
        <v>23.08</v>
      </c>
      <c r="AJ78" s="616">
        <f t="shared" si="67"/>
        <v>0</v>
      </c>
      <c r="AK78" s="616">
        <f t="shared" si="68"/>
        <v>8.77</v>
      </c>
      <c r="AL78" s="616">
        <f t="shared" si="69"/>
        <v>0</v>
      </c>
      <c r="AM78" s="616">
        <f t="shared" si="70"/>
        <v>0</v>
      </c>
      <c r="AN78" s="616">
        <f t="shared" si="71"/>
        <v>8.85</v>
      </c>
      <c r="AO78" s="615">
        <f t="shared" si="72"/>
        <v>8.64</v>
      </c>
      <c r="AP78" s="616">
        <f t="shared" si="73"/>
        <v>5.34</v>
      </c>
      <c r="AQ78" s="616">
        <f t="shared" si="74"/>
        <v>0</v>
      </c>
      <c r="AR78" s="616">
        <f t="shared" si="75"/>
        <v>0</v>
      </c>
      <c r="AS78" s="616">
        <f t="shared" si="76"/>
        <v>0.3</v>
      </c>
      <c r="AT78" s="637">
        <f t="shared" si="77"/>
        <v>3</v>
      </c>
      <c r="AU78" s="639">
        <f t="shared" si="54"/>
        <v>15.32668</v>
      </c>
      <c r="AV78" s="618">
        <f t="shared" si="55"/>
        <v>5.7296</v>
      </c>
      <c r="AW78" s="618">
        <f t="shared" si="56"/>
        <v>2.8648</v>
      </c>
      <c r="AX78" s="618">
        <f t="shared" si="57"/>
        <v>2.1486</v>
      </c>
      <c r="AY78" s="618">
        <f t="shared" si="58"/>
        <v>0.07162</v>
      </c>
      <c r="AZ78" s="618">
        <f t="shared" si="59"/>
        <v>0.21486</v>
      </c>
      <c r="BA78" s="618">
        <f t="shared" si="60"/>
        <v>4.2972</v>
      </c>
      <c r="BB78" s="618"/>
      <c r="BC78" s="615">
        <f t="shared" si="78"/>
        <v>0.59064</v>
      </c>
      <c r="BD78" s="616">
        <f t="shared" si="79"/>
        <v>0.2208</v>
      </c>
      <c r="BE78" s="616">
        <f t="shared" si="80"/>
        <v>0.1104</v>
      </c>
      <c r="BF78" s="616">
        <f t="shared" si="81"/>
        <v>0.0828</v>
      </c>
      <c r="BG78" s="616">
        <f t="shared" si="82"/>
        <v>0.00276</v>
      </c>
      <c r="BH78" s="616">
        <f t="shared" si="83"/>
        <v>0.00828</v>
      </c>
      <c r="BI78" s="616">
        <f t="shared" si="84"/>
        <v>0.1656</v>
      </c>
      <c r="BJ78" s="616"/>
      <c r="BK78" s="615">
        <f t="shared" si="85"/>
        <v>15.91732</v>
      </c>
      <c r="BL78" s="616">
        <f t="shared" si="86"/>
        <v>5.9504</v>
      </c>
      <c r="BM78" s="616">
        <f t="shared" si="87"/>
        <v>2.9752</v>
      </c>
      <c r="BN78" s="616">
        <f t="shared" si="88"/>
        <v>2.2314</v>
      </c>
      <c r="BO78" s="616">
        <f t="shared" si="89"/>
        <v>0.07438</v>
      </c>
      <c r="BP78" s="616">
        <f t="shared" si="90"/>
        <v>0.22314</v>
      </c>
      <c r="BQ78" s="616">
        <f t="shared" si="91"/>
        <v>4.4628</v>
      </c>
      <c r="BR78" s="616">
        <f t="shared" si="92"/>
        <v>0</v>
      </c>
      <c r="BS78" s="304"/>
    </row>
    <row r="79" s="131" customFormat="1" ht="24" spans="1:71">
      <c r="A79" s="497" t="s">
        <v>261</v>
      </c>
      <c r="B79" s="497" t="s">
        <v>206</v>
      </c>
      <c r="C79" s="497" t="s">
        <v>303</v>
      </c>
      <c r="D79" s="497" t="s">
        <v>297</v>
      </c>
      <c r="E79" s="617">
        <f t="shared" si="51"/>
        <v>29.29</v>
      </c>
      <c r="F79" s="617">
        <f t="shared" si="52"/>
        <v>25.02</v>
      </c>
      <c r="G79" s="618">
        <v>15.42</v>
      </c>
      <c r="H79" s="618"/>
      <c r="I79" s="618">
        <v>4.62</v>
      </c>
      <c r="J79" s="618"/>
      <c r="K79" s="618">
        <v>0.53</v>
      </c>
      <c r="L79" s="618">
        <v>4.45</v>
      </c>
      <c r="M79" s="617">
        <f t="shared" si="53"/>
        <v>4.27</v>
      </c>
      <c r="N79" s="618">
        <v>2.77</v>
      </c>
      <c r="O79" s="618"/>
      <c r="P79" s="618"/>
      <c r="Q79" s="618"/>
      <c r="R79" s="618">
        <v>1.5</v>
      </c>
      <c r="S79" s="615">
        <f t="shared" si="61"/>
        <v>1.2</v>
      </c>
      <c r="T79" s="615">
        <f t="shared" si="62"/>
        <v>1.07</v>
      </c>
      <c r="U79" s="616">
        <v>0.78</v>
      </c>
      <c r="V79" s="616"/>
      <c r="W79" s="616"/>
      <c r="X79" s="616"/>
      <c r="Y79" s="616"/>
      <c r="Z79" s="616">
        <v>0.29</v>
      </c>
      <c r="AA79" s="615">
        <f t="shared" si="63"/>
        <v>0.13</v>
      </c>
      <c r="AB79" s="616">
        <v>0.13</v>
      </c>
      <c r="AC79" s="616"/>
      <c r="AD79" s="616"/>
      <c r="AE79" s="616"/>
      <c r="AF79" s="616"/>
      <c r="AG79" s="615">
        <f t="shared" si="64"/>
        <v>30.49</v>
      </c>
      <c r="AH79" s="615">
        <f t="shared" si="65"/>
        <v>26.09</v>
      </c>
      <c r="AI79" s="616">
        <f t="shared" si="66"/>
        <v>16.2</v>
      </c>
      <c r="AJ79" s="616">
        <f t="shared" si="67"/>
        <v>0</v>
      </c>
      <c r="AK79" s="616">
        <f t="shared" si="68"/>
        <v>4.62</v>
      </c>
      <c r="AL79" s="616">
        <f t="shared" si="69"/>
        <v>0</v>
      </c>
      <c r="AM79" s="616">
        <f t="shared" si="70"/>
        <v>0.53</v>
      </c>
      <c r="AN79" s="616">
        <f t="shared" si="71"/>
        <v>4.74</v>
      </c>
      <c r="AO79" s="615">
        <f t="shared" si="72"/>
        <v>4.4</v>
      </c>
      <c r="AP79" s="616">
        <f t="shared" si="73"/>
        <v>2.9</v>
      </c>
      <c r="AQ79" s="616">
        <f t="shared" si="74"/>
        <v>0</v>
      </c>
      <c r="AR79" s="616">
        <f t="shared" si="75"/>
        <v>0</v>
      </c>
      <c r="AS79" s="616">
        <f t="shared" si="76"/>
        <v>0</v>
      </c>
      <c r="AT79" s="637">
        <f t="shared" si="77"/>
        <v>1.5</v>
      </c>
      <c r="AU79" s="639">
        <f t="shared" si="54"/>
        <v>9.76268</v>
      </c>
      <c r="AV79" s="618">
        <f t="shared" si="55"/>
        <v>3.6496</v>
      </c>
      <c r="AW79" s="618">
        <f t="shared" si="56"/>
        <v>1.8248</v>
      </c>
      <c r="AX79" s="618">
        <f t="shared" si="57"/>
        <v>1.3686</v>
      </c>
      <c r="AY79" s="618">
        <f t="shared" si="58"/>
        <v>0.04562</v>
      </c>
      <c r="AZ79" s="618">
        <f t="shared" si="59"/>
        <v>0.13686</v>
      </c>
      <c r="BA79" s="618">
        <f t="shared" si="60"/>
        <v>2.7372</v>
      </c>
      <c r="BB79" s="618"/>
      <c r="BC79" s="615">
        <f t="shared" si="78"/>
        <v>0.38948</v>
      </c>
      <c r="BD79" s="616">
        <f t="shared" si="79"/>
        <v>0.1456</v>
      </c>
      <c r="BE79" s="616">
        <f t="shared" si="80"/>
        <v>0.0728</v>
      </c>
      <c r="BF79" s="616">
        <f t="shared" si="81"/>
        <v>0.0546</v>
      </c>
      <c r="BG79" s="616">
        <f t="shared" si="82"/>
        <v>0.00182</v>
      </c>
      <c r="BH79" s="616">
        <f t="shared" si="83"/>
        <v>0.00546</v>
      </c>
      <c r="BI79" s="616">
        <f t="shared" si="84"/>
        <v>0.1092</v>
      </c>
      <c r="BJ79" s="616"/>
      <c r="BK79" s="615">
        <f t="shared" si="85"/>
        <v>10.15216</v>
      </c>
      <c r="BL79" s="616">
        <f t="shared" si="86"/>
        <v>3.7952</v>
      </c>
      <c r="BM79" s="616">
        <f t="shared" si="87"/>
        <v>1.8976</v>
      </c>
      <c r="BN79" s="616">
        <f t="shared" si="88"/>
        <v>1.4232</v>
      </c>
      <c r="BO79" s="616">
        <f t="shared" si="89"/>
        <v>0.04744</v>
      </c>
      <c r="BP79" s="616">
        <f t="shared" si="90"/>
        <v>0.14232</v>
      </c>
      <c r="BQ79" s="616">
        <f t="shared" si="91"/>
        <v>2.8464</v>
      </c>
      <c r="BR79" s="616">
        <f t="shared" si="92"/>
        <v>0</v>
      </c>
      <c r="BS79" s="304"/>
    </row>
    <row r="80" s="131" customFormat="1" ht="24" spans="1:71">
      <c r="A80" s="497" t="s">
        <v>215</v>
      </c>
      <c r="B80" s="497" t="s">
        <v>206</v>
      </c>
      <c r="C80" s="497" t="s">
        <v>304</v>
      </c>
      <c r="D80" s="497" t="s">
        <v>297</v>
      </c>
      <c r="E80" s="617">
        <f t="shared" si="51"/>
        <v>76.2</v>
      </c>
      <c r="F80" s="617">
        <f t="shared" si="52"/>
        <v>62.72</v>
      </c>
      <c r="G80" s="619">
        <v>34.97</v>
      </c>
      <c r="H80" s="619"/>
      <c r="I80" s="619">
        <v>14.13</v>
      </c>
      <c r="J80" s="618"/>
      <c r="K80" s="618"/>
      <c r="L80" s="618">
        <v>13.62</v>
      </c>
      <c r="M80" s="617">
        <f t="shared" si="53"/>
        <v>13.48</v>
      </c>
      <c r="N80" s="619">
        <v>8.48</v>
      </c>
      <c r="O80" s="618"/>
      <c r="P80" s="618"/>
      <c r="Q80" s="618"/>
      <c r="R80" s="618">
        <v>5</v>
      </c>
      <c r="S80" s="615">
        <f t="shared" si="61"/>
        <v>4.38</v>
      </c>
      <c r="T80" s="615">
        <f t="shared" si="62"/>
        <v>3.65</v>
      </c>
      <c r="U80" s="616">
        <v>2.2</v>
      </c>
      <c r="V80" s="616"/>
      <c r="W80" s="616">
        <v>0.81</v>
      </c>
      <c r="X80" s="616"/>
      <c r="Y80" s="616"/>
      <c r="Z80" s="616">
        <v>0.64</v>
      </c>
      <c r="AA80" s="615">
        <f t="shared" si="63"/>
        <v>0.73</v>
      </c>
      <c r="AB80" s="616">
        <v>0.43</v>
      </c>
      <c r="AC80" s="616"/>
      <c r="AD80" s="616"/>
      <c r="AE80" s="616">
        <v>0.3</v>
      </c>
      <c r="AF80" s="616"/>
      <c r="AG80" s="615">
        <f t="shared" si="64"/>
        <v>80.58</v>
      </c>
      <c r="AH80" s="615">
        <f t="shared" si="65"/>
        <v>66.37</v>
      </c>
      <c r="AI80" s="616">
        <f t="shared" si="66"/>
        <v>37.17</v>
      </c>
      <c r="AJ80" s="616">
        <f t="shared" si="67"/>
        <v>0</v>
      </c>
      <c r="AK80" s="616">
        <f t="shared" si="68"/>
        <v>14.94</v>
      </c>
      <c r="AL80" s="616">
        <f t="shared" si="69"/>
        <v>0</v>
      </c>
      <c r="AM80" s="616">
        <f t="shared" si="70"/>
        <v>0</v>
      </c>
      <c r="AN80" s="616">
        <f t="shared" si="71"/>
        <v>14.26</v>
      </c>
      <c r="AO80" s="615">
        <f t="shared" si="72"/>
        <v>14.21</v>
      </c>
      <c r="AP80" s="616">
        <f t="shared" si="73"/>
        <v>8.91</v>
      </c>
      <c r="AQ80" s="616">
        <f t="shared" si="74"/>
        <v>0</v>
      </c>
      <c r="AR80" s="616">
        <f t="shared" si="75"/>
        <v>0</v>
      </c>
      <c r="AS80" s="616">
        <f t="shared" si="76"/>
        <v>0.3</v>
      </c>
      <c r="AT80" s="637">
        <f t="shared" si="77"/>
        <v>5</v>
      </c>
      <c r="AU80" s="639">
        <f t="shared" si="54"/>
        <v>24.64424</v>
      </c>
      <c r="AV80" s="618">
        <f t="shared" si="55"/>
        <v>9.2128</v>
      </c>
      <c r="AW80" s="618">
        <f t="shared" si="56"/>
        <v>4.6064</v>
      </c>
      <c r="AX80" s="618">
        <f t="shared" si="57"/>
        <v>3.4548</v>
      </c>
      <c r="AY80" s="618">
        <f t="shared" si="58"/>
        <v>0.11516</v>
      </c>
      <c r="AZ80" s="618">
        <f t="shared" si="59"/>
        <v>0.34548</v>
      </c>
      <c r="BA80" s="618">
        <f t="shared" si="60"/>
        <v>6.9096</v>
      </c>
      <c r="BB80" s="618"/>
      <c r="BC80" s="615">
        <f t="shared" si="78"/>
        <v>1.47232</v>
      </c>
      <c r="BD80" s="616">
        <f t="shared" si="79"/>
        <v>0.5504</v>
      </c>
      <c r="BE80" s="616">
        <f t="shared" si="80"/>
        <v>0.2752</v>
      </c>
      <c r="BF80" s="616">
        <f t="shared" si="81"/>
        <v>0.2064</v>
      </c>
      <c r="BG80" s="616">
        <f t="shared" si="82"/>
        <v>0.00688</v>
      </c>
      <c r="BH80" s="616">
        <f t="shared" si="83"/>
        <v>0.02064</v>
      </c>
      <c r="BI80" s="616">
        <f t="shared" si="84"/>
        <v>0.4128</v>
      </c>
      <c r="BJ80" s="616"/>
      <c r="BK80" s="615">
        <f t="shared" si="85"/>
        <v>26.11656</v>
      </c>
      <c r="BL80" s="616">
        <f t="shared" si="86"/>
        <v>9.7632</v>
      </c>
      <c r="BM80" s="616">
        <f t="shared" si="87"/>
        <v>4.8816</v>
      </c>
      <c r="BN80" s="616">
        <f t="shared" si="88"/>
        <v>3.6612</v>
      </c>
      <c r="BO80" s="616">
        <f t="shared" si="89"/>
        <v>0.12204</v>
      </c>
      <c r="BP80" s="616">
        <f t="shared" si="90"/>
        <v>0.36612</v>
      </c>
      <c r="BQ80" s="616">
        <f t="shared" si="91"/>
        <v>7.3224</v>
      </c>
      <c r="BR80" s="616">
        <f t="shared" si="92"/>
        <v>0</v>
      </c>
      <c r="BS80" s="304" t="s">
        <v>653</v>
      </c>
    </row>
    <row r="81" s="131" customFormat="1" ht="24" spans="1:71">
      <c r="A81" s="497" t="s">
        <v>215</v>
      </c>
      <c r="B81" s="497" t="s">
        <v>206</v>
      </c>
      <c r="C81" s="497" t="s">
        <v>305</v>
      </c>
      <c r="D81" s="497" t="s">
        <v>297</v>
      </c>
      <c r="E81" s="617">
        <f t="shared" si="51"/>
        <v>29.06</v>
      </c>
      <c r="F81" s="617">
        <f t="shared" si="52"/>
        <v>23.81</v>
      </c>
      <c r="G81" s="619">
        <v>13.12</v>
      </c>
      <c r="H81" s="619"/>
      <c r="I81" s="619">
        <v>5.42</v>
      </c>
      <c r="J81" s="618"/>
      <c r="K81" s="618"/>
      <c r="L81" s="618">
        <v>5.27</v>
      </c>
      <c r="M81" s="617">
        <f t="shared" si="53"/>
        <v>5.25</v>
      </c>
      <c r="N81" s="619">
        <v>3.25</v>
      </c>
      <c r="O81" s="618"/>
      <c r="P81" s="618"/>
      <c r="Q81" s="618"/>
      <c r="R81" s="618">
        <v>2</v>
      </c>
      <c r="S81" s="615">
        <f t="shared" si="61"/>
        <v>-2.2</v>
      </c>
      <c r="T81" s="615">
        <f t="shared" si="62"/>
        <v>-2</v>
      </c>
      <c r="U81" s="616">
        <v>-0.9</v>
      </c>
      <c r="V81" s="616"/>
      <c r="W81" s="616">
        <v>-0.59</v>
      </c>
      <c r="X81" s="616"/>
      <c r="Y81" s="616"/>
      <c r="Z81" s="616">
        <v>-0.51</v>
      </c>
      <c r="AA81" s="615">
        <f t="shared" si="63"/>
        <v>-0.2</v>
      </c>
      <c r="AB81" s="616">
        <v>-0.35</v>
      </c>
      <c r="AC81" s="616"/>
      <c r="AD81" s="616"/>
      <c r="AE81" s="616">
        <v>0.15</v>
      </c>
      <c r="AF81" s="616"/>
      <c r="AG81" s="615">
        <f t="shared" si="64"/>
        <v>26.86</v>
      </c>
      <c r="AH81" s="615">
        <f t="shared" si="65"/>
        <v>21.81</v>
      </c>
      <c r="AI81" s="616">
        <f t="shared" si="66"/>
        <v>12.22</v>
      </c>
      <c r="AJ81" s="616">
        <f t="shared" si="67"/>
        <v>0</v>
      </c>
      <c r="AK81" s="616">
        <f t="shared" si="68"/>
        <v>4.83</v>
      </c>
      <c r="AL81" s="616">
        <f t="shared" si="69"/>
        <v>0</v>
      </c>
      <c r="AM81" s="616">
        <f t="shared" si="70"/>
        <v>0</v>
      </c>
      <c r="AN81" s="616">
        <f t="shared" si="71"/>
        <v>4.76</v>
      </c>
      <c r="AO81" s="615">
        <f t="shared" si="72"/>
        <v>5.05</v>
      </c>
      <c r="AP81" s="616">
        <f t="shared" si="73"/>
        <v>2.9</v>
      </c>
      <c r="AQ81" s="616">
        <f t="shared" si="74"/>
        <v>0</v>
      </c>
      <c r="AR81" s="616">
        <f t="shared" si="75"/>
        <v>0</v>
      </c>
      <c r="AS81" s="616">
        <f t="shared" si="76"/>
        <v>0.15</v>
      </c>
      <c r="AT81" s="637">
        <f t="shared" si="77"/>
        <v>2</v>
      </c>
      <c r="AU81" s="639">
        <f t="shared" si="54"/>
        <v>9.32612</v>
      </c>
      <c r="AV81" s="618">
        <f t="shared" si="55"/>
        <v>3.4864</v>
      </c>
      <c r="AW81" s="618">
        <f t="shared" si="56"/>
        <v>1.7432</v>
      </c>
      <c r="AX81" s="618">
        <f t="shared" si="57"/>
        <v>1.3074</v>
      </c>
      <c r="AY81" s="618">
        <f t="shared" si="58"/>
        <v>0.04358</v>
      </c>
      <c r="AZ81" s="618">
        <f t="shared" si="59"/>
        <v>0.13074</v>
      </c>
      <c r="BA81" s="618">
        <f t="shared" si="60"/>
        <v>2.6148</v>
      </c>
      <c r="BB81" s="618"/>
      <c r="BC81" s="615">
        <f t="shared" si="78"/>
        <v>-0.78752</v>
      </c>
      <c r="BD81" s="616">
        <f t="shared" si="79"/>
        <v>-0.2944</v>
      </c>
      <c r="BE81" s="616">
        <f t="shared" si="80"/>
        <v>-0.1472</v>
      </c>
      <c r="BF81" s="616">
        <f t="shared" si="81"/>
        <v>-0.1104</v>
      </c>
      <c r="BG81" s="616">
        <f t="shared" si="82"/>
        <v>-0.00368</v>
      </c>
      <c r="BH81" s="616">
        <f t="shared" si="83"/>
        <v>-0.01104</v>
      </c>
      <c r="BI81" s="616">
        <f t="shared" si="84"/>
        <v>-0.2208</v>
      </c>
      <c r="BJ81" s="616"/>
      <c r="BK81" s="615">
        <f t="shared" si="85"/>
        <v>8.5386</v>
      </c>
      <c r="BL81" s="616">
        <f t="shared" si="86"/>
        <v>3.192</v>
      </c>
      <c r="BM81" s="616">
        <f t="shared" si="87"/>
        <v>1.596</v>
      </c>
      <c r="BN81" s="616">
        <f t="shared" si="88"/>
        <v>1.197</v>
      </c>
      <c r="BO81" s="616">
        <f t="shared" si="89"/>
        <v>0.0399</v>
      </c>
      <c r="BP81" s="616">
        <f t="shared" si="90"/>
        <v>0.1197</v>
      </c>
      <c r="BQ81" s="616">
        <f t="shared" si="91"/>
        <v>2.394</v>
      </c>
      <c r="BR81" s="616">
        <f t="shared" si="92"/>
        <v>0</v>
      </c>
      <c r="BS81" s="304" t="s">
        <v>654</v>
      </c>
    </row>
    <row r="82" s="131" customFormat="1" ht="24" spans="1:71">
      <c r="A82" s="497" t="s">
        <v>215</v>
      </c>
      <c r="B82" s="497" t="s">
        <v>206</v>
      </c>
      <c r="C82" s="497" t="s">
        <v>306</v>
      </c>
      <c r="D82" s="497" t="s">
        <v>297</v>
      </c>
      <c r="E82" s="617">
        <f t="shared" si="51"/>
        <v>47.67</v>
      </c>
      <c r="F82" s="617">
        <f t="shared" si="52"/>
        <v>39.62</v>
      </c>
      <c r="G82" s="619">
        <v>22.88</v>
      </c>
      <c r="H82" s="619"/>
      <c r="I82" s="619">
        <v>8.42</v>
      </c>
      <c r="J82" s="618"/>
      <c r="K82" s="618"/>
      <c r="L82" s="618">
        <v>8.32</v>
      </c>
      <c r="M82" s="617">
        <f t="shared" si="53"/>
        <v>8.05</v>
      </c>
      <c r="N82" s="619">
        <v>5.05</v>
      </c>
      <c r="O82" s="618"/>
      <c r="P82" s="618"/>
      <c r="Q82" s="618"/>
      <c r="R82" s="618">
        <v>3</v>
      </c>
      <c r="S82" s="615">
        <f t="shared" si="61"/>
        <v>2</v>
      </c>
      <c r="T82" s="615">
        <f t="shared" si="62"/>
        <v>1.81</v>
      </c>
      <c r="U82" s="616">
        <v>1.14</v>
      </c>
      <c r="V82" s="616"/>
      <c r="W82" s="616">
        <v>0.31</v>
      </c>
      <c r="X82" s="616"/>
      <c r="Y82" s="616"/>
      <c r="Z82" s="616">
        <v>0.36</v>
      </c>
      <c r="AA82" s="615">
        <f t="shared" si="63"/>
        <v>0.19</v>
      </c>
      <c r="AB82" s="616">
        <v>0.19</v>
      </c>
      <c r="AC82" s="616"/>
      <c r="AD82" s="616"/>
      <c r="AE82" s="616"/>
      <c r="AF82" s="616"/>
      <c r="AG82" s="615">
        <f t="shared" si="64"/>
        <v>49.67</v>
      </c>
      <c r="AH82" s="615">
        <f t="shared" si="65"/>
        <v>41.43</v>
      </c>
      <c r="AI82" s="616">
        <f t="shared" si="66"/>
        <v>24.02</v>
      </c>
      <c r="AJ82" s="616">
        <f t="shared" si="67"/>
        <v>0</v>
      </c>
      <c r="AK82" s="616">
        <f t="shared" si="68"/>
        <v>8.73</v>
      </c>
      <c r="AL82" s="616">
        <f t="shared" si="69"/>
        <v>0</v>
      </c>
      <c r="AM82" s="616">
        <f t="shared" si="70"/>
        <v>0</v>
      </c>
      <c r="AN82" s="616">
        <f t="shared" si="71"/>
        <v>8.68</v>
      </c>
      <c r="AO82" s="615">
        <f t="shared" si="72"/>
        <v>8.24</v>
      </c>
      <c r="AP82" s="616">
        <f t="shared" si="73"/>
        <v>5.24</v>
      </c>
      <c r="AQ82" s="616">
        <f t="shared" si="74"/>
        <v>0</v>
      </c>
      <c r="AR82" s="616">
        <f t="shared" si="75"/>
        <v>0</v>
      </c>
      <c r="AS82" s="616">
        <f t="shared" si="76"/>
        <v>0</v>
      </c>
      <c r="AT82" s="637">
        <f t="shared" si="77"/>
        <v>3</v>
      </c>
      <c r="AU82" s="639">
        <f t="shared" si="54"/>
        <v>15.5578</v>
      </c>
      <c r="AV82" s="618">
        <f t="shared" si="55"/>
        <v>5.816</v>
      </c>
      <c r="AW82" s="618">
        <f t="shared" si="56"/>
        <v>2.908</v>
      </c>
      <c r="AX82" s="618">
        <f t="shared" si="57"/>
        <v>2.181</v>
      </c>
      <c r="AY82" s="618">
        <f t="shared" si="58"/>
        <v>0.0727</v>
      </c>
      <c r="AZ82" s="618">
        <f t="shared" si="59"/>
        <v>0.2181</v>
      </c>
      <c r="BA82" s="618">
        <f t="shared" si="60"/>
        <v>4.362</v>
      </c>
      <c r="BB82" s="618"/>
      <c r="BC82" s="615">
        <f t="shared" si="78"/>
        <v>0.70192</v>
      </c>
      <c r="BD82" s="616">
        <f t="shared" si="79"/>
        <v>0.2624</v>
      </c>
      <c r="BE82" s="616">
        <f t="shared" si="80"/>
        <v>0.1312</v>
      </c>
      <c r="BF82" s="616">
        <f t="shared" si="81"/>
        <v>0.0984</v>
      </c>
      <c r="BG82" s="616">
        <f t="shared" si="82"/>
        <v>0.00328</v>
      </c>
      <c r="BH82" s="616">
        <f t="shared" si="83"/>
        <v>0.00984</v>
      </c>
      <c r="BI82" s="616">
        <f t="shared" si="84"/>
        <v>0.1968</v>
      </c>
      <c r="BJ82" s="616"/>
      <c r="BK82" s="615">
        <f t="shared" si="85"/>
        <v>16.25972</v>
      </c>
      <c r="BL82" s="616">
        <f t="shared" si="86"/>
        <v>6.0784</v>
      </c>
      <c r="BM82" s="616">
        <f t="shared" si="87"/>
        <v>3.0392</v>
      </c>
      <c r="BN82" s="616">
        <f t="shared" si="88"/>
        <v>2.2794</v>
      </c>
      <c r="BO82" s="616">
        <f t="shared" si="89"/>
        <v>0.07598</v>
      </c>
      <c r="BP82" s="616">
        <f t="shared" si="90"/>
        <v>0.22794</v>
      </c>
      <c r="BQ82" s="616">
        <f t="shared" si="91"/>
        <v>4.5588</v>
      </c>
      <c r="BR82" s="616">
        <f t="shared" si="92"/>
        <v>0</v>
      </c>
      <c r="BS82" s="304"/>
    </row>
    <row r="83" s="131" customFormat="1" ht="36" spans="1:71">
      <c r="A83" s="497" t="s">
        <v>261</v>
      </c>
      <c r="B83" s="497" t="s">
        <v>203</v>
      </c>
      <c r="C83" s="497" t="s">
        <v>307</v>
      </c>
      <c r="D83" s="497" t="s">
        <v>308</v>
      </c>
      <c r="E83" s="617">
        <f t="shared" si="51"/>
        <v>0</v>
      </c>
      <c r="F83" s="617">
        <f t="shared" si="52"/>
        <v>0</v>
      </c>
      <c r="G83" s="618"/>
      <c r="H83" s="618"/>
      <c r="I83" s="618"/>
      <c r="J83" s="618"/>
      <c r="K83" s="618"/>
      <c r="L83" s="618"/>
      <c r="M83" s="617">
        <f t="shared" si="53"/>
        <v>0</v>
      </c>
      <c r="N83" s="618"/>
      <c r="O83" s="618"/>
      <c r="P83" s="618"/>
      <c r="Q83" s="618"/>
      <c r="R83" s="618"/>
      <c r="S83" s="615">
        <f t="shared" si="61"/>
        <v>0</v>
      </c>
      <c r="T83" s="615">
        <f t="shared" si="62"/>
        <v>0</v>
      </c>
      <c r="U83" s="616"/>
      <c r="V83" s="616"/>
      <c r="W83" s="616"/>
      <c r="X83" s="616"/>
      <c r="Y83" s="616"/>
      <c r="Z83" s="616"/>
      <c r="AA83" s="615">
        <f t="shared" si="63"/>
        <v>0</v>
      </c>
      <c r="AB83" s="616"/>
      <c r="AC83" s="616"/>
      <c r="AD83" s="616"/>
      <c r="AE83" s="616"/>
      <c r="AF83" s="616"/>
      <c r="AG83" s="615">
        <f t="shared" si="64"/>
        <v>0</v>
      </c>
      <c r="AH83" s="615">
        <f t="shared" si="65"/>
        <v>0</v>
      </c>
      <c r="AI83" s="616">
        <f t="shared" si="66"/>
        <v>0</v>
      </c>
      <c r="AJ83" s="616">
        <f t="shared" si="67"/>
        <v>0</v>
      </c>
      <c r="AK83" s="616">
        <f t="shared" si="68"/>
        <v>0</v>
      </c>
      <c r="AL83" s="616">
        <f t="shared" si="69"/>
        <v>0</v>
      </c>
      <c r="AM83" s="616">
        <f t="shared" si="70"/>
        <v>0</v>
      </c>
      <c r="AN83" s="616">
        <f t="shared" si="71"/>
        <v>0</v>
      </c>
      <c r="AO83" s="615">
        <f t="shared" si="72"/>
        <v>0</v>
      </c>
      <c r="AP83" s="616">
        <f t="shared" si="73"/>
        <v>0</v>
      </c>
      <c r="AQ83" s="616">
        <f t="shared" si="74"/>
        <v>0</v>
      </c>
      <c r="AR83" s="616">
        <f t="shared" si="75"/>
        <v>0</v>
      </c>
      <c r="AS83" s="616">
        <f t="shared" si="76"/>
        <v>0</v>
      </c>
      <c r="AT83" s="637">
        <f t="shared" si="77"/>
        <v>0</v>
      </c>
      <c r="AU83" s="639">
        <f t="shared" si="54"/>
        <v>0</v>
      </c>
      <c r="AV83" s="618">
        <f t="shared" si="55"/>
        <v>0</v>
      </c>
      <c r="AW83" s="618">
        <f t="shared" si="56"/>
        <v>0</v>
      </c>
      <c r="AX83" s="618">
        <f t="shared" si="57"/>
        <v>0</v>
      </c>
      <c r="AY83" s="618">
        <f t="shared" si="58"/>
        <v>0</v>
      </c>
      <c r="AZ83" s="618">
        <f t="shared" si="59"/>
        <v>0</v>
      </c>
      <c r="BA83" s="618">
        <f t="shared" si="60"/>
        <v>0</v>
      </c>
      <c r="BB83" s="618"/>
      <c r="BC83" s="615">
        <f t="shared" si="78"/>
        <v>0</v>
      </c>
      <c r="BD83" s="616">
        <f t="shared" si="79"/>
        <v>0</v>
      </c>
      <c r="BE83" s="616">
        <f t="shared" si="80"/>
        <v>0</v>
      </c>
      <c r="BF83" s="616">
        <f t="shared" si="81"/>
        <v>0</v>
      </c>
      <c r="BG83" s="616">
        <f t="shared" si="82"/>
        <v>0</v>
      </c>
      <c r="BH83" s="616">
        <f t="shared" si="83"/>
        <v>0</v>
      </c>
      <c r="BI83" s="616">
        <f t="shared" si="84"/>
        <v>0</v>
      </c>
      <c r="BJ83" s="616"/>
      <c r="BK83" s="615">
        <f t="shared" si="85"/>
        <v>0</v>
      </c>
      <c r="BL83" s="616">
        <f t="shared" si="86"/>
        <v>0</v>
      </c>
      <c r="BM83" s="616">
        <f t="shared" si="87"/>
        <v>0</v>
      </c>
      <c r="BN83" s="616">
        <f t="shared" si="88"/>
        <v>0</v>
      </c>
      <c r="BO83" s="616">
        <f t="shared" si="89"/>
        <v>0</v>
      </c>
      <c r="BP83" s="616">
        <f t="shared" si="90"/>
        <v>0</v>
      </c>
      <c r="BQ83" s="616">
        <f t="shared" si="91"/>
        <v>0</v>
      </c>
      <c r="BR83" s="616">
        <f t="shared" si="92"/>
        <v>0</v>
      </c>
      <c r="BS83" s="304"/>
    </row>
    <row r="84" s="131" customFormat="1" ht="36" spans="1:71">
      <c r="A84" s="497" t="s">
        <v>261</v>
      </c>
      <c r="B84" s="497" t="s">
        <v>206</v>
      </c>
      <c r="C84" s="497" t="s">
        <v>309</v>
      </c>
      <c r="D84" s="497" t="s">
        <v>308</v>
      </c>
      <c r="E84" s="617">
        <f t="shared" si="51"/>
        <v>62.005</v>
      </c>
      <c r="F84" s="617">
        <f t="shared" si="52"/>
        <v>48.88</v>
      </c>
      <c r="G84" s="618">
        <v>15.51</v>
      </c>
      <c r="H84" s="618"/>
      <c r="I84" s="618">
        <v>6.87</v>
      </c>
      <c r="J84" s="618">
        <v>1.2</v>
      </c>
      <c r="K84" s="618"/>
      <c r="L84" s="618">
        <v>25.3</v>
      </c>
      <c r="M84" s="617">
        <f t="shared" si="53"/>
        <v>13.125</v>
      </c>
      <c r="N84" s="618">
        <v>4.125</v>
      </c>
      <c r="O84" s="618"/>
      <c r="P84" s="618"/>
      <c r="Q84" s="618"/>
      <c r="R84" s="618">
        <v>9</v>
      </c>
      <c r="S84" s="615">
        <f t="shared" si="61"/>
        <v>-17.93</v>
      </c>
      <c r="T84" s="615">
        <f t="shared" si="62"/>
        <v>-18.04</v>
      </c>
      <c r="U84" s="616">
        <v>0.79</v>
      </c>
      <c r="V84" s="616"/>
      <c r="W84" s="616"/>
      <c r="X84" s="616">
        <v>-0.6</v>
      </c>
      <c r="Y84" s="616"/>
      <c r="Z84" s="616">
        <v>-18.23</v>
      </c>
      <c r="AA84" s="615">
        <f t="shared" si="63"/>
        <v>0.11</v>
      </c>
      <c r="AB84" s="616">
        <v>0.11</v>
      </c>
      <c r="AC84" s="616"/>
      <c r="AD84" s="616"/>
      <c r="AE84" s="616"/>
      <c r="AF84" s="616"/>
      <c r="AG84" s="615">
        <f t="shared" si="64"/>
        <v>44.075</v>
      </c>
      <c r="AH84" s="615">
        <f t="shared" si="65"/>
        <v>30.84</v>
      </c>
      <c r="AI84" s="616">
        <f t="shared" si="66"/>
        <v>16.3</v>
      </c>
      <c r="AJ84" s="616">
        <f t="shared" si="67"/>
        <v>0</v>
      </c>
      <c r="AK84" s="616">
        <f t="shared" si="68"/>
        <v>6.87</v>
      </c>
      <c r="AL84" s="616">
        <f t="shared" si="69"/>
        <v>0.6</v>
      </c>
      <c r="AM84" s="616">
        <f t="shared" si="70"/>
        <v>0</v>
      </c>
      <c r="AN84" s="616">
        <f t="shared" si="71"/>
        <v>7.07</v>
      </c>
      <c r="AO84" s="615">
        <f t="shared" si="72"/>
        <v>13.235</v>
      </c>
      <c r="AP84" s="616">
        <f t="shared" si="73"/>
        <v>4.235</v>
      </c>
      <c r="AQ84" s="616">
        <f t="shared" si="74"/>
        <v>0</v>
      </c>
      <c r="AR84" s="616">
        <f t="shared" si="75"/>
        <v>0</v>
      </c>
      <c r="AS84" s="616">
        <f t="shared" si="76"/>
        <v>0</v>
      </c>
      <c r="AT84" s="637">
        <f t="shared" si="77"/>
        <v>9</v>
      </c>
      <c r="AU84" s="639">
        <f t="shared" si="54"/>
        <v>11.34414</v>
      </c>
      <c r="AV84" s="618">
        <f t="shared" si="55"/>
        <v>4.2408</v>
      </c>
      <c r="AW84" s="618">
        <f t="shared" si="56"/>
        <v>2.1204</v>
      </c>
      <c r="AX84" s="618">
        <f t="shared" si="57"/>
        <v>1.5903</v>
      </c>
      <c r="AY84" s="618">
        <f t="shared" si="58"/>
        <v>0.05301</v>
      </c>
      <c r="AZ84" s="618">
        <f t="shared" si="59"/>
        <v>0.15903</v>
      </c>
      <c r="BA84" s="618">
        <f t="shared" si="60"/>
        <v>3.1806</v>
      </c>
      <c r="BB84" s="618"/>
      <c r="BC84" s="615">
        <f t="shared" si="78"/>
        <v>0.3852</v>
      </c>
      <c r="BD84" s="616">
        <f t="shared" si="79"/>
        <v>0.144</v>
      </c>
      <c r="BE84" s="616">
        <f t="shared" si="80"/>
        <v>0.072</v>
      </c>
      <c r="BF84" s="616">
        <f t="shared" si="81"/>
        <v>0.054</v>
      </c>
      <c r="BG84" s="616">
        <f t="shared" si="82"/>
        <v>0.0018</v>
      </c>
      <c r="BH84" s="616">
        <f t="shared" si="83"/>
        <v>0.0054</v>
      </c>
      <c r="BI84" s="616">
        <f t="shared" si="84"/>
        <v>0.108</v>
      </c>
      <c r="BJ84" s="616"/>
      <c r="BK84" s="615">
        <f t="shared" si="85"/>
        <v>11.72934</v>
      </c>
      <c r="BL84" s="616">
        <f t="shared" si="86"/>
        <v>4.3848</v>
      </c>
      <c r="BM84" s="616">
        <f t="shared" si="87"/>
        <v>2.1924</v>
      </c>
      <c r="BN84" s="616">
        <f t="shared" si="88"/>
        <v>1.6443</v>
      </c>
      <c r="BO84" s="616">
        <f t="shared" si="89"/>
        <v>0.05481</v>
      </c>
      <c r="BP84" s="616">
        <f t="shared" si="90"/>
        <v>0.16443</v>
      </c>
      <c r="BQ84" s="616">
        <f t="shared" si="91"/>
        <v>3.2886</v>
      </c>
      <c r="BR84" s="616">
        <f t="shared" si="92"/>
        <v>0</v>
      </c>
      <c r="BS84" s="304"/>
    </row>
    <row r="85" s="131" customFormat="1" ht="36" spans="1:71">
      <c r="A85" s="497" t="s">
        <v>261</v>
      </c>
      <c r="B85" s="497" t="s">
        <v>206</v>
      </c>
      <c r="C85" s="497" t="s">
        <v>310</v>
      </c>
      <c r="D85" s="497" t="s">
        <v>308</v>
      </c>
      <c r="E85" s="617">
        <f t="shared" si="51"/>
        <v>25</v>
      </c>
      <c r="F85" s="617">
        <f t="shared" si="52"/>
        <v>21.54</v>
      </c>
      <c r="G85" s="618">
        <v>14.56</v>
      </c>
      <c r="H85" s="618"/>
      <c r="I85" s="618">
        <v>5.76</v>
      </c>
      <c r="J85" s="618">
        <v>0.96</v>
      </c>
      <c r="K85" s="618">
        <v>0.26</v>
      </c>
      <c r="L85" s="618"/>
      <c r="M85" s="617">
        <f t="shared" si="53"/>
        <v>3.46</v>
      </c>
      <c r="N85" s="618">
        <v>3.46</v>
      </c>
      <c r="O85" s="618"/>
      <c r="P85" s="618"/>
      <c r="Q85" s="618"/>
      <c r="R85" s="618"/>
      <c r="S85" s="615">
        <f t="shared" si="61"/>
        <v>5.62</v>
      </c>
      <c r="T85" s="615">
        <f t="shared" si="62"/>
        <v>5.47</v>
      </c>
      <c r="U85" s="616">
        <v>0.2</v>
      </c>
      <c r="V85" s="616"/>
      <c r="W85" s="616"/>
      <c r="X85" s="616">
        <v>-0.48</v>
      </c>
      <c r="Y85" s="616"/>
      <c r="Z85" s="616">
        <v>5.75</v>
      </c>
      <c r="AA85" s="615">
        <f t="shared" si="63"/>
        <v>0.15</v>
      </c>
      <c r="AB85" s="616"/>
      <c r="AC85" s="616"/>
      <c r="AD85" s="616"/>
      <c r="AE85" s="616">
        <v>0.15</v>
      </c>
      <c r="AF85" s="616"/>
      <c r="AG85" s="615">
        <f t="shared" si="64"/>
        <v>30.62</v>
      </c>
      <c r="AH85" s="615">
        <f t="shared" si="65"/>
        <v>27.01</v>
      </c>
      <c r="AI85" s="616">
        <f t="shared" si="66"/>
        <v>14.76</v>
      </c>
      <c r="AJ85" s="616">
        <f t="shared" si="67"/>
        <v>0</v>
      </c>
      <c r="AK85" s="616">
        <f t="shared" si="68"/>
        <v>5.76</v>
      </c>
      <c r="AL85" s="616">
        <f t="shared" si="69"/>
        <v>0.48</v>
      </c>
      <c r="AM85" s="616">
        <f t="shared" si="70"/>
        <v>0.26</v>
      </c>
      <c r="AN85" s="616">
        <f t="shared" si="71"/>
        <v>5.75</v>
      </c>
      <c r="AO85" s="615">
        <f t="shared" si="72"/>
        <v>3.61</v>
      </c>
      <c r="AP85" s="616">
        <f t="shared" si="73"/>
        <v>3.46</v>
      </c>
      <c r="AQ85" s="616">
        <f t="shared" si="74"/>
        <v>0</v>
      </c>
      <c r="AR85" s="616">
        <f t="shared" si="75"/>
        <v>0</v>
      </c>
      <c r="AS85" s="616">
        <f t="shared" si="76"/>
        <v>0.15</v>
      </c>
      <c r="AT85" s="637">
        <f t="shared" si="77"/>
        <v>0</v>
      </c>
      <c r="AU85" s="639">
        <f t="shared" si="54"/>
        <v>10.17784</v>
      </c>
      <c r="AV85" s="618">
        <f t="shared" si="55"/>
        <v>3.8048</v>
      </c>
      <c r="AW85" s="618">
        <f t="shared" si="56"/>
        <v>1.9024</v>
      </c>
      <c r="AX85" s="618">
        <f t="shared" si="57"/>
        <v>1.4268</v>
      </c>
      <c r="AY85" s="618">
        <f t="shared" si="58"/>
        <v>0.04756</v>
      </c>
      <c r="AZ85" s="618">
        <f t="shared" si="59"/>
        <v>0.14268</v>
      </c>
      <c r="BA85" s="618">
        <f t="shared" si="60"/>
        <v>2.8536</v>
      </c>
      <c r="BB85" s="618"/>
      <c r="BC85" s="615">
        <f t="shared" si="78"/>
        <v>0.0856</v>
      </c>
      <c r="BD85" s="616">
        <f t="shared" si="79"/>
        <v>0.032</v>
      </c>
      <c r="BE85" s="616">
        <f t="shared" si="80"/>
        <v>0.016</v>
      </c>
      <c r="BF85" s="616">
        <f t="shared" si="81"/>
        <v>0.012</v>
      </c>
      <c r="BG85" s="616">
        <f t="shared" si="82"/>
        <v>0.0004</v>
      </c>
      <c r="BH85" s="616">
        <f t="shared" si="83"/>
        <v>0.0012</v>
      </c>
      <c r="BI85" s="616">
        <f t="shared" si="84"/>
        <v>0.024</v>
      </c>
      <c r="BJ85" s="616"/>
      <c r="BK85" s="615">
        <f t="shared" si="85"/>
        <v>10.26344</v>
      </c>
      <c r="BL85" s="616">
        <f t="shared" si="86"/>
        <v>3.8368</v>
      </c>
      <c r="BM85" s="616">
        <f t="shared" si="87"/>
        <v>1.9184</v>
      </c>
      <c r="BN85" s="616">
        <f t="shared" si="88"/>
        <v>1.4388</v>
      </c>
      <c r="BO85" s="616">
        <f t="shared" si="89"/>
        <v>0.04796</v>
      </c>
      <c r="BP85" s="616">
        <f t="shared" si="90"/>
        <v>0.14388</v>
      </c>
      <c r="BQ85" s="616">
        <f t="shared" si="91"/>
        <v>2.8776</v>
      </c>
      <c r="BR85" s="616">
        <f t="shared" si="92"/>
        <v>0</v>
      </c>
      <c r="BS85" s="304"/>
    </row>
    <row r="86" s="131" customFormat="1" ht="24" spans="1:71">
      <c r="A86" s="497" t="s">
        <v>202</v>
      </c>
      <c r="B86" s="497" t="s">
        <v>203</v>
      </c>
      <c r="C86" s="497" t="s">
        <v>311</v>
      </c>
      <c r="D86" s="497" t="s">
        <v>312</v>
      </c>
      <c r="E86" s="617">
        <f t="shared" si="51"/>
        <v>0</v>
      </c>
      <c r="F86" s="617">
        <f t="shared" si="52"/>
        <v>0</v>
      </c>
      <c r="G86" s="618"/>
      <c r="H86" s="618"/>
      <c r="I86" s="618"/>
      <c r="J86" s="618"/>
      <c r="K86" s="618"/>
      <c r="L86" s="618"/>
      <c r="M86" s="617">
        <f t="shared" si="53"/>
        <v>0</v>
      </c>
      <c r="N86" s="618"/>
      <c r="O86" s="618"/>
      <c r="P86" s="618"/>
      <c r="Q86" s="618"/>
      <c r="R86" s="618"/>
      <c r="S86" s="615">
        <f t="shared" si="61"/>
        <v>0</v>
      </c>
      <c r="T86" s="615">
        <f t="shared" si="62"/>
        <v>0</v>
      </c>
      <c r="U86" s="616"/>
      <c r="V86" s="616"/>
      <c r="W86" s="616"/>
      <c r="X86" s="616"/>
      <c r="Y86" s="616"/>
      <c r="Z86" s="616"/>
      <c r="AA86" s="615">
        <f t="shared" si="63"/>
        <v>0</v>
      </c>
      <c r="AB86" s="616"/>
      <c r="AC86" s="616"/>
      <c r="AD86" s="616"/>
      <c r="AE86" s="616"/>
      <c r="AF86" s="616"/>
      <c r="AG86" s="615">
        <f t="shared" si="64"/>
        <v>0</v>
      </c>
      <c r="AH86" s="615">
        <f t="shared" si="65"/>
        <v>0</v>
      </c>
      <c r="AI86" s="616">
        <f t="shared" si="66"/>
        <v>0</v>
      </c>
      <c r="AJ86" s="616">
        <f t="shared" si="67"/>
        <v>0</v>
      </c>
      <c r="AK86" s="616">
        <f t="shared" si="68"/>
        <v>0</v>
      </c>
      <c r="AL86" s="616">
        <f t="shared" si="69"/>
        <v>0</v>
      </c>
      <c r="AM86" s="616">
        <f t="shared" si="70"/>
        <v>0</v>
      </c>
      <c r="AN86" s="616">
        <f t="shared" si="71"/>
        <v>0</v>
      </c>
      <c r="AO86" s="615">
        <f t="shared" si="72"/>
        <v>0</v>
      </c>
      <c r="AP86" s="616">
        <f t="shared" si="73"/>
        <v>0</v>
      </c>
      <c r="AQ86" s="616">
        <f t="shared" si="74"/>
        <v>0</v>
      </c>
      <c r="AR86" s="616">
        <f t="shared" si="75"/>
        <v>0</v>
      </c>
      <c r="AS86" s="616">
        <f t="shared" si="76"/>
        <v>0</v>
      </c>
      <c r="AT86" s="637">
        <f t="shared" si="77"/>
        <v>0</v>
      </c>
      <c r="AU86" s="639">
        <f t="shared" si="54"/>
        <v>0</v>
      </c>
      <c r="AV86" s="618">
        <f t="shared" si="55"/>
        <v>0</v>
      </c>
      <c r="AW86" s="618">
        <f t="shared" si="56"/>
        <v>0</v>
      </c>
      <c r="AX86" s="618">
        <f t="shared" si="57"/>
        <v>0</v>
      </c>
      <c r="AY86" s="618">
        <f t="shared" si="58"/>
        <v>0</v>
      </c>
      <c r="AZ86" s="618">
        <f t="shared" si="59"/>
        <v>0</v>
      </c>
      <c r="BA86" s="618">
        <f t="shared" si="60"/>
        <v>0</v>
      </c>
      <c r="BB86" s="618"/>
      <c r="BC86" s="615">
        <f t="shared" si="78"/>
        <v>0</v>
      </c>
      <c r="BD86" s="616">
        <f t="shared" si="79"/>
        <v>0</v>
      </c>
      <c r="BE86" s="616">
        <f t="shared" si="80"/>
        <v>0</v>
      </c>
      <c r="BF86" s="616">
        <f t="shared" si="81"/>
        <v>0</v>
      </c>
      <c r="BG86" s="616">
        <f t="shared" si="82"/>
        <v>0</v>
      </c>
      <c r="BH86" s="616">
        <f t="shared" si="83"/>
        <v>0</v>
      </c>
      <c r="BI86" s="616">
        <f t="shared" si="84"/>
        <v>0</v>
      </c>
      <c r="BJ86" s="616"/>
      <c r="BK86" s="615">
        <f t="shared" si="85"/>
        <v>0</v>
      </c>
      <c r="BL86" s="616">
        <f t="shared" si="86"/>
        <v>0</v>
      </c>
      <c r="BM86" s="616">
        <f t="shared" si="87"/>
        <v>0</v>
      </c>
      <c r="BN86" s="616">
        <f t="shared" si="88"/>
        <v>0</v>
      </c>
      <c r="BO86" s="616">
        <f t="shared" si="89"/>
        <v>0</v>
      </c>
      <c r="BP86" s="616">
        <f t="shared" si="90"/>
        <v>0</v>
      </c>
      <c r="BQ86" s="616">
        <f t="shared" si="91"/>
        <v>0</v>
      </c>
      <c r="BR86" s="616">
        <f t="shared" si="92"/>
        <v>0</v>
      </c>
      <c r="BS86" s="304"/>
    </row>
    <row r="87" s="131" customFormat="1" ht="24" spans="1:71">
      <c r="A87" s="497" t="s">
        <v>202</v>
      </c>
      <c r="B87" s="497" t="s">
        <v>206</v>
      </c>
      <c r="C87" s="497" t="s">
        <v>313</v>
      </c>
      <c r="D87" s="497" t="s">
        <v>314</v>
      </c>
      <c r="E87" s="617">
        <f t="shared" si="51"/>
        <v>7.89</v>
      </c>
      <c r="F87" s="617">
        <f t="shared" si="52"/>
        <v>6.54</v>
      </c>
      <c r="G87" s="618">
        <v>3.72</v>
      </c>
      <c r="H87" s="618"/>
      <c r="I87" s="618">
        <v>1.41</v>
      </c>
      <c r="J87" s="618"/>
      <c r="K87" s="618"/>
      <c r="L87" s="618">
        <v>1.41</v>
      </c>
      <c r="M87" s="617">
        <f t="shared" si="53"/>
        <v>1.35</v>
      </c>
      <c r="N87" s="618">
        <v>0.85</v>
      </c>
      <c r="O87" s="618"/>
      <c r="P87" s="618"/>
      <c r="Q87" s="618"/>
      <c r="R87" s="618">
        <v>0.5</v>
      </c>
      <c r="S87" s="615">
        <f t="shared" si="61"/>
        <v>5.83</v>
      </c>
      <c r="T87" s="615">
        <f t="shared" si="62"/>
        <v>5.14</v>
      </c>
      <c r="U87" s="616">
        <v>2.74</v>
      </c>
      <c r="V87" s="616"/>
      <c r="W87" s="616">
        <v>1.15</v>
      </c>
      <c r="X87" s="616"/>
      <c r="Y87" s="616"/>
      <c r="Z87" s="616">
        <v>1.25</v>
      </c>
      <c r="AA87" s="615">
        <f t="shared" si="63"/>
        <v>0.69</v>
      </c>
      <c r="AB87" s="616">
        <v>0.69</v>
      </c>
      <c r="AC87" s="616"/>
      <c r="AD87" s="616"/>
      <c r="AE87" s="616"/>
      <c r="AF87" s="616"/>
      <c r="AG87" s="615">
        <f t="shared" si="64"/>
        <v>13.72</v>
      </c>
      <c r="AH87" s="615">
        <f t="shared" si="65"/>
        <v>11.68</v>
      </c>
      <c r="AI87" s="616">
        <f t="shared" si="66"/>
        <v>6.46</v>
      </c>
      <c r="AJ87" s="616">
        <f t="shared" si="67"/>
        <v>0</v>
      </c>
      <c r="AK87" s="616">
        <f t="shared" si="68"/>
        <v>2.56</v>
      </c>
      <c r="AL87" s="616">
        <f t="shared" si="69"/>
        <v>0</v>
      </c>
      <c r="AM87" s="616">
        <f t="shared" si="70"/>
        <v>0</v>
      </c>
      <c r="AN87" s="616">
        <f t="shared" si="71"/>
        <v>2.66</v>
      </c>
      <c r="AO87" s="615">
        <f t="shared" si="72"/>
        <v>2.04</v>
      </c>
      <c r="AP87" s="616">
        <f t="shared" si="73"/>
        <v>1.54</v>
      </c>
      <c r="AQ87" s="616">
        <f t="shared" si="74"/>
        <v>0</v>
      </c>
      <c r="AR87" s="616">
        <f t="shared" si="75"/>
        <v>0</v>
      </c>
      <c r="AS87" s="616">
        <f t="shared" si="76"/>
        <v>0</v>
      </c>
      <c r="AT87" s="637">
        <f t="shared" si="77"/>
        <v>0.5</v>
      </c>
      <c r="AU87" s="639">
        <f t="shared" si="54"/>
        <v>2.55944</v>
      </c>
      <c r="AV87" s="618">
        <f t="shared" si="55"/>
        <v>0.9568</v>
      </c>
      <c r="AW87" s="618">
        <f t="shared" si="56"/>
        <v>0.4784</v>
      </c>
      <c r="AX87" s="618">
        <f t="shared" si="57"/>
        <v>0.3588</v>
      </c>
      <c r="AY87" s="618">
        <f t="shared" si="58"/>
        <v>0.01196</v>
      </c>
      <c r="AZ87" s="618">
        <f t="shared" si="59"/>
        <v>0.03588</v>
      </c>
      <c r="BA87" s="618">
        <f t="shared" si="60"/>
        <v>0.7176</v>
      </c>
      <c r="BB87" s="618"/>
      <c r="BC87" s="615">
        <f t="shared" si="78"/>
        <v>1.96024</v>
      </c>
      <c r="BD87" s="616">
        <f t="shared" si="79"/>
        <v>0.7328</v>
      </c>
      <c r="BE87" s="616">
        <f t="shared" si="80"/>
        <v>0.3664</v>
      </c>
      <c r="BF87" s="616">
        <f t="shared" si="81"/>
        <v>0.2748</v>
      </c>
      <c r="BG87" s="616">
        <f t="shared" si="82"/>
        <v>0.00916</v>
      </c>
      <c r="BH87" s="616">
        <f t="shared" si="83"/>
        <v>0.02748</v>
      </c>
      <c r="BI87" s="616">
        <f t="shared" si="84"/>
        <v>0.5496</v>
      </c>
      <c r="BJ87" s="616"/>
      <c r="BK87" s="615">
        <f t="shared" si="85"/>
        <v>4.51968</v>
      </c>
      <c r="BL87" s="616">
        <f t="shared" si="86"/>
        <v>1.6896</v>
      </c>
      <c r="BM87" s="616">
        <f t="shared" si="87"/>
        <v>0.8448</v>
      </c>
      <c r="BN87" s="616">
        <f t="shared" si="88"/>
        <v>0.6336</v>
      </c>
      <c r="BO87" s="616">
        <f t="shared" si="89"/>
        <v>0.02112</v>
      </c>
      <c r="BP87" s="616">
        <f t="shared" si="90"/>
        <v>0.06336</v>
      </c>
      <c r="BQ87" s="616">
        <f t="shared" si="91"/>
        <v>1.2672</v>
      </c>
      <c r="BR87" s="616">
        <f t="shared" si="92"/>
        <v>0</v>
      </c>
      <c r="BS87" s="304"/>
    </row>
    <row r="88" s="131" customFormat="1" ht="24" spans="1:71">
      <c r="A88" s="497" t="s">
        <v>215</v>
      </c>
      <c r="B88" s="497" t="s">
        <v>203</v>
      </c>
      <c r="C88" s="497" t="s">
        <v>315</v>
      </c>
      <c r="D88" s="497" t="s">
        <v>316</v>
      </c>
      <c r="E88" s="617">
        <f t="shared" si="51"/>
        <v>0</v>
      </c>
      <c r="F88" s="617">
        <f t="shared" si="52"/>
        <v>0</v>
      </c>
      <c r="G88" s="618"/>
      <c r="H88" s="618"/>
      <c r="I88" s="618"/>
      <c r="J88" s="618"/>
      <c r="K88" s="618"/>
      <c r="L88" s="618"/>
      <c r="M88" s="617">
        <f t="shared" si="53"/>
        <v>0</v>
      </c>
      <c r="N88" s="618"/>
      <c r="O88" s="618"/>
      <c r="P88" s="618"/>
      <c r="Q88" s="618"/>
      <c r="R88" s="618"/>
      <c r="S88" s="615">
        <f t="shared" si="61"/>
        <v>0</v>
      </c>
      <c r="T88" s="615">
        <f t="shared" si="62"/>
        <v>0</v>
      </c>
      <c r="U88" s="616"/>
      <c r="V88" s="616"/>
      <c r="W88" s="616"/>
      <c r="X88" s="616"/>
      <c r="Y88" s="616"/>
      <c r="Z88" s="616"/>
      <c r="AA88" s="615">
        <f t="shared" si="63"/>
        <v>0</v>
      </c>
      <c r="AB88" s="616"/>
      <c r="AC88" s="616"/>
      <c r="AD88" s="616"/>
      <c r="AE88" s="616"/>
      <c r="AF88" s="616"/>
      <c r="AG88" s="615">
        <f t="shared" si="64"/>
        <v>0</v>
      </c>
      <c r="AH88" s="615">
        <f t="shared" si="65"/>
        <v>0</v>
      </c>
      <c r="AI88" s="616">
        <f t="shared" si="66"/>
        <v>0</v>
      </c>
      <c r="AJ88" s="616">
        <f t="shared" si="67"/>
        <v>0</v>
      </c>
      <c r="AK88" s="616">
        <f t="shared" si="68"/>
        <v>0</v>
      </c>
      <c r="AL88" s="616">
        <f t="shared" si="69"/>
        <v>0</v>
      </c>
      <c r="AM88" s="616">
        <f t="shared" si="70"/>
        <v>0</v>
      </c>
      <c r="AN88" s="616">
        <f t="shared" si="71"/>
        <v>0</v>
      </c>
      <c r="AO88" s="615">
        <f t="shared" si="72"/>
        <v>0</v>
      </c>
      <c r="AP88" s="616">
        <f t="shared" si="73"/>
        <v>0</v>
      </c>
      <c r="AQ88" s="616">
        <f t="shared" si="74"/>
        <v>0</v>
      </c>
      <c r="AR88" s="616">
        <f t="shared" si="75"/>
        <v>0</v>
      </c>
      <c r="AS88" s="616">
        <f t="shared" si="76"/>
        <v>0</v>
      </c>
      <c r="AT88" s="637">
        <f t="shared" si="77"/>
        <v>0</v>
      </c>
      <c r="AU88" s="639">
        <f t="shared" si="54"/>
        <v>0</v>
      </c>
      <c r="AV88" s="618">
        <f t="shared" si="55"/>
        <v>0</v>
      </c>
      <c r="AW88" s="618">
        <f t="shared" si="56"/>
        <v>0</v>
      </c>
      <c r="AX88" s="618">
        <f t="shared" si="57"/>
        <v>0</v>
      </c>
      <c r="AY88" s="618">
        <f t="shared" si="58"/>
        <v>0</v>
      </c>
      <c r="AZ88" s="618">
        <f t="shared" si="59"/>
        <v>0</v>
      </c>
      <c r="BA88" s="618">
        <f t="shared" si="60"/>
        <v>0</v>
      </c>
      <c r="BB88" s="618"/>
      <c r="BC88" s="615">
        <f t="shared" si="78"/>
        <v>0</v>
      </c>
      <c r="BD88" s="616">
        <f t="shared" si="79"/>
        <v>0</v>
      </c>
      <c r="BE88" s="616">
        <f t="shared" si="80"/>
        <v>0</v>
      </c>
      <c r="BF88" s="616">
        <f t="shared" si="81"/>
        <v>0</v>
      </c>
      <c r="BG88" s="616">
        <f t="shared" si="82"/>
        <v>0</v>
      </c>
      <c r="BH88" s="616">
        <f t="shared" si="83"/>
        <v>0</v>
      </c>
      <c r="BI88" s="616">
        <f t="shared" si="84"/>
        <v>0</v>
      </c>
      <c r="BJ88" s="616"/>
      <c r="BK88" s="615">
        <f t="shared" si="85"/>
        <v>0</v>
      </c>
      <c r="BL88" s="616">
        <f t="shared" si="86"/>
        <v>0</v>
      </c>
      <c r="BM88" s="616">
        <f t="shared" si="87"/>
        <v>0</v>
      </c>
      <c r="BN88" s="616">
        <f t="shared" si="88"/>
        <v>0</v>
      </c>
      <c r="BO88" s="616">
        <f t="shared" si="89"/>
        <v>0</v>
      </c>
      <c r="BP88" s="616">
        <f t="shared" si="90"/>
        <v>0</v>
      </c>
      <c r="BQ88" s="616">
        <f t="shared" si="91"/>
        <v>0</v>
      </c>
      <c r="BR88" s="616">
        <f t="shared" si="92"/>
        <v>0</v>
      </c>
      <c r="BS88" s="304"/>
    </row>
    <row r="89" s="131" customFormat="1" ht="24" spans="1:71">
      <c r="A89" s="497" t="s">
        <v>215</v>
      </c>
      <c r="B89" s="497" t="s">
        <v>206</v>
      </c>
      <c r="C89" s="497" t="s">
        <v>318</v>
      </c>
      <c r="D89" s="497" t="s">
        <v>319</v>
      </c>
      <c r="E89" s="617">
        <f t="shared" si="51"/>
        <v>7.13</v>
      </c>
      <c r="F89" s="617">
        <f t="shared" si="52"/>
        <v>5.84</v>
      </c>
      <c r="G89" s="619">
        <v>3.19</v>
      </c>
      <c r="H89" s="619"/>
      <c r="I89" s="619">
        <v>1.32</v>
      </c>
      <c r="J89" s="618"/>
      <c r="K89" s="618"/>
      <c r="L89" s="618">
        <v>1.33</v>
      </c>
      <c r="M89" s="617">
        <f t="shared" si="53"/>
        <v>1.29</v>
      </c>
      <c r="N89" s="618">
        <v>0.79</v>
      </c>
      <c r="O89" s="618"/>
      <c r="P89" s="618"/>
      <c r="Q89" s="618"/>
      <c r="R89" s="618">
        <v>0.5</v>
      </c>
      <c r="S89" s="615">
        <f t="shared" si="61"/>
        <v>0.15</v>
      </c>
      <c r="T89" s="615">
        <f t="shared" si="62"/>
        <v>0.12</v>
      </c>
      <c r="U89" s="616">
        <v>0.08</v>
      </c>
      <c r="V89" s="616"/>
      <c r="W89" s="616">
        <v>0.04</v>
      </c>
      <c r="X89" s="616"/>
      <c r="Y89" s="616"/>
      <c r="Z89" s="616"/>
      <c r="AA89" s="615">
        <f t="shared" si="63"/>
        <v>0.03</v>
      </c>
      <c r="AB89" s="616">
        <v>0.03</v>
      </c>
      <c r="AC89" s="616"/>
      <c r="AD89" s="616"/>
      <c r="AE89" s="616"/>
      <c r="AF89" s="616"/>
      <c r="AG89" s="615">
        <f t="shared" si="64"/>
        <v>7.28</v>
      </c>
      <c r="AH89" s="615">
        <f t="shared" si="65"/>
        <v>5.96</v>
      </c>
      <c r="AI89" s="616">
        <f t="shared" si="66"/>
        <v>3.27</v>
      </c>
      <c r="AJ89" s="616">
        <f t="shared" si="67"/>
        <v>0</v>
      </c>
      <c r="AK89" s="616">
        <f t="shared" si="68"/>
        <v>1.36</v>
      </c>
      <c r="AL89" s="616">
        <f t="shared" si="69"/>
        <v>0</v>
      </c>
      <c r="AM89" s="616">
        <f t="shared" si="70"/>
        <v>0</v>
      </c>
      <c r="AN89" s="616">
        <f t="shared" si="71"/>
        <v>1.33</v>
      </c>
      <c r="AO89" s="615">
        <f t="shared" si="72"/>
        <v>1.32</v>
      </c>
      <c r="AP89" s="616">
        <f t="shared" si="73"/>
        <v>0.82</v>
      </c>
      <c r="AQ89" s="616">
        <f t="shared" si="74"/>
        <v>0</v>
      </c>
      <c r="AR89" s="616">
        <f t="shared" si="75"/>
        <v>0</v>
      </c>
      <c r="AS89" s="616">
        <f t="shared" si="76"/>
        <v>0</v>
      </c>
      <c r="AT89" s="637">
        <f t="shared" si="77"/>
        <v>0.5</v>
      </c>
      <c r="AU89" s="639">
        <f t="shared" si="54"/>
        <v>2.2684</v>
      </c>
      <c r="AV89" s="618">
        <f t="shared" si="55"/>
        <v>0.848</v>
      </c>
      <c r="AW89" s="618">
        <f t="shared" si="56"/>
        <v>0.424</v>
      </c>
      <c r="AX89" s="618">
        <f t="shared" si="57"/>
        <v>0.318</v>
      </c>
      <c r="AY89" s="618">
        <f t="shared" si="58"/>
        <v>0.0106</v>
      </c>
      <c r="AZ89" s="618">
        <f t="shared" si="59"/>
        <v>0.0318</v>
      </c>
      <c r="BA89" s="618">
        <f t="shared" si="60"/>
        <v>0.636</v>
      </c>
      <c r="BB89" s="618"/>
      <c r="BC89" s="615">
        <f t="shared" si="78"/>
        <v>0.0642</v>
      </c>
      <c r="BD89" s="616">
        <f t="shared" si="79"/>
        <v>0.024</v>
      </c>
      <c r="BE89" s="616">
        <f t="shared" si="80"/>
        <v>0.012</v>
      </c>
      <c r="BF89" s="616">
        <f t="shared" si="81"/>
        <v>0.009</v>
      </c>
      <c r="BG89" s="616">
        <f t="shared" si="82"/>
        <v>0.0003</v>
      </c>
      <c r="BH89" s="616">
        <f t="shared" si="83"/>
        <v>0.0009</v>
      </c>
      <c r="BI89" s="616">
        <f t="shared" si="84"/>
        <v>0.018</v>
      </c>
      <c r="BJ89" s="616"/>
      <c r="BK89" s="615">
        <f t="shared" si="85"/>
        <v>2.3326</v>
      </c>
      <c r="BL89" s="616">
        <f t="shared" si="86"/>
        <v>0.872</v>
      </c>
      <c r="BM89" s="616">
        <f t="shared" si="87"/>
        <v>0.436</v>
      </c>
      <c r="BN89" s="616">
        <f t="shared" si="88"/>
        <v>0.327</v>
      </c>
      <c r="BO89" s="616">
        <f t="shared" si="89"/>
        <v>0.0109</v>
      </c>
      <c r="BP89" s="616">
        <f t="shared" si="90"/>
        <v>0.0327</v>
      </c>
      <c r="BQ89" s="616">
        <f t="shared" si="91"/>
        <v>0.654</v>
      </c>
      <c r="BR89" s="616">
        <f t="shared" si="92"/>
        <v>0</v>
      </c>
      <c r="BS89" s="304"/>
    </row>
    <row r="90" s="131" customFormat="1" ht="24" spans="1:71">
      <c r="A90" s="497" t="s">
        <v>202</v>
      </c>
      <c r="B90" s="497" t="s">
        <v>203</v>
      </c>
      <c r="C90" s="497" t="s">
        <v>320</v>
      </c>
      <c r="D90" s="497" t="s">
        <v>321</v>
      </c>
      <c r="E90" s="617">
        <f t="shared" si="51"/>
        <v>273.67</v>
      </c>
      <c r="F90" s="617">
        <f t="shared" si="52"/>
        <v>0</v>
      </c>
      <c r="G90" s="618"/>
      <c r="H90" s="618"/>
      <c r="I90" s="618"/>
      <c r="J90" s="618"/>
      <c r="K90" s="618"/>
      <c r="L90" s="618"/>
      <c r="M90" s="617">
        <f t="shared" si="53"/>
        <v>273.67</v>
      </c>
      <c r="N90" s="618"/>
      <c r="O90" s="618">
        <f>239+34.67</f>
        <v>273.67</v>
      </c>
      <c r="P90" s="618"/>
      <c r="Q90" s="618"/>
      <c r="R90" s="618"/>
      <c r="S90" s="615">
        <f t="shared" si="61"/>
        <v>0</v>
      </c>
      <c r="T90" s="615">
        <f t="shared" si="62"/>
        <v>0</v>
      </c>
      <c r="U90" s="616"/>
      <c r="V90" s="616"/>
      <c r="W90" s="616"/>
      <c r="X90" s="616"/>
      <c r="Y90" s="616"/>
      <c r="Z90" s="616"/>
      <c r="AA90" s="615">
        <f t="shared" si="63"/>
        <v>0</v>
      </c>
      <c r="AB90" s="616"/>
      <c r="AC90" s="616"/>
      <c r="AD90" s="616"/>
      <c r="AE90" s="616"/>
      <c r="AF90" s="616"/>
      <c r="AG90" s="615">
        <f t="shared" si="64"/>
        <v>273.67</v>
      </c>
      <c r="AH90" s="615">
        <f t="shared" si="65"/>
        <v>0</v>
      </c>
      <c r="AI90" s="616">
        <f t="shared" si="66"/>
        <v>0</v>
      </c>
      <c r="AJ90" s="616">
        <f t="shared" si="67"/>
        <v>0</v>
      </c>
      <c r="AK90" s="616">
        <f t="shared" si="68"/>
        <v>0</v>
      </c>
      <c r="AL90" s="616">
        <f t="shared" si="69"/>
        <v>0</v>
      </c>
      <c r="AM90" s="616">
        <f t="shared" si="70"/>
        <v>0</v>
      </c>
      <c r="AN90" s="616">
        <f t="shared" si="71"/>
        <v>0</v>
      </c>
      <c r="AO90" s="615">
        <f t="shared" si="72"/>
        <v>273.67</v>
      </c>
      <c r="AP90" s="616">
        <f t="shared" si="73"/>
        <v>0</v>
      </c>
      <c r="AQ90" s="616">
        <f t="shared" si="74"/>
        <v>273.67</v>
      </c>
      <c r="AR90" s="616">
        <f t="shared" si="75"/>
        <v>0</v>
      </c>
      <c r="AS90" s="616">
        <f t="shared" si="76"/>
        <v>0</v>
      </c>
      <c r="AT90" s="637">
        <f t="shared" si="77"/>
        <v>0</v>
      </c>
      <c r="AU90" s="639">
        <f t="shared" si="54"/>
        <v>0</v>
      </c>
      <c r="AV90" s="618">
        <f t="shared" si="55"/>
        <v>0</v>
      </c>
      <c r="AW90" s="618">
        <f t="shared" si="56"/>
        <v>0</v>
      </c>
      <c r="AX90" s="618">
        <f t="shared" si="57"/>
        <v>0</v>
      </c>
      <c r="AY90" s="618">
        <f t="shared" si="58"/>
        <v>0</v>
      </c>
      <c r="AZ90" s="618">
        <f t="shared" si="59"/>
        <v>0</v>
      </c>
      <c r="BA90" s="618">
        <f t="shared" si="60"/>
        <v>0</v>
      </c>
      <c r="BB90" s="618"/>
      <c r="BC90" s="615">
        <f t="shared" si="78"/>
        <v>0</v>
      </c>
      <c r="BD90" s="616">
        <f t="shared" si="79"/>
        <v>0</v>
      </c>
      <c r="BE90" s="616">
        <f t="shared" si="80"/>
        <v>0</v>
      </c>
      <c r="BF90" s="616">
        <f t="shared" si="81"/>
        <v>0</v>
      </c>
      <c r="BG90" s="616">
        <f t="shared" si="82"/>
        <v>0</v>
      </c>
      <c r="BH90" s="616">
        <f t="shared" si="83"/>
        <v>0</v>
      </c>
      <c r="BI90" s="616">
        <f t="shared" si="84"/>
        <v>0</v>
      </c>
      <c r="BJ90" s="616"/>
      <c r="BK90" s="615">
        <f t="shared" si="85"/>
        <v>0</v>
      </c>
      <c r="BL90" s="616">
        <f t="shared" si="86"/>
        <v>0</v>
      </c>
      <c r="BM90" s="616">
        <f t="shared" si="87"/>
        <v>0</v>
      </c>
      <c r="BN90" s="616">
        <f t="shared" si="88"/>
        <v>0</v>
      </c>
      <c r="BO90" s="616">
        <f t="shared" si="89"/>
        <v>0</v>
      </c>
      <c r="BP90" s="616">
        <f t="shared" si="90"/>
        <v>0</v>
      </c>
      <c r="BQ90" s="616">
        <f t="shared" si="91"/>
        <v>0</v>
      </c>
      <c r="BR90" s="616">
        <f t="shared" si="92"/>
        <v>0</v>
      </c>
      <c r="BS90" s="304"/>
    </row>
    <row r="91" s="131" customFormat="1" ht="24" spans="1:71">
      <c r="A91" s="497" t="s">
        <v>202</v>
      </c>
      <c r="B91" s="497" t="s">
        <v>203</v>
      </c>
      <c r="C91" s="497" t="s">
        <v>322</v>
      </c>
      <c r="D91" s="497" t="s">
        <v>321</v>
      </c>
      <c r="E91" s="617">
        <f t="shared" si="51"/>
        <v>0</v>
      </c>
      <c r="F91" s="617">
        <f t="shared" si="52"/>
        <v>0</v>
      </c>
      <c r="G91" s="618"/>
      <c r="H91" s="618"/>
      <c r="I91" s="618"/>
      <c r="J91" s="618"/>
      <c r="K91" s="618"/>
      <c r="L91" s="618"/>
      <c r="M91" s="617">
        <f t="shared" si="53"/>
        <v>0</v>
      </c>
      <c r="N91" s="618"/>
      <c r="O91" s="618"/>
      <c r="P91" s="618"/>
      <c r="Q91" s="618"/>
      <c r="R91" s="618"/>
      <c r="S91" s="615">
        <f t="shared" si="61"/>
        <v>0</v>
      </c>
      <c r="T91" s="615">
        <f t="shared" si="62"/>
        <v>0</v>
      </c>
      <c r="U91" s="616"/>
      <c r="V91" s="616"/>
      <c r="W91" s="616"/>
      <c r="X91" s="616"/>
      <c r="Y91" s="616"/>
      <c r="Z91" s="616"/>
      <c r="AA91" s="615">
        <f t="shared" si="63"/>
        <v>0</v>
      </c>
      <c r="AB91" s="616"/>
      <c r="AC91" s="616"/>
      <c r="AD91" s="616"/>
      <c r="AE91" s="616"/>
      <c r="AF91" s="616"/>
      <c r="AG91" s="615">
        <f t="shared" si="64"/>
        <v>0</v>
      </c>
      <c r="AH91" s="615">
        <f t="shared" si="65"/>
        <v>0</v>
      </c>
      <c r="AI91" s="616">
        <f t="shared" si="66"/>
        <v>0</v>
      </c>
      <c r="AJ91" s="616">
        <f t="shared" si="67"/>
        <v>0</v>
      </c>
      <c r="AK91" s="616">
        <f t="shared" si="68"/>
        <v>0</v>
      </c>
      <c r="AL91" s="616">
        <f t="shared" si="69"/>
        <v>0</v>
      </c>
      <c r="AM91" s="616">
        <f t="shared" si="70"/>
        <v>0</v>
      </c>
      <c r="AN91" s="616">
        <f t="shared" si="71"/>
        <v>0</v>
      </c>
      <c r="AO91" s="615">
        <f t="shared" si="72"/>
        <v>0</v>
      </c>
      <c r="AP91" s="616">
        <f t="shared" si="73"/>
        <v>0</v>
      </c>
      <c r="AQ91" s="616">
        <f t="shared" si="74"/>
        <v>0</v>
      </c>
      <c r="AR91" s="616">
        <f t="shared" si="75"/>
        <v>0</v>
      </c>
      <c r="AS91" s="616">
        <f t="shared" si="76"/>
        <v>0</v>
      </c>
      <c r="AT91" s="637">
        <f t="shared" si="77"/>
        <v>0</v>
      </c>
      <c r="AU91" s="639">
        <f t="shared" si="54"/>
        <v>0</v>
      </c>
      <c r="AV91" s="618">
        <f t="shared" si="55"/>
        <v>0</v>
      </c>
      <c r="AW91" s="618">
        <f t="shared" si="56"/>
        <v>0</v>
      </c>
      <c r="AX91" s="618">
        <f t="shared" si="57"/>
        <v>0</v>
      </c>
      <c r="AY91" s="618">
        <f t="shared" si="58"/>
        <v>0</v>
      </c>
      <c r="AZ91" s="618">
        <f t="shared" si="59"/>
        <v>0</v>
      </c>
      <c r="BA91" s="618">
        <f t="shared" si="60"/>
        <v>0</v>
      </c>
      <c r="BB91" s="618"/>
      <c r="BC91" s="615">
        <f t="shared" si="78"/>
        <v>0</v>
      </c>
      <c r="BD91" s="616">
        <f t="shared" si="79"/>
        <v>0</v>
      </c>
      <c r="BE91" s="616">
        <f t="shared" si="80"/>
        <v>0</v>
      </c>
      <c r="BF91" s="616">
        <f t="shared" si="81"/>
        <v>0</v>
      </c>
      <c r="BG91" s="616">
        <f t="shared" si="82"/>
        <v>0</v>
      </c>
      <c r="BH91" s="616">
        <f t="shared" si="83"/>
        <v>0</v>
      </c>
      <c r="BI91" s="616">
        <f t="shared" si="84"/>
        <v>0</v>
      </c>
      <c r="BJ91" s="616"/>
      <c r="BK91" s="615">
        <f t="shared" si="85"/>
        <v>0</v>
      </c>
      <c r="BL91" s="616">
        <f t="shared" si="86"/>
        <v>0</v>
      </c>
      <c r="BM91" s="616">
        <f t="shared" si="87"/>
        <v>0</v>
      </c>
      <c r="BN91" s="616">
        <f t="shared" si="88"/>
        <v>0</v>
      </c>
      <c r="BO91" s="616">
        <f t="shared" si="89"/>
        <v>0</v>
      </c>
      <c r="BP91" s="616">
        <f t="shared" si="90"/>
        <v>0</v>
      </c>
      <c r="BQ91" s="616">
        <f t="shared" si="91"/>
        <v>0</v>
      </c>
      <c r="BR91" s="616">
        <f t="shared" si="92"/>
        <v>0</v>
      </c>
      <c r="BS91" s="304"/>
    </row>
    <row r="92" s="131" customFormat="1" ht="24" spans="1:71">
      <c r="A92" s="497" t="s">
        <v>202</v>
      </c>
      <c r="B92" s="497" t="s">
        <v>203</v>
      </c>
      <c r="C92" s="497" t="s">
        <v>323</v>
      </c>
      <c r="D92" s="497" t="s">
        <v>321</v>
      </c>
      <c r="E92" s="617">
        <f t="shared" si="51"/>
        <v>0</v>
      </c>
      <c r="F92" s="617">
        <f t="shared" si="52"/>
        <v>0</v>
      </c>
      <c r="G92" s="618"/>
      <c r="H92" s="618"/>
      <c r="I92" s="618"/>
      <c r="J92" s="618"/>
      <c r="K92" s="618"/>
      <c r="L92" s="618"/>
      <c r="M92" s="617">
        <f t="shared" si="53"/>
        <v>0</v>
      </c>
      <c r="N92" s="618"/>
      <c r="O92" s="618"/>
      <c r="P92" s="618"/>
      <c r="Q92" s="618"/>
      <c r="R92" s="618"/>
      <c r="S92" s="615">
        <f t="shared" si="61"/>
        <v>0</v>
      </c>
      <c r="T92" s="615">
        <f t="shared" si="62"/>
        <v>0</v>
      </c>
      <c r="U92" s="616"/>
      <c r="V92" s="616"/>
      <c r="W92" s="616"/>
      <c r="X92" s="616"/>
      <c r="Y92" s="616"/>
      <c r="Z92" s="616"/>
      <c r="AA92" s="615">
        <f t="shared" si="63"/>
        <v>0</v>
      </c>
      <c r="AB92" s="616"/>
      <c r="AC92" s="616"/>
      <c r="AD92" s="616"/>
      <c r="AE92" s="616"/>
      <c r="AF92" s="616"/>
      <c r="AG92" s="615">
        <f t="shared" si="64"/>
        <v>0</v>
      </c>
      <c r="AH92" s="615">
        <f t="shared" si="65"/>
        <v>0</v>
      </c>
      <c r="AI92" s="616">
        <f t="shared" si="66"/>
        <v>0</v>
      </c>
      <c r="AJ92" s="616">
        <f t="shared" si="67"/>
        <v>0</v>
      </c>
      <c r="AK92" s="616">
        <f t="shared" si="68"/>
        <v>0</v>
      </c>
      <c r="AL92" s="616">
        <f t="shared" si="69"/>
        <v>0</v>
      </c>
      <c r="AM92" s="616">
        <f t="shared" si="70"/>
        <v>0</v>
      </c>
      <c r="AN92" s="616">
        <f t="shared" si="71"/>
        <v>0</v>
      </c>
      <c r="AO92" s="615">
        <f t="shared" si="72"/>
        <v>0</v>
      </c>
      <c r="AP92" s="616">
        <f t="shared" si="73"/>
        <v>0</v>
      </c>
      <c r="AQ92" s="616">
        <f t="shared" si="74"/>
        <v>0</v>
      </c>
      <c r="AR92" s="616">
        <f t="shared" si="75"/>
        <v>0</v>
      </c>
      <c r="AS92" s="616">
        <f t="shared" si="76"/>
        <v>0</v>
      </c>
      <c r="AT92" s="637">
        <f t="shared" si="77"/>
        <v>0</v>
      </c>
      <c r="AU92" s="639">
        <f t="shared" si="54"/>
        <v>0</v>
      </c>
      <c r="AV92" s="618">
        <f t="shared" si="55"/>
        <v>0</v>
      </c>
      <c r="AW92" s="618">
        <f t="shared" si="56"/>
        <v>0</v>
      </c>
      <c r="AX92" s="618">
        <f t="shared" si="57"/>
        <v>0</v>
      </c>
      <c r="AY92" s="618">
        <f t="shared" si="58"/>
        <v>0</v>
      </c>
      <c r="AZ92" s="618">
        <f t="shared" si="59"/>
        <v>0</v>
      </c>
      <c r="BA92" s="618">
        <f t="shared" si="60"/>
        <v>0</v>
      </c>
      <c r="BB92" s="618"/>
      <c r="BC92" s="615">
        <f t="shared" si="78"/>
        <v>0</v>
      </c>
      <c r="BD92" s="616">
        <f t="shared" si="79"/>
        <v>0</v>
      </c>
      <c r="BE92" s="616">
        <f t="shared" si="80"/>
        <v>0</v>
      </c>
      <c r="BF92" s="616">
        <f t="shared" si="81"/>
        <v>0</v>
      </c>
      <c r="BG92" s="616">
        <f t="shared" si="82"/>
        <v>0</v>
      </c>
      <c r="BH92" s="616">
        <f t="shared" si="83"/>
        <v>0</v>
      </c>
      <c r="BI92" s="616">
        <f t="shared" si="84"/>
        <v>0</v>
      </c>
      <c r="BJ92" s="616"/>
      <c r="BK92" s="615">
        <f t="shared" si="85"/>
        <v>0</v>
      </c>
      <c r="BL92" s="616">
        <f t="shared" si="86"/>
        <v>0</v>
      </c>
      <c r="BM92" s="616">
        <f t="shared" si="87"/>
        <v>0</v>
      </c>
      <c r="BN92" s="616">
        <f t="shared" si="88"/>
        <v>0</v>
      </c>
      <c r="BO92" s="616">
        <f t="shared" si="89"/>
        <v>0</v>
      </c>
      <c r="BP92" s="616">
        <f t="shared" si="90"/>
        <v>0</v>
      </c>
      <c r="BQ92" s="616">
        <f t="shared" si="91"/>
        <v>0</v>
      </c>
      <c r="BR92" s="616">
        <f t="shared" si="92"/>
        <v>0</v>
      </c>
      <c r="BS92" s="304"/>
    </row>
    <row r="93" s="131" customFormat="1" ht="24" customHeight="1" spans="1:71">
      <c r="A93" s="497" t="s">
        <v>202</v>
      </c>
      <c r="B93" s="497" t="s">
        <v>203</v>
      </c>
      <c r="C93" s="497" t="s">
        <v>324</v>
      </c>
      <c r="D93" s="497" t="s">
        <v>321</v>
      </c>
      <c r="E93" s="617">
        <f t="shared" si="51"/>
        <v>0</v>
      </c>
      <c r="F93" s="617">
        <f t="shared" si="52"/>
        <v>0</v>
      </c>
      <c r="G93" s="618"/>
      <c r="H93" s="618"/>
      <c r="I93" s="618"/>
      <c r="J93" s="618"/>
      <c r="K93" s="618"/>
      <c r="L93" s="618"/>
      <c r="M93" s="617">
        <f t="shared" si="53"/>
        <v>0</v>
      </c>
      <c r="N93" s="618"/>
      <c r="O93" s="618"/>
      <c r="P93" s="618"/>
      <c r="Q93" s="618"/>
      <c r="R93" s="618"/>
      <c r="S93" s="615">
        <f t="shared" si="61"/>
        <v>0</v>
      </c>
      <c r="T93" s="615">
        <f t="shared" si="62"/>
        <v>0</v>
      </c>
      <c r="U93" s="616"/>
      <c r="V93" s="616"/>
      <c r="W93" s="616"/>
      <c r="X93" s="616"/>
      <c r="Y93" s="616"/>
      <c r="Z93" s="616"/>
      <c r="AA93" s="615">
        <f t="shared" si="63"/>
        <v>0</v>
      </c>
      <c r="AB93" s="616"/>
      <c r="AC93" s="616"/>
      <c r="AD93" s="616"/>
      <c r="AE93" s="616"/>
      <c r="AF93" s="616"/>
      <c r="AG93" s="615">
        <f t="shared" si="64"/>
        <v>0</v>
      </c>
      <c r="AH93" s="615">
        <f t="shared" si="65"/>
        <v>0</v>
      </c>
      <c r="AI93" s="616">
        <f t="shared" si="66"/>
        <v>0</v>
      </c>
      <c r="AJ93" s="616">
        <f t="shared" si="67"/>
        <v>0</v>
      </c>
      <c r="AK93" s="616">
        <f t="shared" si="68"/>
        <v>0</v>
      </c>
      <c r="AL93" s="616">
        <f t="shared" si="69"/>
        <v>0</v>
      </c>
      <c r="AM93" s="616">
        <f t="shared" si="70"/>
        <v>0</v>
      </c>
      <c r="AN93" s="616">
        <f t="shared" si="71"/>
        <v>0</v>
      </c>
      <c r="AO93" s="615">
        <f t="shared" si="72"/>
        <v>0</v>
      </c>
      <c r="AP93" s="616">
        <f t="shared" si="73"/>
        <v>0</v>
      </c>
      <c r="AQ93" s="616">
        <f t="shared" si="74"/>
        <v>0</v>
      </c>
      <c r="AR93" s="616">
        <f t="shared" si="75"/>
        <v>0</v>
      </c>
      <c r="AS93" s="616">
        <f t="shared" si="76"/>
        <v>0</v>
      </c>
      <c r="AT93" s="637">
        <f t="shared" si="77"/>
        <v>0</v>
      </c>
      <c r="AU93" s="639">
        <f t="shared" si="54"/>
        <v>0</v>
      </c>
      <c r="AV93" s="618">
        <f t="shared" si="55"/>
        <v>0</v>
      </c>
      <c r="AW93" s="618">
        <f t="shared" si="56"/>
        <v>0</v>
      </c>
      <c r="AX93" s="618">
        <f t="shared" si="57"/>
        <v>0</v>
      </c>
      <c r="AY93" s="618">
        <f t="shared" si="58"/>
        <v>0</v>
      </c>
      <c r="AZ93" s="618">
        <f t="shared" si="59"/>
        <v>0</v>
      </c>
      <c r="BA93" s="618">
        <f t="shared" si="60"/>
        <v>0</v>
      </c>
      <c r="BB93" s="618"/>
      <c r="BC93" s="615">
        <f t="shared" si="78"/>
        <v>0</v>
      </c>
      <c r="BD93" s="616">
        <f t="shared" si="79"/>
        <v>0</v>
      </c>
      <c r="BE93" s="616">
        <f t="shared" si="80"/>
        <v>0</v>
      </c>
      <c r="BF93" s="616">
        <f t="shared" si="81"/>
        <v>0</v>
      </c>
      <c r="BG93" s="616">
        <f t="shared" si="82"/>
        <v>0</v>
      </c>
      <c r="BH93" s="616">
        <f t="shared" si="83"/>
        <v>0</v>
      </c>
      <c r="BI93" s="616">
        <f t="shared" si="84"/>
        <v>0</v>
      </c>
      <c r="BJ93" s="616"/>
      <c r="BK93" s="615">
        <f t="shared" si="85"/>
        <v>0</v>
      </c>
      <c r="BL93" s="616">
        <f t="shared" si="86"/>
        <v>0</v>
      </c>
      <c r="BM93" s="616">
        <f t="shared" si="87"/>
        <v>0</v>
      </c>
      <c r="BN93" s="616">
        <f t="shared" si="88"/>
        <v>0</v>
      </c>
      <c r="BO93" s="616">
        <f t="shared" si="89"/>
        <v>0</v>
      </c>
      <c r="BP93" s="616">
        <f t="shared" si="90"/>
        <v>0</v>
      </c>
      <c r="BQ93" s="616">
        <f t="shared" si="91"/>
        <v>0</v>
      </c>
      <c r="BR93" s="616">
        <f t="shared" si="92"/>
        <v>0</v>
      </c>
      <c r="BS93" s="304"/>
    </row>
    <row r="94" s="131" customFormat="1" ht="24" spans="1:71">
      <c r="A94" s="497" t="s">
        <v>202</v>
      </c>
      <c r="B94" s="497" t="s">
        <v>203</v>
      </c>
      <c r="C94" s="497" t="s">
        <v>325</v>
      </c>
      <c r="D94" s="497" t="s">
        <v>321</v>
      </c>
      <c r="E94" s="617">
        <f t="shared" si="51"/>
        <v>0</v>
      </c>
      <c r="F94" s="617">
        <f t="shared" si="52"/>
        <v>0</v>
      </c>
      <c r="G94" s="618"/>
      <c r="H94" s="618"/>
      <c r="I94" s="618"/>
      <c r="J94" s="618"/>
      <c r="K94" s="618"/>
      <c r="L94" s="618"/>
      <c r="M94" s="617">
        <f t="shared" si="53"/>
        <v>0</v>
      </c>
      <c r="N94" s="618"/>
      <c r="O94" s="618"/>
      <c r="P94" s="618"/>
      <c r="Q94" s="618"/>
      <c r="R94" s="618"/>
      <c r="S94" s="615">
        <f t="shared" si="61"/>
        <v>0</v>
      </c>
      <c r="T94" s="615">
        <f t="shared" si="62"/>
        <v>0</v>
      </c>
      <c r="U94" s="616"/>
      <c r="V94" s="616"/>
      <c r="W94" s="616"/>
      <c r="X94" s="616"/>
      <c r="Y94" s="616"/>
      <c r="Z94" s="616"/>
      <c r="AA94" s="615">
        <f t="shared" si="63"/>
        <v>0</v>
      </c>
      <c r="AB94" s="616"/>
      <c r="AC94" s="616"/>
      <c r="AD94" s="616"/>
      <c r="AE94" s="616"/>
      <c r="AF94" s="616"/>
      <c r="AG94" s="615">
        <f t="shared" si="64"/>
        <v>0</v>
      </c>
      <c r="AH94" s="615">
        <f t="shared" si="65"/>
        <v>0</v>
      </c>
      <c r="AI94" s="616">
        <f t="shared" si="66"/>
        <v>0</v>
      </c>
      <c r="AJ94" s="616">
        <f t="shared" si="67"/>
        <v>0</v>
      </c>
      <c r="AK94" s="616">
        <f t="shared" si="68"/>
        <v>0</v>
      </c>
      <c r="AL94" s="616">
        <f t="shared" si="69"/>
        <v>0</v>
      </c>
      <c r="AM94" s="616">
        <f t="shared" si="70"/>
        <v>0</v>
      </c>
      <c r="AN94" s="616">
        <f t="shared" si="71"/>
        <v>0</v>
      </c>
      <c r="AO94" s="615">
        <f t="shared" si="72"/>
        <v>0</v>
      </c>
      <c r="AP94" s="616">
        <f t="shared" si="73"/>
        <v>0</v>
      </c>
      <c r="AQ94" s="616">
        <f t="shared" si="74"/>
        <v>0</v>
      </c>
      <c r="AR94" s="616">
        <f t="shared" si="75"/>
        <v>0</v>
      </c>
      <c r="AS94" s="616">
        <f t="shared" si="76"/>
        <v>0</v>
      </c>
      <c r="AT94" s="637">
        <f t="shared" si="77"/>
        <v>0</v>
      </c>
      <c r="AU94" s="639">
        <f t="shared" si="54"/>
        <v>0</v>
      </c>
      <c r="AV94" s="618">
        <f t="shared" si="55"/>
        <v>0</v>
      </c>
      <c r="AW94" s="618">
        <f t="shared" si="56"/>
        <v>0</v>
      </c>
      <c r="AX94" s="618">
        <f t="shared" si="57"/>
        <v>0</v>
      </c>
      <c r="AY94" s="618">
        <f t="shared" si="58"/>
        <v>0</v>
      </c>
      <c r="AZ94" s="618">
        <f t="shared" si="59"/>
        <v>0</v>
      </c>
      <c r="BA94" s="618">
        <f t="shared" si="60"/>
        <v>0</v>
      </c>
      <c r="BB94" s="618"/>
      <c r="BC94" s="615">
        <f t="shared" si="78"/>
        <v>0</v>
      </c>
      <c r="BD94" s="616">
        <f t="shared" si="79"/>
        <v>0</v>
      </c>
      <c r="BE94" s="616">
        <f t="shared" si="80"/>
        <v>0</v>
      </c>
      <c r="BF94" s="616">
        <f t="shared" si="81"/>
        <v>0</v>
      </c>
      <c r="BG94" s="616">
        <f t="shared" si="82"/>
        <v>0</v>
      </c>
      <c r="BH94" s="616">
        <f t="shared" si="83"/>
        <v>0</v>
      </c>
      <c r="BI94" s="616">
        <f t="shared" si="84"/>
        <v>0</v>
      </c>
      <c r="BJ94" s="616"/>
      <c r="BK94" s="615">
        <f t="shared" si="85"/>
        <v>0</v>
      </c>
      <c r="BL94" s="616">
        <f t="shared" si="86"/>
        <v>0</v>
      </c>
      <c r="BM94" s="616">
        <f t="shared" si="87"/>
        <v>0</v>
      </c>
      <c r="BN94" s="616">
        <f t="shared" si="88"/>
        <v>0</v>
      </c>
      <c r="BO94" s="616">
        <f t="shared" si="89"/>
        <v>0</v>
      </c>
      <c r="BP94" s="616">
        <f t="shared" si="90"/>
        <v>0</v>
      </c>
      <c r="BQ94" s="616">
        <f t="shared" si="91"/>
        <v>0</v>
      </c>
      <c r="BR94" s="616">
        <f t="shared" si="92"/>
        <v>0</v>
      </c>
      <c r="BS94" s="304"/>
    </row>
    <row r="95" s="131" customFormat="1" ht="24" spans="1:71">
      <c r="A95" s="497" t="s">
        <v>215</v>
      </c>
      <c r="B95" s="497" t="s">
        <v>203</v>
      </c>
      <c r="C95" s="497" t="s">
        <v>326</v>
      </c>
      <c r="D95" s="497" t="s">
        <v>321</v>
      </c>
      <c r="E95" s="617">
        <f t="shared" si="51"/>
        <v>0</v>
      </c>
      <c r="F95" s="617">
        <f t="shared" si="52"/>
        <v>0</v>
      </c>
      <c r="G95" s="618"/>
      <c r="H95" s="618"/>
      <c r="I95" s="618"/>
      <c r="J95" s="618"/>
      <c r="K95" s="618"/>
      <c r="L95" s="618"/>
      <c r="M95" s="617">
        <f t="shared" si="53"/>
        <v>0</v>
      </c>
      <c r="N95" s="618"/>
      <c r="O95" s="618"/>
      <c r="P95" s="618"/>
      <c r="Q95" s="618"/>
      <c r="R95" s="618"/>
      <c r="S95" s="615">
        <f t="shared" si="61"/>
        <v>0</v>
      </c>
      <c r="T95" s="615">
        <f t="shared" si="62"/>
        <v>0</v>
      </c>
      <c r="U95" s="616"/>
      <c r="V95" s="616"/>
      <c r="W95" s="616"/>
      <c r="X95" s="616"/>
      <c r="Y95" s="616"/>
      <c r="Z95" s="616"/>
      <c r="AA95" s="615">
        <f t="shared" si="63"/>
        <v>0</v>
      </c>
      <c r="AB95" s="616"/>
      <c r="AC95" s="616"/>
      <c r="AD95" s="616"/>
      <c r="AE95" s="616"/>
      <c r="AF95" s="616"/>
      <c r="AG95" s="615">
        <f t="shared" si="64"/>
        <v>0</v>
      </c>
      <c r="AH95" s="615">
        <f t="shared" si="65"/>
        <v>0</v>
      </c>
      <c r="AI95" s="616">
        <f t="shared" si="66"/>
        <v>0</v>
      </c>
      <c r="AJ95" s="616">
        <f t="shared" si="67"/>
        <v>0</v>
      </c>
      <c r="AK95" s="616">
        <f t="shared" si="68"/>
        <v>0</v>
      </c>
      <c r="AL95" s="616">
        <f t="shared" si="69"/>
        <v>0</v>
      </c>
      <c r="AM95" s="616">
        <f t="shared" si="70"/>
        <v>0</v>
      </c>
      <c r="AN95" s="616">
        <f t="shared" si="71"/>
        <v>0</v>
      </c>
      <c r="AO95" s="615">
        <f t="shared" si="72"/>
        <v>0</v>
      </c>
      <c r="AP95" s="616">
        <f t="shared" si="73"/>
        <v>0</v>
      </c>
      <c r="AQ95" s="616">
        <f t="shared" si="74"/>
        <v>0</v>
      </c>
      <c r="AR95" s="616">
        <f t="shared" si="75"/>
        <v>0</v>
      </c>
      <c r="AS95" s="616">
        <f t="shared" si="76"/>
        <v>0</v>
      </c>
      <c r="AT95" s="637">
        <f t="shared" si="77"/>
        <v>0</v>
      </c>
      <c r="AU95" s="639">
        <f t="shared" si="54"/>
        <v>0</v>
      </c>
      <c r="AV95" s="618">
        <f t="shared" si="55"/>
        <v>0</v>
      </c>
      <c r="AW95" s="618">
        <f t="shared" si="56"/>
        <v>0</v>
      </c>
      <c r="AX95" s="618">
        <f t="shared" si="57"/>
        <v>0</v>
      </c>
      <c r="AY95" s="618">
        <f t="shared" si="58"/>
        <v>0</v>
      </c>
      <c r="AZ95" s="618">
        <f t="shared" si="59"/>
        <v>0</v>
      </c>
      <c r="BA95" s="618">
        <f t="shared" si="60"/>
        <v>0</v>
      </c>
      <c r="BB95" s="618"/>
      <c r="BC95" s="615">
        <f t="shared" si="78"/>
        <v>0</v>
      </c>
      <c r="BD95" s="616">
        <f t="shared" si="79"/>
        <v>0</v>
      </c>
      <c r="BE95" s="616">
        <f t="shared" si="80"/>
        <v>0</v>
      </c>
      <c r="BF95" s="616">
        <f t="shared" si="81"/>
        <v>0</v>
      </c>
      <c r="BG95" s="616">
        <f t="shared" si="82"/>
        <v>0</v>
      </c>
      <c r="BH95" s="616">
        <f t="shared" si="83"/>
        <v>0</v>
      </c>
      <c r="BI95" s="616">
        <f t="shared" si="84"/>
        <v>0</v>
      </c>
      <c r="BJ95" s="616"/>
      <c r="BK95" s="615">
        <f t="shared" si="85"/>
        <v>0</v>
      </c>
      <c r="BL95" s="616">
        <f t="shared" si="86"/>
        <v>0</v>
      </c>
      <c r="BM95" s="616">
        <f t="shared" si="87"/>
        <v>0</v>
      </c>
      <c r="BN95" s="616">
        <f t="shared" si="88"/>
        <v>0</v>
      </c>
      <c r="BO95" s="616">
        <f t="shared" si="89"/>
        <v>0</v>
      </c>
      <c r="BP95" s="616">
        <f t="shared" si="90"/>
        <v>0</v>
      </c>
      <c r="BQ95" s="616">
        <f t="shared" si="91"/>
        <v>0</v>
      </c>
      <c r="BR95" s="616">
        <f t="shared" si="92"/>
        <v>0</v>
      </c>
      <c r="BS95" s="304"/>
    </row>
    <row r="96" s="131" customFormat="1" ht="24" spans="1:71">
      <c r="A96" s="497" t="s">
        <v>202</v>
      </c>
      <c r="B96" s="497" t="s">
        <v>206</v>
      </c>
      <c r="C96" s="497" t="s">
        <v>327</v>
      </c>
      <c r="D96" s="497" t="s">
        <v>328</v>
      </c>
      <c r="E96" s="617">
        <f t="shared" si="51"/>
        <v>24.82</v>
      </c>
      <c r="F96" s="617">
        <f t="shared" si="52"/>
        <v>20.64</v>
      </c>
      <c r="G96" s="618">
        <v>11.83</v>
      </c>
      <c r="H96" s="618">
        <v>0.02</v>
      </c>
      <c r="I96" s="618">
        <v>4.46</v>
      </c>
      <c r="J96" s="618"/>
      <c r="K96" s="618"/>
      <c r="L96" s="618">
        <v>4.33</v>
      </c>
      <c r="M96" s="617">
        <f t="shared" si="53"/>
        <v>4.18</v>
      </c>
      <c r="N96" s="618">
        <v>2.68</v>
      </c>
      <c r="O96" s="618"/>
      <c r="P96" s="618"/>
      <c r="Q96" s="618"/>
      <c r="R96" s="618">
        <v>1.5</v>
      </c>
      <c r="S96" s="615">
        <f t="shared" si="61"/>
        <v>-2.45</v>
      </c>
      <c r="T96" s="615">
        <f t="shared" si="62"/>
        <v>-2.07</v>
      </c>
      <c r="U96" s="616">
        <v>-1.05</v>
      </c>
      <c r="V96" s="616"/>
      <c r="W96" s="616">
        <v>-0.57</v>
      </c>
      <c r="X96" s="616"/>
      <c r="Y96" s="616"/>
      <c r="Z96" s="616">
        <v>-0.45</v>
      </c>
      <c r="AA96" s="615">
        <f t="shared" si="63"/>
        <v>-0.38</v>
      </c>
      <c r="AB96" s="616">
        <v>-0.34</v>
      </c>
      <c r="AC96" s="616"/>
      <c r="AD96" s="616"/>
      <c r="AE96" s="616"/>
      <c r="AF96" s="616">
        <v>-0.04</v>
      </c>
      <c r="AG96" s="615">
        <f t="shared" si="64"/>
        <v>22.37</v>
      </c>
      <c r="AH96" s="615">
        <f t="shared" si="65"/>
        <v>18.57</v>
      </c>
      <c r="AI96" s="616">
        <f t="shared" si="66"/>
        <v>10.78</v>
      </c>
      <c r="AJ96" s="616">
        <f t="shared" si="67"/>
        <v>0.02</v>
      </c>
      <c r="AK96" s="616">
        <f t="shared" si="68"/>
        <v>3.89</v>
      </c>
      <c r="AL96" s="616">
        <f t="shared" si="69"/>
        <v>0</v>
      </c>
      <c r="AM96" s="616">
        <f t="shared" si="70"/>
        <v>0</v>
      </c>
      <c r="AN96" s="616">
        <f t="shared" si="71"/>
        <v>3.88</v>
      </c>
      <c r="AO96" s="615">
        <f t="shared" si="72"/>
        <v>3.8</v>
      </c>
      <c r="AP96" s="616">
        <f t="shared" si="73"/>
        <v>2.34</v>
      </c>
      <c r="AQ96" s="616">
        <f t="shared" si="74"/>
        <v>0</v>
      </c>
      <c r="AR96" s="616">
        <f t="shared" si="75"/>
        <v>0</v>
      </c>
      <c r="AS96" s="616">
        <f t="shared" si="76"/>
        <v>0</v>
      </c>
      <c r="AT96" s="637">
        <f t="shared" si="77"/>
        <v>1.46</v>
      </c>
      <c r="AU96" s="639">
        <f t="shared" si="54"/>
        <v>8.12772</v>
      </c>
      <c r="AV96" s="618">
        <f t="shared" si="55"/>
        <v>3.0384</v>
      </c>
      <c r="AW96" s="618">
        <f t="shared" si="56"/>
        <v>1.5192</v>
      </c>
      <c r="AX96" s="618">
        <f t="shared" si="57"/>
        <v>1.1394</v>
      </c>
      <c r="AY96" s="618">
        <f t="shared" si="58"/>
        <v>0.03798</v>
      </c>
      <c r="AZ96" s="618">
        <f t="shared" si="59"/>
        <v>0.11394</v>
      </c>
      <c r="BA96" s="618">
        <f t="shared" si="60"/>
        <v>2.2788</v>
      </c>
      <c r="BB96" s="618"/>
      <c r="BC96" s="615">
        <f t="shared" si="78"/>
        <v>-0.83888</v>
      </c>
      <c r="BD96" s="616">
        <f t="shared" si="79"/>
        <v>-0.3136</v>
      </c>
      <c r="BE96" s="616">
        <f t="shared" si="80"/>
        <v>-0.1568</v>
      </c>
      <c r="BF96" s="616">
        <f t="shared" si="81"/>
        <v>-0.1176</v>
      </c>
      <c r="BG96" s="616">
        <f t="shared" si="82"/>
        <v>-0.00392</v>
      </c>
      <c r="BH96" s="616">
        <f t="shared" si="83"/>
        <v>-0.01176</v>
      </c>
      <c r="BI96" s="616">
        <f t="shared" si="84"/>
        <v>-0.2352</v>
      </c>
      <c r="BJ96" s="616"/>
      <c r="BK96" s="615">
        <f t="shared" si="85"/>
        <v>7.28884</v>
      </c>
      <c r="BL96" s="616">
        <f t="shared" si="86"/>
        <v>2.7248</v>
      </c>
      <c r="BM96" s="616">
        <f t="shared" si="87"/>
        <v>1.3624</v>
      </c>
      <c r="BN96" s="616">
        <f t="shared" si="88"/>
        <v>1.0218</v>
      </c>
      <c r="BO96" s="616">
        <f t="shared" si="89"/>
        <v>0.03406</v>
      </c>
      <c r="BP96" s="616">
        <f t="shared" si="90"/>
        <v>0.10218</v>
      </c>
      <c r="BQ96" s="616">
        <f t="shared" si="91"/>
        <v>2.0436</v>
      </c>
      <c r="BR96" s="616">
        <f t="shared" si="92"/>
        <v>0</v>
      </c>
      <c r="BS96" s="304"/>
    </row>
    <row r="97" s="131" customFormat="1" ht="24" spans="1:71">
      <c r="A97" s="497" t="s">
        <v>202</v>
      </c>
      <c r="B97" s="497" t="s">
        <v>206</v>
      </c>
      <c r="C97" s="497" t="s">
        <v>329</v>
      </c>
      <c r="D97" s="497" t="s">
        <v>328</v>
      </c>
      <c r="E97" s="617">
        <f t="shared" si="51"/>
        <v>23.51</v>
      </c>
      <c r="F97" s="617">
        <f t="shared" si="52"/>
        <v>19.45</v>
      </c>
      <c r="G97" s="618">
        <v>11.11</v>
      </c>
      <c r="H97" s="618"/>
      <c r="I97" s="618">
        <v>4.27</v>
      </c>
      <c r="J97" s="618"/>
      <c r="K97" s="618"/>
      <c r="L97" s="618">
        <v>4.07</v>
      </c>
      <c r="M97" s="617">
        <f t="shared" si="53"/>
        <v>4.06</v>
      </c>
      <c r="N97" s="618">
        <v>2.56</v>
      </c>
      <c r="O97" s="618"/>
      <c r="P97" s="618"/>
      <c r="Q97" s="618"/>
      <c r="R97" s="618">
        <v>1.5</v>
      </c>
      <c r="S97" s="615">
        <f t="shared" si="61"/>
        <v>1.29</v>
      </c>
      <c r="T97" s="615">
        <f t="shared" si="62"/>
        <v>1.08</v>
      </c>
      <c r="U97" s="616">
        <v>0.69</v>
      </c>
      <c r="V97" s="616"/>
      <c r="W97" s="616">
        <v>0.09</v>
      </c>
      <c r="X97" s="616"/>
      <c r="Y97" s="616"/>
      <c r="Z97" s="616">
        <v>0.3</v>
      </c>
      <c r="AA97" s="615">
        <f t="shared" si="63"/>
        <v>0.21</v>
      </c>
      <c r="AB97" s="616">
        <v>0.06</v>
      </c>
      <c r="AC97" s="616"/>
      <c r="AD97" s="616"/>
      <c r="AE97" s="616">
        <v>0.15</v>
      </c>
      <c r="AF97" s="616"/>
      <c r="AG97" s="615">
        <f t="shared" si="64"/>
        <v>24.8</v>
      </c>
      <c r="AH97" s="615">
        <f t="shared" si="65"/>
        <v>20.53</v>
      </c>
      <c r="AI97" s="616">
        <f t="shared" si="66"/>
        <v>11.8</v>
      </c>
      <c r="AJ97" s="616">
        <f t="shared" si="67"/>
        <v>0</v>
      </c>
      <c r="AK97" s="616">
        <f t="shared" si="68"/>
        <v>4.36</v>
      </c>
      <c r="AL97" s="616">
        <f t="shared" si="69"/>
        <v>0</v>
      </c>
      <c r="AM97" s="616">
        <f t="shared" si="70"/>
        <v>0</v>
      </c>
      <c r="AN97" s="616">
        <f t="shared" si="71"/>
        <v>4.37</v>
      </c>
      <c r="AO97" s="615">
        <f t="shared" si="72"/>
        <v>4.27</v>
      </c>
      <c r="AP97" s="616">
        <f t="shared" si="73"/>
        <v>2.62</v>
      </c>
      <c r="AQ97" s="616">
        <f t="shared" si="74"/>
        <v>0</v>
      </c>
      <c r="AR97" s="616">
        <f t="shared" si="75"/>
        <v>0</v>
      </c>
      <c r="AS97" s="616">
        <f t="shared" si="76"/>
        <v>0.15</v>
      </c>
      <c r="AT97" s="637">
        <f t="shared" si="77"/>
        <v>1.5</v>
      </c>
      <c r="AU97" s="639">
        <f t="shared" si="54"/>
        <v>7.67832</v>
      </c>
      <c r="AV97" s="618">
        <f t="shared" si="55"/>
        <v>2.8704</v>
      </c>
      <c r="AW97" s="618">
        <f t="shared" si="56"/>
        <v>1.4352</v>
      </c>
      <c r="AX97" s="618">
        <f t="shared" si="57"/>
        <v>1.0764</v>
      </c>
      <c r="AY97" s="618">
        <f t="shared" si="58"/>
        <v>0.03588</v>
      </c>
      <c r="AZ97" s="618">
        <f t="shared" si="59"/>
        <v>0.10764</v>
      </c>
      <c r="BA97" s="618">
        <f t="shared" si="60"/>
        <v>2.1528</v>
      </c>
      <c r="BB97" s="618"/>
      <c r="BC97" s="615">
        <f t="shared" si="78"/>
        <v>0.35952</v>
      </c>
      <c r="BD97" s="616">
        <f t="shared" si="79"/>
        <v>0.1344</v>
      </c>
      <c r="BE97" s="616">
        <f t="shared" si="80"/>
        <v>0.0672</v>
      </c>
      <c r="BF97" s="616">
        <f t="shared" si="81"/>
        <v>0.0504</v>
      </c>
      <c r="BG97" s="616">
        <f t="shared" si="82"/>
        <v>0.00168</v>
      </c>
      <c r="BH97" s="616">
        <f t="shared" si="83"/>
        <v>0.00504</v>
      </c>
      <c r="BI97" s="616">
        <f t="shared" si="84"/>
        <v>0.1008</v>
      </c>
      <c r="BJ97" s="616"/>
      <c r="BK97" s="615">
        <f t="shared" si="85"/>
        <v>8.03784</v>
      </c>
      <c r="BL97" s="616">
        <f t="shared" si="86"/>
        <v>3.0048</v>
      </c>
      <c r="BM97" s="616">
        <f t="shared" si="87"/>
        <v>1.5024</v>
      </c>
      <c r="BN97" s="616">
        <f t="shared" si="88"/>
        <v>1.1268</v>
      </c>
      <c r="BO97" s="616">
        <f t="shared" si="89"/>
        <v>0.03756</v>
      </c>
      <c r="BP97" s="616">
        <f t="shared" si="90"/>
        <v>0.11268</v>
      </c>
      <c r="BQ97" s="616">
        <f t="shared" si="91"/>
        <v>2.2536</v>
      </c>
      <c r="BR97" s="616">
        <f t="shared" si="92"/>
        <v>0</v>
      </c>
      <c r="BS97" s="304"/>
    </row>
    <row r="98" s="131" customFormat="1" ht="24" spans="1:71">
      <c r="A98" s="497" t="s">
        <v>202</v>
      </c>
      <c r="B98" s="497" t="s">
        <v>206</v>
      </c>
      <c r="C98" s="497" t="s">
        <v>330</v>
      </c>
      <c r="D98" s="497" t="s">
        <v>328</v>
      </c>
      <c r="E98" s="617">
        <f t="shared" si="51"/>
        <v>25.2</v>
      </c>
      <c r="F98" s="617">
        <f t="shared" si="52"/>
        <v>21.14</v>
      </c>
      <c r="G98" s="618">
        <v>12.71</v>
      </c>
      <c r="H98" s="618"/>
      <c r="I98" s="618">
        <v>4.27</v>
      </c>
      <c r="J98" s="618"/>
      <c r="K98" s="618"/>
      <c r="L98" s="618">
        <v>4.16</v>
      </c>
      <c r="M98" s="617">
        <f t="shared" si="53"/>
        <v>4.06</v>
      </c>
      <c r="N98" s="618">
        <v>2.56</v>
      </c>
      <c r="O98" s="618"/>
      <c r="P98" s="618"/>
      <c r="Q98" s="618"/>
      <c r="R98" s="618">
        <v>1.5</v>
      </c>
      <c r="S98" s="615">
        <f t="shared" si="61"/>
        <v>0.75</v>
      </c>
      <c r="T98" s="615">
        <f t="shared" si="62"/>
        <v>0.72</v>
      </c>
      <c r="U98" s="616">
        <v>0.52</v>
      </c>
      <c r="V98" s="616"/>
      <c r="W98" s="616">
        <v>0.05</v>
      </c>
      <c r="X98" s="616"/>
      <c r="Y98" s="616"/>
      <c r="Z98" s="616">
        <v>0.15</v>
      </c>
      <c r="AA98" s="615">
        <f t="shared" si="63"/>
        <v>0.03</v>
      </c>
      <c r="AB98" s="616">
        <v>0.03</v>
      </c>
      <c r="AC98" s="616"/>
      <c r="AD98" s="616"/>
      <c r="AE98" s="616"/>
      <c r="AF98" s="616"/>
      <c r="AG98" s="615">
        <f t="shared" si="64"/>
        <v>25.95</v>
      </c>
      <c r="AH98" s="615">
        <f t="shared" si="65"/>
        <v>21.86</v>
      </c>
      <c r="AI98" s="616">
        <f t="shared" si="66"/>
        <v>13.23</v>
      </c>
      <c r="AJ98" s="616">
        <f t="shared" si="67"/>
        <v>0</v>
      </c>
      <c r="AK98" s="616">
        <f t="shared" si="68"/>
        <v>4.32</v>
      </c>
      <c r="AL98" s="616">
        <f t="shared" si="69"/>
        <v>0</v>
      </c>
      <c r="AM98" s="616">
        <f t="shared" si="70"/>
        <v>0</v>
      </c>
      <c r="AN98" s="616">
        <f t="shared" si="71"/>
        <v>4.31</v>
      </c>
      <c r="AO98" s="615">
        <f t="shared" si="72"/>
        <v>4.09</v>
      </c>
      <c r="AP98" s="616">
        <f t="shared" si="73"/>
        <v>2.59</v>
      </c>
      <c r="AQ98" s="616">
        <f t="shared" si="74"/>
        <v>0</v>
      </c>
      <c r="AR98" s="616">
        <f t="shared" si="75"/>
        <v>0</v>
      </c>
      <c r="AS98" s="616">
        <f t="shared" si="76"/>
        <v>0</v>
      </c>
      <c r="AT98" s="637">
        <f t="shared" si="77"/>
        <v>1.5</v>
      </c>
      <c r="AU98" s="639">
        <f t="shared" si="54"/>
        <v>8.36312</v>
      </c>
      <c r="AV98" s="618">
        <f t="shared" si="55"/>
        <v>3.1264</v>
      </c>
      <c r="AW98" s="618">
        <f t="shared" si="56"/>
        <v>1.5632</v>
      </c>
      <c r="AX98" s="618">
        <f t="shared" si="57"/>
        <v>1.1724</v>
      </c>
      <c r="AY98" s="618">
        <f t="shared" si="58"/>
        <v>0.03908</v>
      </c>
      <c r="AZ98" s="618">
        <f t="shared" si="59"/>
        <v>0.11724</v>
      </c>
      <c r="BA98" s="618">
        <f t="shared" si="60"/>
        <v>2.3448</v>
      </c>
      <c r="BB98" s="618"/>
      <c r="BC98" s="615">
        <f t="shared" si="78"/>
        <v>0.2568</v>
      </c>
      <c r="BD98" s="616">
        <f t="shared" si="79"/>
        <v>0.096</v>
      </c>
      <c r="BE98" s="616">
        <f t="shared" si="80"/>
        <v>0.048</v>
      </c>
      <c r="BF98" s="616">
        <f t="shared" si="81"/>
        <v>0.036</v>
      </c>
      <c r="BG98" s="616">
        <f t="shared" si="82"/>
        <v>0.0012</v>
      </c>
      <c r="BH98" s="616">
        <f t="shared" si="83"/>
        <v>0.0036</v>
      </c>
      <c r="BI98" s="616">
        <f t="shared" si="84"/>
        <v>0.072</v>
      </c>
      <c r="BJ98" s="616"/>
      <c r="BK98" s="615">
        <f t="shared" si="85"/>
        <v>8.61992</v>
      </c>
      <c r="BL98" s="616">
        <f t="shared" si="86"/>
        <v>3.2224</v>
      </c>
      <c r="BM98" s="616">
        <f t="shared" si="87"/>
        <v>1.6112</v>
      </c>
      <c r="BN98" s="616">
        <f t="shared" si="88"/>
        <v>1.2084</v>
      </c>
      <c r="BO98" s="616">
        <f t="shared" si="89"/>
        <v>0.04028</v>
      </c>
      <c r="BP98" s="616">
        <f t="shared" si="90"/>
        <v>0.12084</v>
      </c>
      <c r="BQ98" s="616">
        <f t="shared" si="91"/>
        <v>2.4168</v>
      </c>
      <c r="BR98" s="616">
        <f t="shared" si="92"/>
        <v>0</v>
      </c>
      <c r="BS98" s="304"/>
    </row>
    <row r="99" s="131" customFormat="1" ht="24" spans="1:71">
      <c r="A99" s="497" t="s">
        <v>215</v>
      </c>
      <c r="B99" s="497" t="s">
        <v>206</v>
      </c>
      <c r="C99" s="497" t="s">
        <v>331</v>
      </c>
      <c r="D99" s="497" t="s">
        <v>328</v>
      </c>
      <c r="E99" s="617">
        <f t="shared" si="51"/>
        <v>17.4548</v>
      </c>
      <c r="F99" s="617">
        <f t="shared" si="52"/>
        <v>14.7048</v>
      </c>
      <c r="G99" s="619">
        <v>8.88</v>
      </c>
      <c r="H99" s="619"/>
      <c r="I99" s="619">
        <v>2.9148</v>
      </c>
      <c r="J99" s="618"/>
      <c r="K99" s="618"/>
      <c r="L99" s="618">
        <v>2.91</v>
      </c>
      <c r="M99" s="617">
        <f t="shared" si="53"/>
        <v>2.75</v>
      </c>
      <c r="N99" s="618">
        <v>1.75</v>
      </c>
      <c r="O99" s="618"/>
      <c r="P99" s="618"/>
      <c r="Q99" s="618"/>
      <c r="R99" s="618">
        <v>1</v>
      </c>
      <c r="S99" s="615">
        <f t="shared" si="61"/>
        <v>0.37</v>
      </c>
      <c r="T99" s="615">
        <f t="shared" si="62"/>
        <v>0.22</v>
      </c>
      <c r="U99" s="616">
        <v>0.22</v>
      </c>
      <c r="V99" s="616"/>
      <c r="W99" s="616"/>
      <c r="X99" s="616"/>
      <c r="Y99" s="616"/>
      <c r="Z99" s="616"/>
      <c r="AA99" s="615">
        <f t="shared" si="63"/>
        <v>0.15</v>
      </c>
      <c r="AB99" s="616"/>
      <c r="AC99" s="616"/>
      <c r="AD99" s="616"/>
      <c r="AE99" s="616">
        <v>0.15</v>
      </c>
      <c r="AF99" s="616"/>
      <c r="AG99" s="615">
        <f t="shared" si="64"/>
        <v>17.8248</v>
      </c>
      <c r="AH99" s="615">
        <f t="shared" si="65"/>
        <v>14.9248</v>
      </c>
      <c r="AI99" s="616">
        <f t="shared" si="66"/>
        <v>9.1</v>
      </c>
      <c r="AJ99" s="616">
        <f t="shared" si="67"/>
        <v>0</v>
      </c>
      <c r="AK99" s="616">
        <f t="shared" si="68"/>
        <v>2.9148</v>
      </c>
      <c r="AL99" s="616">
        <f t="shared" si="69"/>
        <v>0</v>
      </c>
      <c r="AM99" s="616">
        <f t="shared" si="70"/>
        <v>0</v>
      </c>
      <c r="AN99" s="616">
        <f t="shared" si="71"/>
        <v>2.91</v>
      </c>
      <c r="AO99" s="615">
        <f t="shared" si="72"/>
        <v>2.9</v>
      </c>
      <c r="AP99" s="616">
        <f t="shared" si="73"/>
        <v>1.75</v>
      </c>
      <c r="AQ99" s="616">
        <f t="shared" si="74"/>
        <v>0</v>
      </c>
      <c r="AR99" s="616">
        <f t="shared" si="75"/>
        <v>0</v>
      </c>
      <c r="AS99" s="616">
        <f t="shared" si="76"/>
        <v>0.15</v>
      </c>
      <c r="AT99" s="637">
        <f t="shared" si="77"/>
        <v>1</v>
      </c>
      <c r="AU99" s="639">
        <f t="shared" si="54"/>
        <v>5.7971744</v>
      </c>
      <c r="AV99" s="618">
        <f t="shared" si="55"/>
        <v>2.167168</v>
      </c>
      <c r="AW99" s="618">
        <f t="shared" si="56"/>
        <v>1.083584</v>
      </c>
      <c r="AX99" s="618">
        <f t="shared" si="57"/>
        <v>0.812688</v>
      </c>
      <c r="AY99" s="618">
        <f t="shared" si="58"/>
        <v>0.0270896</v>
      </c>
      <c r="AZ99" s="618">
        <f t="shared" si="59"/>
        <v>0.0812688</v>
      </c>
      <c r="BA99" s="618">
        <f t="shared" si="60"/>
        <v>1.625376</v>
      </c>
      <c r="BB99" s="618"/>
      <c r="BC99" s="615">
        <f t="shared" si="78"/>
        <v>0.09416</v>
      </c>
      <c r="BD99" s="616">
        <f t="shared" si="79"/>
        <v>0.0352</v>
      </c>
      <c r="BE99" s="616">
        <f t="shared" si="80"/>
        <v>0.0176</v>
      </c>
      <c r="BF99" s="616">
        <f t="shared" si="81"/>
        <v>0.0132</v>
      </c>
      <c r="BG99" s="616">
        <f t="shared" si="82"/>
        <v>0.00044</v>
      </c>
      <c r="BH99" s="616">
        <f t="shared" si="83"/>
        <v>0.00132</v>
      </c>
      <c r="BI99" s="616">
        <f t="shared" si="84"/>
        <v>0.0264</v>
      </c>
      <c r="BJ99" s="616"/>
      <c r="BK99" s="615">
        <f t="shared" si="85"/>
        <v>5.8913344</v>
      </c>
      <c r="BL99" s="616">
        <f t="shared" si="86"/>
        <v>2.202368</v>
      </c>
      <c r="BM99" s="616">
        <f t="shared" si="87"/>
        <v>1.101184</v>
      </c>
      <c r="BN99" s="616">
        <f t="shared" si="88"/>
        <v>0.825888</v>
      </c>
      <c r="BO99" s="616">
        <f t="shared" si="89"/>
        <v>0.0275296</v>
      </c>
      <c r="BP99" s="616">
        <f t="shared" si="90"/>
        <v>0.0825888</v>
      </c>
      <c r="BQ99" s="616">
        <f t="shared" si="91"/>
        <v>1.651776</v>
      </c>
      <c r="BR99" s="616">
        <f t="shared" si="92"/>
        <v>0</v>
      </c>
      <c r="BS99" s="304" t="s">
        <v>655</v>
      </c>
    </row>
    <row r="100" s="131" customFormat="1" ht="24" spans="1:71">
      <c r="A100" s="497" t="s">
        <v>202</v>
      </c>
      <c r="B100" s="497" t="s">
        <v>203</v>
      </c>
      <c r="C100" s="497" t="s">
        <v>332</v>
      </c>
      <c r="D100" s="497" t="s">
        <v>333</v>
      </c>
      <c r="E100" s="617">
        <f t="shared" si="51"/>
        <v>0</v>
      </c>
      <c r="F100" s="617">
        <f t="shared" si="52"/>
        <v>0</v>
      </c>
      <c r="G100" s="618"/>
      <c r="H100" s="618"/>
      <c r="I100" s="618"/>
      <c r="J100" s="618"/>
      <c r="K100" s="618"/>
      <c r="L100" s="618"/>
      <c r="M100" s="617">
        <f t="shared" si="53"/>
        <v>0</v>
      </c>
      <c r="N100" s="618"/>
      <c r="O100" s="618"/>
      <c r="P100" s="618"/>
      <c r="Q100" s="618"/>
      <c r="R100" s="618"/>
      <c r="S100" s="615">
        <f t="shared" si="61"/>
        <v>0</v>
      </c>
      <c r="T100" s="615">
        <f t="shared" si="62"/>
        <v>0</v>
      </c>
      <c r="U100" s="616"/>
      <c r="V100" s="616"/>
      <c r="W100" s="616"/>
      <c r="X100" s="616"/>
      <c r="Y100" s="616"/>
      <c r="Z100" s="616"/>
      <c r="AA100" s="615">
        <f t="shared" si="63"/>
        <v>0</v>
      </c>
      <c r="AB100" s="616"/>
      <c r="AC100" s="616"/>
      <c r="AD100" s="616"/>
      <c r="AE100" s="616"/>
      <c r="AF100" s="616"/>
      <c r="AG100" s="615">
        <f t="shared" si="64"/>
        <v>0</v>
      </c>
      <c r="AH100" s="615">
        <f t="shared" si="65"/>
        <v>0</v>
      </c>
      <c r="AI100" s="616">
        <f t="shared" si="66"/>
        <v>0</v>
      </c>
      <c r="AJ100" s="616">
        <f t="shared" si="67"/>
        <v>0</v>
      </c>
      <c r="AK100" s="616">
        <f t="shared" si="68"/>
        <v>0</v>
      </c>
      <c r="AL100" s="616">
        <f t="shared" si="69"/>
        <v>0</v>
      </c>
      <c r="AM100" s="616">
        <f t="shared" si="70"/>
        <v>0</v>
      </c>
      <c r="AN100" s="616">
        <f t="shared" si="71"/>
        <v>0</v>
      </c>
      <c r="AO100" s="615">
        <f t="shared" si="72"/>
        <v>0</v>
      </c>
      <c r="AP100" s="616">
        <f t="shared" si="73"/>
        <v>0</v>
      </c>
      <c r="AQ100" s="616">
        <f t="shared" si="74"/>
        <v>0</v>
      </c>
      <c r="AR100" s="616">
        <f t="shared" si="75"/>
        <v>0</v>
      </c>
      <c r="AS100" s="616">
        <f t="shared" si="76"/>
        <v>0</v>
      </c>
      <c r="AT100" s="637">
        <f t="shared" si="77"/>
        <v>0</v>
      </c>
      <c r="AU100" s="639">
        <f t="shared" si="54"/>
        <v>0</v>
      </c>
      <c r="AV100" s="618">
        <f t="shared" si="55"/>
        <v>0</v>
      </c>
      <c r="AW100" s="618">
        <f t="shared" si="56"/>
        <v>0</v>
      </c>
      <c r="AX100" s="618">
        <f t="shared" si="57"/>
        <v>0</v>
      </c>
      <c r="AY100" s="618">
        <f t="shared" si="58"/>
        <v>0</v>
      </c>
      <c r="AZ100" s="618">
        <f t="shared" si="59"/>
        <v>0</v>
      </c>
      <c r="BA100" s="618">
        <f t="shared" si="60"/>
        <v>0</v>
      </c>
      <c r="BB100" s="618"/>
      <c r="BC100" s="615">
        <f t="shared" si="78"/>
        <v>0</v>
      </c>
      <c r="BD100" s="616">
        <f t="shared" si="79"/>
        <v>0</v>
      </c>
      <c r="BE100" s="616">
        <f t="shared" si="80"/>
        <v>0</v>
      </c>
      <c r="BF100" s="616">
        <f t="shared" si="81"/>
        <v>0</v>
      </c>
      <c r="BG100" s="616">
        <f t="shared" si="82"/>
        <v>0</v>
      </c>
      <c r="BH100" s="616">
        <f t="shared" si="83"/>
        <v>0</v>
      </c>
      <c r="BI100" s="616">
        <f t="shared" si="84"/>
        <v>0</v>
      </c>
      <c r="BJ100" s="616"/>
      <c r="BK100" s="615">
        <f t="shared" si="85"/>
        <v>0</v>
      </c>
      <c r="BL100" s="616">
        <f t="shared" si="86"/>
        <v>0</v>
      </c>
      <c r="BM100" s="616">
        <f t="shared" si="87"/>
        <v>0</v>
      </c>
      <c r="BN100" s="616">
        <f t="shared" si="88"/>
        <v>0</v>
      </c>
      <c r="BO100" s="616">
        <f t="shared" si="89"/>
        <v>0</v>
      </c>
      <c r="BP100" s="616">
        <f t="shared" si="90"/>
        <v>0</v>
      </c>
      <c r="BQ100" s="616">
        <f t="shared" si="91"/>
        <v>0</v>
      </c>
      <c r="BR100" s="616">
        <f t="shared" si="92"/>
        <v>0</v>
      </c>
      <c r="BS100" s="304"/>
    </row>
    <row r="101" s="131" customFormat="1" ht="24" spans="1:71">
      <c r="A101" s="497" t="s">
        <v>202</v>
      </c>
      <c r="B101" s="497" t="s">
        <v>203</v>
      </c>
      <c r="C101" s="497" t="s">
        <v>334</v>
      </c>
      <c r="D101" s="497" t="s">
        <v>333</v>
      </c>
      <c r="E101" s="617">
        <f t="shared" si="51"/>
        <v>0</v>
      </c>
      <c r="F101" s="617">
        <f t="shared" si="52"/>
        <v>0</v>
      </c>
      <c r="G101" s="618"/>
      <c r="H101" s="618"/>
      <c r="I101" s="618"/>
      <c r="J101" s="618"/>
      <c r="K101" s="618"/>
      <c r="L101" s="618"/>
      <c r="M101" s="617">
        <f t="shared" si="53"/>
        <v>0</v>
      </c>
      <c r="N101" s="618"/>
      <c r="O101" s="618"/>
      <c r="P101" s="618"/>
      <c r="Q101" s="618"/>
      <c r="R101" s="618"/>
      <c r="S101" s="615">
        <f t="shared" si="61"/>
        <v>0</v>
      </c>
      <c r="T101" s="615">
        <f t="shared" si="62"/>
        <v>0</v>
      </c>
      <c r="U101" s="616"/>
      <c r="V101" s="616"/>
      <c r="W101" s="616"/>
      <c r="X101" s="616"/>
      <c r="Y101" s="616"/>
      <c r="Z101" s="616"/>
      <c r="AA101" s="615">
        <f t="shared" si="63"/>
        <v>0</v>
      </c>
      <c r="AB101" s="616"/>
      <c r="AC101" s="616"/>
      <c r="AD101" s="616"/>
      <c r="AE101" s="616"/>
      <c r="AF101" s="616"/>
      <c r="AG101" s="615">
        <f t="shared" si="64"/>
        <v>0</v>
      </c>
      <c r="AH101" s="615">
        <f t="shared" si="65"/>
        <v>0</v>
      </c>
      <c r="AI101" s="616">
        <f t="shared" si="66"/>
        <v>0</v>
      </c>
      <c r="AJ101" s="616">
        <f t="shared" si="67"/>
        <v>0</v>
      </c>
      <c r="AK101" s="616">
        <f t="shared" si="68"/>
        <v>0</v>
      </c>
      <c r="AL101" s="616">
        <f t="shared" si="69"/>
        <v>0</v>
      </c>
      <c r="AM101" s="616">
        <f t="shared" si="70"/>
        <v>0</v>
      </c>
      <c r="AN101" s="616">
        <f t="shared" si="71"/>
        <v>0</v>
      </c>
      <c r="AO101" s="615">
        <f t="shared" si="72"/>
        <v>0</v>
      </c>
      <c r="AP101" s="616">
        <f t="shared" si="73"/>
        <v>0</v>
      </c>
      <c r="AQ101" s="616">
        <f t="shared" si="74"/>
        <v>0</v>
      </c>
      <c r="AR101" s="616">
        <f t="shared" si="75"/>
        <v>0</v>
      </c>
      <c r="AS101" s="616">
        <f t="shared" si="76"/>
        <v>0</v>
      </c>
      <c r="AT101" s="637">
        <f t="shared" si="77"/>
        <v>0</v>
      </c>
      <c r="AU101" s="639">
        <f t="shared" si="54"/>
        <v>0</v>
      </c>
      <c r="AV101" s="618">
        <f t="shared" si="55"/>
        <v>0</v>
      </c>
      <c r="AW101" s="618">
        <f t="shared" si="56"/>
        <v>0</v>
      </c>
      <c r="AX101" s="618">
        <f t="shared" si="57"/>
        <v>0</v>
      </c>
      <c r="AY101" s="618">
        <f t="shared" si="58"/>
        <v>0</v>
      </c>
      <c r="AZ101" s="618">
        <f t="shared" si="59"/>
        <v>0</v>
      </c>
      <c r="BA101" s="618">
        <f t="shared" si="60"/>
        <v>0</v>
      </c>
      <c r="BB101" s="618"/>
      <c r="BC101" s="615">
        <f t="shared" si="78"/>
        <v>0</v>
      </c>
      <c r="BD101" s="616">
        <f t="shared" si="79"/>
        <v>0</v>
      </c>
      <c r="BE101" s="616">
        <f t="shared" si="80"/>
        <v>0</v>
      </c>
      <c r="BF101" s="616">
        <f t="shared" si="81"/>
        <v>0</v>
      </c>
      <c r="BG101" s="616">
        <f t="shared" si="82"/>
        <v>0</v>
      </c>
      <c r="BH101" s="616">
        <f t="shared" si="83"/>
        <v>0</v>
      </c>
      <c r="BI101" s="616">
        <f t="shared" si="84"/>
        <v>0</v>
      </c>
      <c r="BJ101" s="616"/>
      <c r="BK101" s="615">
        <f t="shared" si="85"/>
        <v>0</v>
      </c>
      <c r="BL101" s="616">
        <f t="shared" si="86"/>
        <v>0</v>
      </c>
      <c r="BM101" s="616">
        <f t="shared" si="87"/>
        <v>0</v>
      </c>
      <c r="BN101" s="616">
        <f t="shared" si="88"/>
        <v>0</v>
      </c>
      <c r="BO101" s="616">
        <f t="shared" si="89"/>
        <v>0</v>
      </c>
      <c r="BP101" s="616">
        <f t="shared" si="90"/>
        <v>0</v>
      </c>
      <c r="BQ101" s="616">
        <f t="shared" si="91"/>
        <v>0</v>
      </c>
      <c r="BR101" s="616">
        <f t="shared" si="92"/>
        <v>0</v>
      </c>
      <c r="BS101" s="304"/>
    </row>
    <row r="102" s="131" customFormat="1" ht="24" spans="1:71">
      <c r="A102" s="497" t="s">
        <v>202</v>
      </c>
      <c r="B102" s="497" t="s">
        <v>203</v>
      </c>
      <c r="C102" s="497" t="s">
        <v>335</v>
      </c>
      <c r="D102" s="497" t="s">
        <v>333</v>
      </c>
      <c r="E102" s="617">
        <f t="shared" si="51"/>
        <v>0</v>
      </c>
      <c r="F102" s="617">
        <f t="shared" si="52"/>
        <v>0</v>
      </c>
      <c r="G102" s="618"/>
      <c r="H102" s="618"/>
      <c r="I102" s="618"/>
      <c r="J102" s="618"/>
      <c r="K102" s="618"/>
      <c r="L102" s="618"/>
      <c r="M102" s="617">
        <f t="shared" si="53"/>
        <v>0</v>
      </c>
      <c r="N102" s="618"/>
      <c r="O102" s="618"/>
      <c r="P102" s="618"/>
      <c r="Q102" s="618"/>
      <c r="R102" s="618"/>
      <c r="S102" s="615">
        <f t="shared" si="61"/>
        <v>0</v>
      </c>
      <c r="T102" s="615">
        <f t="shared" si="62"/>
        <v>0</v>
      </c>
      <c r="U102" s="616"/>
      <c r="V102" s="616"/>
      <c r="W102" s="616"/>
      <c r="X102" s="616"/>
      <c r="Y102" s="616"/>
      <c r="Z102" s="616"/>
      <c r="AA102" s="615">
        <f t="shared" si="63"/>
        <v>0</v>
      </c>
      <c r="AB102" s="616"/>
      <c r="AC102" s="616"/>
      <c r="AD102" s="616"/>
      <c r="AE102" s="616"/>
      <c r="AF102" s="616"/>
      <c r="AG102" s="615">
        <f t="shared" si="64"/>
        <v>0</v>
      </c>
      <c r="AH102" s="615">
        <f t="shared" si="65"/>
        <v>0</v>
      </c>
      <c r="AI102" s="616">
        <f t="shared" si="66"/>
        <v>0</v>
      </c>
      <c r="AJ102" s="616">
        <f t="shared" si="67"/>
        <v>0</v>
      </c>
      <c r="AK102" s="616">
        <f t="shared" si="68"/>
        <v>0</v>
      </c>
      <c r="AL102" s="616">
        <f t="shared" si="69"/>
        <v>0</v>
      </c>
      <c r="AM102" s="616">
        <f t="shared" si="70"/>
        <v>0</v>
      </c>
      <c r="AN102" s="616">
        <f t="shared" si="71"/>
        <v>0</v>
      </c>
      <c r="AO102" s="615">
        <f t="shared" si="72"/>
        <v>0</v>
      </c>
      <c r="AP102" s="616">
        <f t="shared" si="73"/>
        <v>0</v>
      </c>
      <c r="AQ102" s="616">
        <f t="shared" si="74"/>
        <v>0</v>
      </c>
      <c r="AR102" s="616">
        <f t="shared" si="75"/>
        <v>0</v>
      </c>
      <c r="AS102" s="616">
        <f t="shared" si="76"/>
        <v>0</v>
      </c>
      <c r="AT102" s="637">
        <f t="shared" si="77"/>
        <v>0</v>
      </c>
      <c r="AU102" s="639">
        <f t="shared" si="54"/>
        <v>0</v>
      </c>
      <c r="AV102" s="618">
        <f t="shared" si="55"/>
        <v>0</v>
      </c>
      <c r="AW102" s="618">
        <f t="shared" si="56"/>
        <v>0</v>
      </c>
      <c r="AX102" s="618">
        <f t="shared" si="57"/>
        <v>0</v>
      </c>
      <c r="AY102" s="618">
        <f t="shared" si="58"/>
        <v>0</v>
      </c>
      <c r="AZ102" s="618">
        <f t="shared" si="59"/>
        <v>0</v>
      </c>
      <c r="BA102" s="618">
        <f t="shared" si="60"/>
        <v>0</v>
      </c>
      <c r="BB102" s="618"/>
      <c r="BC102" s="615">
        <f t="shared" si="78"/>
        <v>0</v>
      </c>
      <c r="BD102" s="616">
        <f t="shared" si="79"/>
        <v>0</v>
      </c>
      <c r="BE102" s="616">
        <f t="shared" si="80"/>
        <v>0</v>
      </c>
      <c r="BF102" s="616">
        <f t="shared" si="81"/>
        <v>0</v>
      </c>
      <c r="BG102" s="616">
        <f t="shared" si="82"/>
        <v>0</v>
      </c>
      <c r="BH102" s="616">
        <f t="shared" si="83"/>
        <v>0</v>
      </c>
      <c r="BI102" s="616">
        <f t="shared" si="84"/>
        <v>0</v>
      </c>
      <c r="BJ102" s="616"/>
      <c r="BK102" s="615">
        <f t="shared" si="85"/>
        <v>0</v>
      </c>
      <c r="BL102" s="616">
        <f t="shared" si="86"/>
        <v>0</v>
      </c>
      <c r="BM102" s="616">
        <f t="shared" si="87"/>
        <v>0</v>
      </c>
      <c r="BN102" s="616">
        <f t="shared" si="88"/>
        <v>0</v>
      </c>
      <c r="BO102" s="616">
        <f t="shared" si="89"/>
        <v>0</v>
      </c>
      <c r="BP102" s="616">
        <f t="shared" si="90"/>
        <v>0</v>
      </c>
      <c r="BQ102" s="616">
        <f t="shared" si="91"/>
        <v>0</v>
      </c>
      <c r="BR102" s="616">
        <f t="shared" si="92"/>
        <v>0</v>
      </c>
      <c r="BS102" s="304"/>
    </row>
    <row r="103" s="131" customFormat="1" ht="24" spans="1:71">
      <c r="A103" s="497" t="s">
        <v>202</v>
      </c>
      <c r="B103" s="497" t="s">
        <v>206</v>
      </c>
      <c r="C103" s="497" t="s">
        <v>336</v>
      </c>
      <c r="D103" s="497" t="s">
        <v>337</v>
      </c>
      <c r="E103" s="617">
        <f t="shared" si="51"/>
        <v>12.33</v>
      </c>
      <c r="F103" s="617">
        <f t="shared" si="52"/>
        <v>10.17</v>
      </c>
      <c r="G103" s="618">
        <v>6.07</v>
      </c>
      <c r="H103" s="618"/>
      <c r="I103" s="618">
        <v>2.77</v>
      </c>
      <c r="J103" s="618"/>
      <c r="K103" s="618"/>
      <c r="L103" s="618">
        <v>1.33</v>
      </c>
      <c r="M103" s="617">
        <f t="shared" si="53"/>
        <v>2.16</v>
      </c>
      <c r="N103" s="618">
        <v>1.66</v>
      </c>
      <c r="O103" s="618"/>
      <c r="P103" s="618"/>
      <c r="Q103" s="618"/>
      <c r="R103" s="618">
        <v>0.5</v>
      </c>
      <c r="S103" s="615">
        <f t="shared" si="61"/>
        <v>11.08</v>
      </c>
      <c r="T103" s="615">
        <f t="shared" si="62"/>
        <v>9.26</v>
      </c>
      <c r="U103" s="616">
        <f>2.04+2.8</f>
        <v>4.84</v>
      </c>
      <c r="V103" s="616"/>
      <c r="W103" s="616">
        <f>0.88+1.32</f>
        <v>2.2</v>
      </c>
      <c r="X103" s="616"/>
      <c r="Y103" s="616"/>
      <c r="Z103" s="616">
        <v>2.22</v>
      </c>
      <c r="AA103" s="615">
        <f t="shared" si="63"/>
        <v>1.82</v>
      </c>
      <c r="AB103" s="616">
        <f>0.53+0.79</f>
        <v>1.32</v>
      </c>
      <c r="AC103" s="616"/>
      <c r="AD103" s="616"/>
      <c r="AE103" s="616"/>
      <c r="AF103" s="616">
        <v>0.5</v>
      </c>
      <c r="AG103" s="615">
        <f t="shared" si="64"/>
        <v>23.41</v>
      </c>
      <c r="AH103" s="615">
        <f t="shared" si="65"/>
        <v>19.43</v>
      </c>
      <c r="AI103" s="616">
        <f t="shared" si="66"/>
        <v>10.91</v>
      </c>
      <c r="AJ103" s="616">
        <f t="shared" si="67"/>
        <v>0</v>
      </c>
      <c r="AK103" s="616">
        <f t="shared" si="68"/>
        <v>4.97</v>
      </c>
      <c r="AL103" s="616">
        <f t="shared" si="69"/>
        <v>0</v>
      </c>
      <c r="AM103" s="616">
        <f t="shared" si="70"/>
        <v>0</v>
      </c>
      <c r="AN103" s="616">
        <f t="shared" si="71"/>
        <v>3.55</v>
      </c>
      <c r="AO103" s="615">
        <f t="shared" si="72"/>
        <v>3.98</v>
      </c>
      <c r="AP103" s="616">
        <f t="shared" si="73"/>
        <v>2.98</v>
      </c>
      <c r="AQ103" s="616">
        <f t="shared" si="74"/>
        <v>0</v>
      </c>
      <c r="AR103" s="616">
        <f t="shared" si="75"/>
        <v>0</v>
      </c>
      <c r="AS103" s="616">
        <f t="shared" si="76"/>
        <v>0</v>
      </c>
      <c r="AT103" s="637">
        <f t="shared" si="77"/>
        <v>1</v>
      </c>
      <c r="AU103" s="639">
        <f t="shared" si="54"/>
        <v>4.494</v>
      </c>
      <c r="AV103" s="618">
        <f t="shared" si="55"/>
        <v>1.68</v>
      </c>
      <c r="AW103" s="618">
        <f t="shared" si="56"/>
        <v>0.84</v>
      </c>
      <c r="AX103" s="618">
        <f t="shared" si="57"/>
        <v>0.63</v>
      </c>
      <c r="AY103" s="618">
        <f t="shared" si="58"/>
        <v>0.021</v>
      </c>
      <c r="AZ103" s="618">
        <f t="shared" si="59"/>
        <v>0.063</v>
      </c>
      <c r="BA103" s="618">
        <f t="shared" si="60"/>
        <v>1.26</v>
      </c>
      <c r="BB103" s="618"/>
      <c r="BC103" s="615">
        <f t="shared" si="78"/>
        <v>3.57808</v>
      </c>
      <c r="BD103" s="616">
        <f t="shared" si="79"/>
        <v>1.3376</v>
      </c>
      <c r="BE103" s="616">
        <f t="shared" si="80"/>
        <v>0.6688</v>
      </c>
      <c r="BF103" s="616">
        <f t="shared" si="81"/>
        <v>0.5016</v>
      </c>
      <c r="BG103" s="616">
        <f t="shared" si="82"/>
        <v>0.01672</v>
      </c>
      <c r="BH103" s="616">
        <f t="shared" si="83"/>
        <v>0.05016</v>
      </c>
      <c r="BI103" s="616">
        <f t="shared" si="84"/>
        <v>1.0032</v>
      </c>
      <c r="BJ103" s="616"/>
      <c r="BK103" s="615">
        <f t="shared" si="85"/>
        <v>8.07208</v>
      </c>
      <c r="BL103" s="616">
        <f t="shared" si="86"/>
        <v>3.0176</v>
      </c>
      <c r="BM103" s="616">
        <f t="shared" si="87"/>
        <v>1.5088</v>
      </c>
      <c r="BN103" s="616">
        <f t="shared" si="88"/>
        <v>1.1316</v>
      </c>
      <c r="BO103" s="616">
        <f t="shared" si="89"/>
        <v>0.03772</v>
      </c>
      <c r="BP103" s="616">
        <f t="shared" si="90"/>
        <v>0.11316</v>
      </c>
      <c r="BQ103" s="616">
        <f t="shared" si="91"/>
        <v>2.2632</v>
      </c>
      <c r="BR103" s="616">
        <f t="shared" si="92"/>
        <v>0</v>
      </c>
      <c r="BS103" s="304"/>
    </row>
    <row r="104" s="131" customFormat="1" ht="24" spans="1:71">
      <c r="A104" s="497" t="s">
        <v>202</v>
      </c>
      <c r="B104" s="497" t="s">
        <v>203</v>
      </c>
      <c r="C104" s="497" t="s">
        <v>338</v>
      </c>
      <c r="D104" s="497" t="s">
        <v>333</v>
      </c>
      <c r="E104" s="617">
        <f t="shared" si="51"/>
        <v>0</v>
      </c>
      <c r="F104" s="617">
        <f t="shared" si="52"/>
        <v>0</v>
      </c>
      <c r="G104" s="618"/>
      <c r="H104" s="618"/>
      <c r="I104" s="618"/>
      <c r="J104" s="618"/>
      <c r="K104" s="618"/>
      <c r="L104" s="618"/>
      <c r="M104" s="617">
        <f t="shared" si="53"/>
        <v>0</v>
      </c>
      <c r="N104" s="618"/>
      <c r="O104" s="618"/>
      <c r="P104" s="618"/>
      <c r="Q104" s="618"/>
      <c r="R104" s="618"/>
      <c r="S104" s="615">
        <f t="shared" si="61"/>
        <v>0</v>
      </c>
      <c r="T104" s="615">
        <f t="shared" si="62"/>
        <v>0</v>
      </c>
      <c r="U104" s="616"/>
      <c r="V104" s="616"/>
      <c r="W104" s="616"/>
      <c r="X104" s="616"/>
      <c r="Y104" s="616"/>
      <c r="Z104" s="616"/>
      <c r="AA104" s="615">
        <f t="shared" si="63"/>
        <v>0</v>
      </c>
      <c r="AB104" s="616"/>
      <c r="AC104" s="616"/>
      <c r="AD104" s="616"/>
      <c r="AE104" s="616"/>
      <c r="AF104" s="616"/>
      <c r="AG104" s="615">
        <f t="shared" si="64"/>
        <v>0</v>
      </c>
      <c r="AH104" s="615">
        <f t="shared" si="65"/>
        <v>0</v>
      </c>
      <c r="AI104" s="616">
        <f t="shared" si="66"/>
        <v>0</v>
      </c>
      <c r="AJ104" s="616">
        <f t="shared" si="67"/>
        <v>0</v>
      </c>
      <c r="AK104" s="616">
        <f t="shared" si="68"/>
        <v>0</v>
      </c>
      <c r="AL104" s="616">
        <f t="shared" si="69"/>
        <v>0</v>
      </c>
      <c r="AM104" s="616">
        <f t="shared" si="70"/>
        <v>0</v>
      </c>
      <c r="AN104" s="616">
        <f t="shared" si="71"/>
        <v>0</v>
      </c>
      <c r="AO104" s="615">
        <f t="shared" si="72"/>
        <v>0</v>
      </c>
      <c r="AP104" s="616">
        <f t="shared" si="73"/>
        <v>0</v>
      </c>
      <c r="AQ104" s="616">
        <f t="shared" si="74"/>
        <v>0</v>
      </c>
      <c r="AR104" s="616">
        <f t="shared" si="75"/>
        <v>0</v>
      </c>
      <c r="AS104" s="616">
        <f t="shared" si="76"/>
        <v>0</v>
      </c>
      <c r="AT104" s="637">
        <f t="shared" si="77"/>
        <v>0</v>
      </c>
      <c r="AU104" s="639">
        <f t="shared" si="54"/>
        <v>0</v>
      </c>
      <c r="AV104" s="618">
        <f t="shared" si="55"/>
        <v>0</v>
      </c>
      <c r="AW104" s="618">
        <f t="shared" si="56"/>
        <v>0</v>
      </c>
      <c r="AX104" s="618">
        <f t="shared" si="57"/>
        <v>0</v>
      </c>
      <c r="AY104" s="618">
        <f t="shared" si="58"/>
        <v>0</v>
      </c>
      <c r="AZ104" s="618">
        <f t="shared" si="59"/>
        <v>0</v>
      </c>
      <c r="BA104" s="618">
        <f t="shared" si="60"/>
        <v>0</v>
      </c>
      <c r="BB104" s="618"/>
      <c r="BC104" s="615">
        <f t="shared" si="78"/>
        <v>0</v>
      </c>
      <c r="BD104" s="616">
        <f t="shared" si="79"/>
        <v>0</v>
      </c>
      <c r="BE104" s="616">
        <f t="shared" si="80"/>
        <v>0</v>
      </c>
      <c r="BF104" s="616">
        <f t="shared" si="81"/>
        <v>0</v>
      </c>
      <c r="BG104" s="616">
        <f t="shared" si="82"/>
        <v>0</v>
      </c>
      <c r="BH104" s="616">
        <f t="shared" si="83"/>
        <v>0</v>
      </c>
      <c r="BI104" s="616">
        <f t="shared" si="84"/>
        <v>0</v>
      </c>
      <c r="BJ104" s="616"/>
      <c r="BK104" s="615">
        <f t="shared" si="85"/>
        <v>0</v>
      </c>
      <c r="BL104" s="616">
        <f t="shared" si="86"/>
        <v>0</v>
      </c>
      <c r="BM104" s="616">
        <f t="shared" si="87"/>
        <v>0</v>
      </c>
      <c r="BN104" s="616">
        <f t="shared" si="88"/>
        <v>0</v>
      </c>
      <c r="BO104" s="616">
        <f t="shared" si="89"/>
        <v>0</v>
      </c>
      <c r="BP104" s="616">
        <f t="shared" si="90"/>
        <v>0</v>
      </c>
      <c r="BQ104" s="616">
        <f t="shared" si="91"/>
        <v>0</v>
      </c>
      <c r="BR104" s="616">
        <f t="shared" si="92"/>
        <v>0</v>
      </c>
      <c r="BS104" s="304"/>
    </row>
    <row r="105" s="131" customFormat="1" ht="24" spans="1:71">
      <c r="A105" s="497" t="s">
        <v>202</v>
      </c>
      <c r="B105" s="497" t="s">
        <v>203</v>
      </c>
      <c r="C105" s="497" t="s">
        <v>339</v>
      </c>
      <c r="D105" s="497" t="s">
        <v>333</v>
      </c>
      <c r="E105" s="617">
        <f t="shared" si="51"/>
        <v>0</v>
      </c>
      <c r="F105" s="617">
        <f t="shared" si="52"/>
        <v>0</v>
      </c>
      <c r="G105" s="618"/>
      <c r="H105" s="618"/>
      <c r="I105" s="618"/>
      <c r="J105" s="618"/>
      <c r="K105" s="618"/>
      <c r="L105" s="618"/>
      <c r="M105" s="617">
        <f t="shared" si="53"/>
        <v>0</v>
      </c>
      <c r="N105" s="618"/>
      <c r="O105" s="618"/>
      <c r="P105" s="618"/>
      <c r="Q105" s="618"/>
      <c r="R105" s="618"/>
      <c r="S105" s="615">
        <f t="shared" si="61"/>
        <v>0</v>
      </c>
      <c r="T105" s="615">
        <f t="shared" si="62"/>
        <v>0</v>
      </c>
      <c r="U105" s="616"/>
      <c r="V105" s="616"/>
      <c r="W105" s="616"/>
      <c r="X105" s="616"/>
      <c r="Y105" s="616"/>
      <c r="Z105" s="616"/>
      <c r="AA105" s="615">
        <f t="shared" si="63"/>
        <v>0</v>
      </c>
      <c r="AB105" s="616"/>
      <c r="AC105" s="616"/>
      <c r="AD105" s="616"/>
      <c r="AE105" s="616"/>
      <c r="AF105" s="616"/>
      <c r="AG105" s="615">
        <f t="shared" si="64"/>
        <v>0</v>
      </c>
      <c r="AH105" s="615">
        <f t="shared" si="65"/>
        <v>0</v>
      </c>
      <c r="AI105" s="616">
        <f t="shared" si="66"/>
        <v>0</v>
      </c>
      <c r="AJ105" s="616">
        <f t="shared" si="67"/>
        <v>0</v>
      </c>
      <c r="AK105" s="616">
        <f t="shared" si="68"/>
        <v>0</v>
      </c>
      <c r="AL105" s="616">
        <f t="shared" si="69"/>
        <v>0</v>
      </c>
      <c r="AM105" s="616">
        <f t="shared" si="70"/>
        <v>0</v>
      </c>
      <c r="AN105" s="616">
        <f t="shared" si="71"/>
        <v>0</v>
      </c>
      <c r="AO105" s="615">
        <f t="shared" si="72"/>
        <v>0</v>
      </c>
      <c r="AP105" s="616">
        <f t="shared" si="73"/>
        <v>0</v>
      </c>
      <c r="AQ105" s="616">
        <f t="shared" si="74"/>
        <v>0</v>
      </c>
      <c r="AR105" s="616">
        <f t="shared" si="75"/>
        <v>0</v>
      </c>
      <c r="AS105" s="616">
        <f t="shared" si="76"/>
        <v>0</v>
      </c>
      <c r="AT105" s="637">
        <f t="shared" si="77"/>
        <v>0</v>
      </c>
      <c r="AU105" s="639">
        <f t="shared" si="54"/>
        <v>0</v>
      </c>
      <c r="AV105" s="618">
        <f t="shared" si="55"/>
        <v>0</v>
      </c>
      <c r="AW105" s="618">
        <f t="shared" si="56"/>
        <v>0</v>
      </c>
      <c r="AX105" s="618">
        <f t="shared" si="57"/>
        <v>0</v>
      </c>
      <c r="AY105" s="618">
        <f t="shared" si="58"/>
        <v>0</v>
      </c>
      <c r="AZ105" s="618">
        <f t="shared" si="59"/>
        <v>0</v>
      </c>
      <c r="BA105" s="618">
        <f t="shared" si="60"/>
        <v>0</v>
      </c>
      <c r="BB105" s="618"/>
      <c r="BC105" s="615">
        <f t="shared" si="78"/>
        <v>0</v>
      </c>
      <c r="BD105" s="616">
        <f t="shared" si="79"/>
        <v>0</v>
      </c>
      <c r="BE105" s="616">
        <f t="shared" si="80"/>
        <v>0</v>
      </c>
      <c r="BF105" s="616">
        <f t="shared" si="81"/>
        <v>0</v>
      </c>
      <c r="BG105" s="616">
        <f t="shared" si="82"/>
        <v>0</v>
      </c>
      <c r="BH105" s="616">
        <f t="shared" si="83"/>
        <v>0</v>
      </c>
      <c r="BI105" s="616">
        <f t="shared" si="84"/>
        <v>0</v>
      </c>
      <c r="BJ105" s="616"/>
      <c r="BK105" s="615">
        <f t="shared" si="85"/>
        <v>0</v>
      </c>
      <c r="BL105" s="616">
        <f t="shared" si="86"/>
        <v>0</v>
      </c>
      <c r="BM105" s="616">
        <f t="shared" si="87"/>
        <v>0</v>
      </c>
      <c r="BN105" s="616">
        <f t="shared" si="88"/>
        <v>0</v>
      </c>
      <c r="BO105" s="616">
        <f t="shared" si="89"/>
        <v>0</v>
      </c>
      <c r="BP105" s="616">
        <f t="shared" si="90"/>
        <v>0</v>
      </c>
      <c r="BQ105" s="616">
        <f t="shared" si="91"/>
        <v>0</v>
      </c>
      <c r="BR105" s="616">
        <f t="shared" si="92"/>
        <v>0</v>
      </c>
      <c r="BS105" s="304"/>
    </row>
    <row r="106" s="131" customFormat="1" ht="24" spans="1:71">
      <c r="A106" s="497" t="s">
        <v>202</v>
      </c>
      <c r="B106" s="497" t="s">
        <v>206</v>
      </c>
      <c r="C106" s="497" t="s">
        <v>340</v>
      </c>
      <c r="D106" s="497" t="s">
        <v>337</v>
      </c>
      <c r="E106" s="617">
        <f t="shared" si="51"/>
        <v>63.91</v>
      </c>
      <c r="F106" s="617">
        <f t="shared" si="52"/>
        <v>50.5</v>
      </c>
      <c r="G106" s="618">
        <v>19.18</v>
      </c>
      <c r="H106" s="618"/>
      <c r="I106" s="618">
        <v>8.19</v>
      </c>
      <c r="J106" s="618"/>
      <c r="K106" s="618"/>
      <c r="L106" s="618">
        <v>23.13</v>
      </c>
      <c r="M106" s="617">
        <f t="shared" si="53"/>
        <v>13.41</v>
      </c>
      <c r="N106" s="618">
        <v>4.91</v>
      </c>
      <c r="O106" s="618"/>
      <c r="P106" s="618"/>
      <c r="Q106" s="618"/>
      <c r="R106" s="618">
        <v>8.5</v>
      </c>
      <c r="S106" s="615">
        <f t="shared" si="61"/>
        <v>-6.47</v>
      </c>
      <c r="T106" s="615">
        <f t="shared" si="62"/>
        <v>-8.1</v>
      </c>
      <c r="U106" s="616">
        <v>-5.37</v>
      </c>
      <c r="V106" s="616"/>
      <c r="W106" s="616">
        <v>-2.73</v>
      </c>
      <c r="X106" s="616"/>
      <c r="Y106" s="616"/>
      <c r="Z106" s="616"/>
      <c r="AA106" s="615">
        <f t="shared" si="63"/>
        <v>1.63</v>
      </c>
      <c r="AB106" s="616">
        <v>1.63</v>
      </c>
      <c r="AC106" s="616"/>
      <c r="AD106" s="616"/>
      <c r="AE106" s="616"/>
      <c r="AF106" s="616"/>
      <c r="AG106" s="615">
        <f t="shared" si="64"/>
        <v>57.44</v>
      </c>
      <c r="AH106" s="615">
        <f t="shared" si="65"/>
        <v>42.4</v>
      </c>
      <c r="AI106" s="616">
        <f t="shared" si="66"/>
        <v>13.81</v>
      </c>
      <c r="AJ106" s="616">
        <f t="shared" si="67"/>
        <v>0</v>
      </c>
      <c r="AK106" s="616">
        <f t="shared" si="68"/>
        <v>5.46</v>
      </c>
      <c r="AL106" s="616">
        <f t="shared" si="69"/>
        <v>0</v>
      </c>
      <c r="AM106" s="616">
        <f t="shared" si="70"/>
        <v>0</v>
      </c>
      <c r="AN106" s="616">
        <f t="shared" si="71"/>
        <v>23.13</v>
      </c>
      <c r="AO106" s="615">
        <f t="shared" si="72"/>
        <v>15.04</v>
      </c>
      <c r="AP106" s="616">
        <f t="shared" si="73"/>
        <v>6.54</v>
      </c>
      <c r="AQ106" s="616">
        <f t="shared" si="74"/>
        <v>0</v>
      </c>
      <c r="AR106" s="616">
        <f t="shared" si="75"/>
        <v>0</v>
      </c>
      <c r="AS106" s="616">
        <f t="shared" si="76"/>
        <v>0</v>
      </c>
      <c r="AT106" s="637">
        <f t="shared" si="77"/>
        <v>8.5</v>
      </c>
      <c r="AU106" s="639">
        <f t="shared" si="54"/>
        <v>13.81584</v>
      </c>
      <c r="AV106" s="618">
        <f t="shared" si="55"/>
        <v>5.1648</v>
      </c>
      <c r="AW106" s="618">
        <f t="shared" si="56"/>
        <v>2.5824</v>
      </c>
      <c r="AX106" s="618">
        <f t="shared" si="57"/>
        <v>1.9368</v>
      </c>
      <c r="AY106" s="618">
        <f t="shared" si="58"/>
        <v>0.06456</v>
      </c>
      <c r="AZ106" s="618">
        <f t="shared" si="59"/>
        <v>0.19368</v>
      </c>
      <c r="BA106" s="618">
        <f t="shared" si="60"/>
        <v>3.8736</v>
      </c>
      <c r="BB106" s="618"/>
      <c r="BC106" s="615">
        <f t="shared" si="78"/>
        <v>-2.76916</v>
      </c>
      <c r="BD106" s="616">
        <f t="shared" si="79"/>
        <v>-1.0352</v>
      </c>
      <c r="BE106" s="616">
        <f t="shared" si="80"/>
        <v>-0.5176</v>
      </c>
      <c r="BF106" s="616">
        <f t="shared" si="81"/>
        <v>-0.3882</v>
      </c>
      <c r="BG106" s="616">
        <f t="shared" si="82"/>
        <v>-0.01294</v>
      </c>
      <c r="BH106" s="616">
        <f t="shared" si="83"/>
        <v>-0.03882</v>
      </c>
      <c r="BI106" s="616">
        <f t="shared" si="84"/>
        <v>-0.7764</v>
      </c>
      <c r="BJ106" s="616"/>
      <c r="BK106" s="615">
        <f t="shared" si="85"/>
        <v>11.04668</v>
      </c>
      <c r="BL106" s="616">
        <f t="shared" si="86"/>
        <v>4.1296</v>
      </c>
      <c r="BM106" s="616">
        <f t="shared" si="87"/>
        <v>2.0648</v>
      </c>
      <c r="BN106" s="616">
        <f t="shared" si="88"/>
        <v>1.5486</v>
      </c>
      <c r="BO106" s="616">
        <f t="shared" si="89"/>
        <v>0.05162</v>
      </c>
      <c r="BP106" s="616">
        <f t="shared" si="90"/>
        <v>0.15486</v>
      </c>
      <c r="BQ106" s="616">
        <f t="shared" si="91"/>
        <v>3.0972</v>
      </c>
      <c r="BR106" s="616">
        <f t="shared" si="92"/>
        <v>0</v>
      </c>
      <c r="BS106" s="304"/>
    </row>
    <row r="107" s="131" customFormat="1" ht="24" spans="1:71">
      <c r="A107" s="497" t="s">
        <v>202</v>
      </c>
      <c r="B107" s="497" t="s">
        <v>206</v>
      </c>
      <c r="C107" s="497" t="s">
        <v>341</v>
      </c>
      <c r="D107" s="497" t="s">
        <v>337</v>
      </c>
      <c r="E107" s="617">
        <f t="shared" si="51"/>
        <v>9.76</v>
      </c>
      <c r="F107" s="617">
        <f t="shared" si="52"/>
        <v>8.3</v>
      </c>
      <c r="G107" s="618">
        <v>5.87</v>
      </c>
      <c r="H107" s="618"/>
      <c r="I107" s="618">
        <v>2.43</v>
      </c>
      <c r="J107" s="618"/>
      <c r="K107" s="618"/>
      <c r="L107" s="618"/>
      <c r="M107" s="617">
        <f t="shared" si="53"/>
        <v>1.46</v>
      </c>
      <c r="N107" s="618">
        <v>1.46</v>
      </c>
      <c r="O107" s="618"/>
      <c r="P107" s="618"/>
      <c r="Q107" s="618"/>
      <c r="R107" s="618"/>
      <c r="S107" s="615">
        <f t="shared" si="61"/>
        <v>0.14</v>
      </c>
      <c r="T107" s="615">
        <f t="shared" si="62"/>
        <v>0.14</v>
      </c>
      <c r="U107" s="616">
        <v>0.14</v>
      </c>
      <c r="V107" s="616"/>
      <c r="W107" s="616"/>
      <c r="X107" s="616"/>
      <c r="Y107" s="616"/>
      <c r="Z107" s="616"/>
      <c r="AA107" s="615">
        <f t="shared" si="63"/>
        <v>0</v>
      </c>
      <c r="AB107" s="616"/>
      <c r="AC107" s="616"/>
      <c r="AD107" s="616"/>
      <c r="AE107" s="616"/>
      <c r="AF107" s="616"/>
      <c r="AG107" s="615">
        <f t="shared" si="64"/>
        <v>9.9</v>
      </c>
      <c r="AH107" s="615">
        <f t="shared" si="65"/>
        <v>8.44</v>
      </c>
      <c r="AI107" s="616">
        <f t="shared" si="66"/>
        <v>6.01</v>
      </c>
      <c r="AJ107" s="616">
        <f t="shared" si="67"/>
        <v>0</v>
      </c>
      <c r="AK107" s="616">
        <f t="shared" si="68"/>
        <v>2.43</v>
      </c>
      <c r="AL107" s="616">
        <f t="shared" si="69"/>
        <v>0</v>
      </c>
      <c r="AM107" s="616">
        <f t="shared" si="70"/>
        <v>0</v>
      </c>
      <c r="AN107" s="616">
        <f t="shared" si="71"/>
        <v>0</v>
      </c>
      <c r="AO107" s="615">
        <f t="shared" si="72"/>
        <v>1.46</v>
      </c>
      <c r="AP107" s="616">
        <f t="shared" si="73"/>
        <v>1.46</v>
      </c>
      <c r="AQ107" s="616">
        <f t="shared" si="74"/>
        <v>0</v>
      </c>
      <c r="AR107" s="616">
        <f t="shared" si="75"/>
        <v>0</v>
      </c>
      <c r="AS107" s="616">
        <f t="shared" si="76"/>
        <v>0</v>
      </c>
      <c r="AT107" s="637">
        <f t="shared" si="77"/>
        <v>0</v>
      </c>
      <c r="AU107" s="639">
        <f t="shared" si="54"/>
        <v>4.17728</v>
      </c>
      <c r="AV107" s="618">
        <f t="shared" si="55"/>
        <v>1.5616</v>
      </c>
      <c r="AW107" s="618">
        <f t="shared" si="56"/>
        <v>0.7808</v>
      </c>
      <c r="AX107" s="618">
        <f t="shared" si="57"/>
        <v>0.5856</v>
      </c>
      <c r="AY107" s="618">
        <f t="shared" si="58"/>
        <v>0.01952</v>
      </c>
      <c r="AZ107" s="618">
        <f t="shared" si="59"/>
        <v>0.05856</v>
      </c>
      <c r="BA107" s="618">
        <f t="shared" si="60"/>
        <v>1.1712</v>
      </c>
      <c r="BB107" s="618"/>
      <c r="BC107" s="615">
        <f t="shared" si="78"/>
        <v>0.05992</v>
      </c>
      <c r="BD107" s="616">
        <f t="shared" si="79"/>
        <v>0.0224</v>
      </c>
      <c r="BE107" s="616">
        <f t="shared" si="80"/>
        <v>0.0112</v>
      </c>
      <c r="BF107" s="616">
        <f t="shared" si="81"/>
        <v>0.0084</v>
      </c>
      <c r="BG107" s="616">
        <f t="shared" si="82"/>
        <v>0.00028</v>
      </c>
      <c r="BH107" s="616">
        <f t="shared" si="83"/>
        <v>0.00084</v>
      </c>
      <c r="BI107" s="616">
        <f t="shared" si="84"/>
        <v>0.0168</v>
      </c>
      <c r="BJ107" s="616"/>
      <c r="BK107" s="615">
        <f t="shared" si="85"/>
        <v>4.2372</v>
      </c>
      <c r="BL107" s="616">
        <f t="shared" si="86"/>
        <v>1.584</v>
      </c>
      <c r="BM107" s="616">
        <f t="shared" si="87"/>
        <v>0.792</v>
      </c>
      <c r="BN107" s="616">
        <f t="shared" si="88"/>
        <v>0.594</v>
      </c>
      <c r="BO107" s="616">
        <f t="shared" si="89"/>
        <v>0.0198</v>
      </c>
      <c r="BP107" s="616">
        <f t="shared" si="90"/>
        <v>0.0594</v>
      </c>
      <c r="BQ107" s="616">
        <f t="shared" si="91"/>
        <v>1.188</v>
      </c>
      <c r="BR107" s="616">
        <f t="shared" si="92"/>
        <v>0</v>
      </c>
      <c r="BS107" s="304"/>
    </row>
    <row r="108" s="131" customFormat="1" ht="24" spans="1:71">
      <c r="A108" s="497" t="s">
        <v>202</v>
      </c>
      <c r="B108" s="497" t="s">
        <v>206</v>
      </c>
      <c r="C108" s="497" t="s">
        <v>342</v>
      </c>
      <c r="D108" s="497" t="s">
        <v>337</v>
      </c>
      <c r="E108" s="617">
        <f t="shared" si="51"/>
        <v>18.84</v>
      </c>
      <c r="F108" s="617">
        <f t="shared" si="52"/>
        <v>16.17</v>
      </c>
      <c r="G108" s="618">
        <v>11.71</v>
      </c>
      <c r="H108" s="618"/>
      <c r="I108" s="618">
        <v>4.46</v>
      </c>
      <c r="J108" s="618"/>
      <c r="K108" s="618"/>
      <c r="L108" s="618"/>
      <c r="M108" s="617">
        <f t="shared" si="53"/>
        <v>2.67</v>
      </c>
      <c r="N108" s="618">
        <v>2.67</v>
      </c>
      <c r="O108" s="618"/>
      <c r="P108" s="618"/>
      <c r="Q108" s="618"/>
      <c r="R108" s="618"/>
      <c r="S108" s="615">
        <f t="shared" si="61"/>
        <v>1.81</v>
      </c>
      <c r="T108" s="615">
        <f t="shared" si="62"/>
        <v>1.6</v>
      </c>
      <c r="U108" s="616">
        <v>1.25</v>
      </c>
      <c r="V108" s="616"/>
      <c r="W108" s="616">
        <v>0.35</v>
      </c>
      <c r="X108" s="616"/>
      <c r="Y108" s="616"/>
      <c r="Z108" s="616"/>
      <c r="AA108" s="615">
        <f t="shared" si="63"/>
        <v>0.21</v>
      </c>
      <c r="AB108" s="616">
        <v>0.21</v>
      </c>
      <c r="AC108" s="616"/>
      <c r="AD108" s="616"/>
      <c r="AE108" s="616"/>
      <c r="AF108" s="616"/>
      <c r="AG108" s="615">
        <f t="shared" si="64"/>
        <v>20.65</v>
      </c>
      <c r="AH108" s="615">
        <f t="shared" si="65"/>
        <v>17.77</v>
      </c>
      <c r="AI108" s="616">
        <f t="shared" si="66"/>
        <v>12.96</v>
      </c>
      <c r="AJ108" s="616">
        <f t="shared" si="67"/>
        <v>0</v>
      </c>
      <c r="AK108" s="616">
        <f t="shared" si="68"/>
        <v>4.81</v>
      </c>
      <c r="AL108" s="616">
        <f t="shared" si="69"/>
        <v>0</v>
      </c>
      <c r="AM108" s="616">
        <f t="shared" si="70"/>
        <v>0</v>
      </c>
      <c r="AN108" s="616">
        <f t="shared" si="71"/>
        <v>0</v>
      </c>
      <c r="AO108" s="615">
        <f t="shared" si="72"/>
        <v>2.88</v>
      </c>
      <c r="AP108" s="616">
        <f t="shared" si="73"/>
        <v>2.88</v>
      </c>
      <c r="AQ108" s="616">
        <f t="shared" si="74"/>
        <v>0</v>
      </c>
      <c r="AR108" s="616">
        <f t="shared" si="75"/>
        <v>0</v>
      </c>
      <c r="AS108" s="616">
        <f t="shared" si="76"/>
        <v>0</v>
      </c>
      <c r="AT108" s="637">
        <f t="shared" si="77"/>
        <v>0</v>
      </c>
      <c r="AU108" s="639">
        <f t="shared" si="54"/>
        <v>8.06352</v>
      </c>
      <c r="AV108" s="618">
        <f t="shared" si="55"/>
        <v>3.0144</v>
      </c>
      <c r="AW108" s="618">
        <f t="shared" si="56"/>
        <v>1.5072</v>
      </c>
      <c r="AX108" s="618">
        <f t="shared" si="57"/>
        <v>1.1304</v>
      </c>
      <c r="AY108" s="618">
        <f t="shared" si="58"/>
        <v>0.03768</v>
      </c>
      <c r="AZ108" s="618">
        <f t="shared" si="59"/>
        <v>0.11304</v>
      </c>
      <c r="BA108" s="618">
        <f t="shared" si="60"/>
        <v>2.2608</v>
      </c>
      <c r="BB108" s="618"/>
      <c r="BC108" s="615">
        <f t="shared" si="78"/>
        <v>0.77468</v>
      </c>
      <c r="BD108" s="616">
        <f t="shared" si="79"/>
        <v>0.2896</v>
      </c>
      <c r="BE108" s="616">
        <f t="shared" si="80"/>
        <v>0.1448</v>
      </c>
      <c r="BF108" s="616">
        <f t="shared" si="81"/>
        <v>0.1086</v>
      </c>
      <c r="BG108" s="616">
        <f t="shared" si="82"/>
        <v>0.00362</v>
      </c>
      <c r="BH108" s="616">
        <f t="shared" si="83"/>
        <v>0.01086</v>
      </c>
      <c r="BI108" s="616">
        <f t="shared" si="84"/>
        <v>0.2172</v>
      </c>
      <c r="BJ108" s="616"/>
      <c r="BK108" s="615">
        <f t="shared" si="85"/>
        <v>8.8382</v>
      </c>
      <c r="BL108" s="616">
        <f t="shared" si="86"/>
        <v>3.304</v>
      </c>
      <c r="BM108" s="616">
        <f t="shared" si="87"/>
        <v>1.652</v>
      </c>
      <c r="BN108" s="616">
        <f t="shared" si="88"/>
        <v>1.239</v>
      </c>
      <c r="BO108" s="616">
        <f t="shared" si="89"/>
        <v>0.0413</v>
      </c>
      <c r="BP108" s="616">
        <f t="shared" si="90"/>
        <v>0.1239</v>
      </c>
      <c r="BQ108" s="616">
        <f t="shared" si="91"/>
        <v>2.478</v>
      </c>
      <c r="BR108" s="616">
        <f t="shared" si="92"/>
        <v>0</v>
      </c>
      <c r="BS108" s="304"/>
    </row>
    <row r="109" s="131" customFormat="1" ht="24" spans="1:71">
      <c r="A109" s="497" t="s">
        <v>202</v>
      </c>
      <c r="B109" s="497" t="s">
        <v>206</v>
      </c>
      <c r="C109" s="497" t="s">
        <v>343</v>
      </c>
      <c r="D109" s="497" t="s">
        <v>337</v>
      </c>
      <c r="E109" s="617">
        <f t="shared" si="51"/>
        <v>13.83</v>
      </c>
      <c r="F109" s="617">
        <f t="shared" si="52"/>
        <v>12.09</v>
      </c>
      <c r="G109" s="618">
        <v>7.99</v>
      </c>
      <c r="H109" s="618"/>
      <c r="I109" s="618">
        <v>2.9</v>
      </c>
      <c r="J109" s="618"/>
      <c r="K109" s="618">
        <v>1.2</v>
      </c>
      <c r="L109" s="618"/>
      <c r="M109" s="617">
        <f t="shared" si="53"/>
        <v>1.74</v>
      </c>
      <c r="N109" s="618">
        <v>1.74</v>
      </c>
      <c r="O109" s="618"/>
      <c r="P109" s="618"/>
      <c r="Q109" s="618"/>
      <c r="R109" s="618"/>
      <c r="S109" s="615">
        <f t="shared" si="61"/>
        <v>0.77</v>
      </c>
      <c r="T109" s="615">
        <f t="shared" si="62"/>
        <v>0.71</v>
      </c>
      <c r="U109" s="616">
        <v>0.62</v>
      </c>
      <c r="V109" s="616"/>
      <c r="W109" s="616">
        <v>0.09</v>
      </c>
      <c r="X109" s="616"/>
      <c r="Y109" s="616"/>
      <c r="Z109" s="616"/>
      <c r="AA109" s="615">
        <f t="shared" si="63"/>
        <v>0.06</v>
      </c>
      <c r="AB109" s="616">
        <v>0.06</v>
      </c>
      <c r="AC109" s="616"/>
      <c r="AD109" s="616"/>
      <c r="AE109" s="616"/>
      <c r="AF109" s="616"/>
      <c r="AG109" s="615">
        <f t="shared" si="64"/>
        <v>14.6</v>
      </c>
      <c r="AH109" s="615">
        <f t="shared" si="65"/>
        <v>12.8</v>
      </c>
      <c r="AI109" s="616">
        <f t="shared" si="66"/>
        <v>8.61</v>
      </c>
      <c r="AJ109" s="616">
        <f t="shared" si="67"/>
        <v>0</v>
      </c>
      <c r="AK109" s="616">
        <f t="shared" si="68"/>
        <v>2.99</v>
      </c>
      <c r="AL109" s="616">
        <f t="shared" si="69"/>
        <v>0</v>
      </c>
      <c r="AM109" s="616">
        <f t="shared" si="70"/>
        <v>1.2</v>
      </c>
      <c r="AN109" s="616">
        <f t="shared" si="71"/>
        <v>0</v>
      </c>
      <c r="AO109" s="615">
        <f t="shared" si="72"/>
        <v>1.8</v>
      </c>
      <c r="AP109" s="616">
        <f t="shared" si="73"/>
        <v>1.8</v>
      </c>
      <c r="AQ109" s="616">
        <f t="shared" si="74"/>
        <v>0</v>
      </c>
      <c r="AR109" s="616">
        <f t="shared" si="75"/>
        <v>0</v>
      </c>
      <c r="AS109" s="616">
        <f t="shared" si="76"/>
        <v>0</v>
      </c>
      <c r="AT109" s="637">
        <f t="shared" si="77"/>
        <v>0</v>
      </c>
      <c r="AU109" s="639">
        <f t="shared" si="54"/>
        <v>5.40564</v>
      </c>
      <c r="AV109" s="618">
        <f t="shared" si="55"/>
        <v>2.0208</v>
      </c>
      <c r="AW109" s="618">
        <f t="shared" si="56"/>
        <v>1.0104</v>
      </c>
      <c r="AX109" s="618">
        <f t="shared" si="57"/>
        <v>0.7578</v>
      </c>
      <c r="AY109" s="618">
        <f t="shared" si="58"/>
        <v>0.02526</v>
      </c>
      <c r="AZ109" s="618">
        <f t="shared" si="59"/>
        <v>0.07578</v>
      </c>
      <c r="BA109" s="618">
        <f t="shared" si="60"/>
        <v>1.5156</v>
      </c>
      <c r="BB109" s="618"/>
      <c r="BC109" s="615">
        <f t="shared" si="78"/>
        <v>0.32956</v>
      </c>
      <c r="BD109" s="616">
        <f t="shared" si="79"/>
        <v>0.1232</v>
      </c>
      <c r="BE109" s="616">
        <f t="shared" si="80"/>
        <v>0.0616</v>
      </c>
      <c r="BF109" s="616">
        <f t="shared" si="81"/>
        <v>0.0462</v>
      </c>
      <c r="BG109" s="616">
        <f t="shared" si="82"/>
        <v>0.00154</v>
      </c>
      <c r="BH109" s="616">
        <f t="shared" si="83"/>
        <v>0.00462</v>
      </c>
      <c r="BI109" s="616">
        <f t="shared" si="84"/>
        <v>0.0924</v>
      </c>
      <c r="BJ109" s="616"/>
      <c r="BK109" s="615">
        <f t="shared" si="85"/>
        <v>5.7352</v>
      </c>
      <c r="BL109" s="616">
        <f t="shared" si="86"/>
        <v>2.144</v>
      </c>
      <c r="BM109" s="616">
        <f t="shared" si="87"/>
        <v>1.072</v>
      </c>
      <c r="BN109" s="616">
        <f t="shared" si="88"/>
        <v>0.804</v>
      </c>
      <c r="BO109" s="616">
        <f t="shared" si="89"/>
        <v>0.0268</v>
      </c>
      <c r="BP109" s="616">
        <f t="shared" si="90"/>
        <v>0.0804</v>
      </c>
      <c r="BQ109" s="616">
        <f t="shared" si="91"/>
        <v>1.608</v>
      </c>
      <c r="BR109" s="616">
        <f t="shared" si="92"/>
        <v>0</v>
      </c>
      <c r="BS109" s="304"/>
    </row>
    <row r="110" s="131" customFormat="1" ht="24" spans="1:71">
      <c r="A110" s="497" t="s">
        <v>202</v>
      </c>
      <c r="B110" s="497" t="s">
        <v>206</v>
      </c>
      <c r="C110" s="497" t="s">
        <v>344</v>
      </c>
      <c r="D110" s="497" t="s">
        <v>337</v>
      </c>
      <c r="E110" s="617">
        <f t="shared" si="51"/>
        <v>22.41</v>
      </c>
      <c r="F110" s="617">
        <f t="shared" si="52"/>
        <v>18.98</v>
      </c>
      <c r="G110" s="618">
        <v>13.26</v>
      </c>
      <c r="H110" s="618"/>
      <c r="I110" s="618">
        <v>5.72</v>
      </c>
      <c r="J110" s="618"/>
      <c r="K110" s="618"/>
      <c r="L110" s="618"/>
      <c r="M110" s="617">
        <f t="shared" si="53"/>
        <v>3.43</v>
      </c>
      <c r="N110" s="618">
        <v>3.43</v>
      </c>
      <c r="O110" s="618"/>
      <c r="P110" s="618"/>
      <c r="Q110" s="618"/>
      <c r="R110" s="618"/>
      <c r="S110" s="615">
        <f t="shared" si="61"/>
        <v>-2.13</v>
      </c>
      <c r="T110" s="615">
        <f t="shared" si="62"/>
        <v>-1.73</v>
      </c>
      <c r="U110" s="616">
        <v>-1.05</v>
      </c>
      <c r="V110" s="616"/>
      <c r="W110" s="616">
        <v>-0.68</v>
      </c>
      <c r="X110" s="616"/>
      <c r="Y110" s="616"/>
      <c r="Z110" s="616"/>
      <c r="AA110" s="615">
        <f t="shared" si="63"/>
        <v>-0.4</v>
      </c>
      <c r="AB110" s="616">
        <v>-0.4</v>
      </c>
      <c r="AC110" s="616"/>
      <c r="AD110" s="616"/>
      <c r="AE110" s="616"/>
      <c r="AF110" s="616"/>
      <c r="AG110" s="615">
        <f t="shared" si="64"/>
        <v>20.28</v>
      </c>
      <c r="AH110" s="615">
        <f t="shared" si="65"/>
        <v>17.25</v>
      </c>
      <c r="AI110" s="616">
        <f t="shared" si="66"/>
        <v>12.21</v>
      </c>
      <c r="AJ110" s="616">
        <f t="shared" si="67"/>
        <v>0</v>
      </c>
      <c r="AK110" s="616">
        <f t="shared" si="68"/>
        <v>5.04</v>
      </c>
      <c r="AL110" s="616">
        <f t="shared" si="69"/>
        <v>0</v>
      </c>
      <c r="AM110" s="616">
        <f t="shared" si="70"/>
        <v>0</v>
      </c>
      <c r="AN110" s="616">
        <f t="shared" si="71"/>
        <v>0</v>
      </c>
      <c r="AO110" s="615">
        <f t="shared" si="72"/>
        <v>3.03</v>
      </c>
      <c r="AP110" s="616">
        <f t="shared" si="73"/>
        <v>3.03</v>
      </c>
      <c r="AQ110" s="616">
        <f t="shared" si="74"/>
        <v>0</v>
      </c>
      <c r="AR110" s="616">
        <f t="shared" si="75"/>
        <v>0</v>
      </c>
      <c r="AS110" s="616">
        <f t="shared" si="76"/>
        <v>0</v>
      </c>
      <c r="AT110" s="637">
        <f t="shared" si="77"/>
        <v>0</v>
      </c>
      <c r="AU110" s="639">
        <f t="shared" si="54"/>
        <v>9.59148</v>
      </c>
      <c r="AV110" s="618">
        <f t="shared" si="55"/>
        <v>3.5856</v>
      </c>
      <c r="AW110" s="618">
        <f t="shared" si="56"/>
        <v>1.7928</v>
      </c>
      <c r="AX110" s="618">
        <f t="shared" si="57"/>
        <v>1.3446</v>
      </c>
      <c r="AY110" s="618">
        <f t="shared" si="58"/>
        <v>0.04482</v>
      </c>
      <c r="AZ110" s="618">
        <f t="shared" si="59"/>
        <v>0.13446</v>
      </c>
      <c r="BA110" s="618">
        <f t="shared" si="60"/>
        <v>2.6892</v>
      </c>
      <c r="BB110" s="618"/>
      <c r="BC110" s="615">
        <f t="shared" si="78"/>
        <v>-0.91164</v>
      </c>
      <c r="BD110" s="616">
        <f t="shared" si="79"/>
        <v>-0.3408</v>
      </c>
      <c r="BE110" s="616">
        <f t="shared" si="80"/>
        <v>-0.1704</v>
      </c>
      <c r="BF110" s="616">
        <f t="shared" si="81"/>
        <v>-0.1278</v>
      </c>
      <c r="BG110" s="616">
        <f t="shared" si="82"/>
        <v>-0.00426</v>
      </c>
      <c r="BH110" s="616">
        <f t="shared" si="83"/>
        <v>-0.01278</v>
      </c>
      <c r="BI110" s="616">
        <f t="shared" si="84"/>
        <v>-0.2556</v>
      </c>
      <c r="BJ110" s="616"/>
      <c r="BK110" s="615">
        <f t="shared" si="85"/>
        <v>8.67984</v>
      </c>
      <c r="BL110" s="616">
        <f t="shared" si="86"/>
        <v>3.2448</v>
      </c>
      <c r="BM110" s="616">
        <f t="shared" si="87"/>
        <v>1.6224</v>
      </c>
      <c r="BN110" s="616">
        <f t="shared" si="88"/>
        <v>1.2168</v>
      </c>
      <c r="BO110" s="616">
        <f t="shared" si="89"/>
        <v>0.04056</v>
      </c>
      <c r="BP110" s="616">
        <f t="shared" si="90"/>
        <v>0.12168</v>
      </c>
      <c r="BQ110" s="616">
        <f t="shared" si="91"/>
        <v>2.4336</v>
      </c>
      <c r="BR110" s="616">
        <f t="shared" si="92"/>
        <v>0</v>
      </c>
      <c r="BS110" s="304"/>
    </row>
    <row r="111" s="131" customFormat="1" ht="24" spans="1:71">
      <c r="A111" s="497" t="s">
        <v>202</v>
      </c>
      <c r="B111" s="497" t="s">
        <v>206</v>
      </c>
      <c r="C111" s="497" t="s">
        <v>345</v>
      </c>
      <c r="D111" s="497" t="s">
        <v>337</v>
      </c>
      <c r="E111" s="617">
        <f t="shared" si="51"/>
        <v>36.07</v>
      </c>
      <c r="F111" s="617">
        <f t="shared" si="52"/>
        <v>29.25</v>
      </c>
      <c r="G111" s="618">
        <v>14.39</v>
      </c>
      <c r="H111" s="618"/>
      <c r="I111" s="618">
        <v>5.54</v>
      </c>
      <c r="J111" s="618"/>
      <c r="K111" s="618"/>
      <c r="L111" s="618">
        <v>9.32</v>
      </c>
      <c r="M111" s="617">
        <f t="shared" si="53"/>
        <v>6.82</v>
      </c>
      <c r="N111" s="618">
        <v>3.32</v>
      </c>
      <c r="O111" s="618"/>
      <c r="P111" s="618"/>
      <c r="Q111" s="618"/>
      <c r="R111" s="618">
        <v>3.5</v>
      </c>
      <c r="S111" s="615">
        <f t="shared" si="61"/>
        <v>1.59</v>
      </c>
      <c r="T111" s="615">
        <f t="shared" si="62"/>
        <v>1.3</v>
      </c>
      <c r="U111" s="616">
        <v>0.77</v>
      </c>
      <c r="V111" s="616"/>
      <c r="W111" s="616">
        <v>0.23</v>
      </c>
      <c r="X111" s="616"/>
      <c r="Y111" s="616"/>
      <c r="Z111" s="616">
        <v>0.3</v>
      </c>
      <c r="AA111" s="615">
        <f t="shared" si="63"/>
        <v>0.29</v>
      </c>
      <c r="AB111" s="616">
        <v>0.14</v>
      </c>
      <c r="AC111" s="616"/>
      <c r="AD111" s="616"/>
      <c r="AE111" s="616">
        <v>0.15</v>
      </c>
      <c r="AF111" s="616"/>
      <c r="AG111" s="615">
        <f t="shared" si="64"/>
        <v>37.66</v>
      </c>
      <c r="AH111" s="615">
        <f t="shared" si="65"/>
        <v>30.55</v>
      </c>
      <c r="AI111" s="616">
        <f t="shared" si="66"/>
        <v>15.16</v>
      </c>
      <c r="AJ111" s="616">
        <f t="shared" si="67"/>
        <v>0</v>
      </c>
      <c r="AK111" s="616">
        <f t="shared" si="68"/>
        <v>5.77</v>
      </c>
      <c r="AL111" s="616">
        <f t="shared" si="69"/>
        <v>0</v>
      </c>
      <c r="AM111" s="616">
        <f t="shared" si="70"/>
        <v>0</v>
      </c>
      <c r="AN111" s="616">
        <f t="shared" si="71"/>
        <v>9.62</v>
      </c>
      <c r="AO111" s="615">
        <f t="shared" si="72"/>
        <v>7.11</v>
      </c>
      <c r="AP111" s="616">
        <f t="shared" si="73"/>
        <v>3.46</v>
      </c>
      <c r="AQ111" s="616">
        <f t="shared" si="74"/>
        <v>0</v>
      </c>
      <c r="AR111" s="616">
        <f t="shared" si="75"/>
        <v>0</v>
      </c>
      <c r="AS111" s="616">
        <f t="shared" si="76"/>
        <v>0.15</v>
      </c>
      <c r="AT111" s="637">
        <f t="shared" si="77"/>
        <v>3.5</v>
      </c>
      <c r="AU111" s="639">
        <f t="shared" si="54"/>
        <v>9.951</v>
      </c>
      <c r="AV111" s="618">
        <f t="shared" si="55"/>
        <v>3.72</v>
      </c>
      <c r="AW111" s="618">
        <f t="shared" si="56"/>
        <v>1.86</v>
      </c>
      <c r="AX111" s="618">
        <f t="shared" si="57"/>
        <v>1.395</v>
      </c>
      <c r="AY111" s="618">
        <f t="shared" si="58"/>
        <v>0.0465</v>
      </c>
      <c r="AZ111" s="618">
        <f t="shared" si="59"/>
        <v>0.1395</v>
      </c>
      <c r="BA111" s="618">
        <f t="shared" si="60"/>
        <v>2.79</v>
      </c>
      <c r="BB111" s="618"/>
      <c r="BC111" s="615">
        <f t="shared" si="78"/>
        <v>0.48792</v>
      </c>
      <c r="BD111" s="616">
        <f t="shared" si="79"/>
        <v>0.1824</v>
      </c>
      <c r="BE111" s="616">
        <f t="shared" si="80"/>
        <v>0.0912</v>
      </c>
      <c r="BF111" s="616">
        <f t="shared" si="81"/>
        <v>0.0684</v>
      </c>
      <c r="BG111" s="616">
        <f t="shared" si="82"/>
        <v>0.00228</v>
      </c>
      <c r="BH111" s="616">
        <f t="shared" si="83"/>
        <v>0.00684</v>
      </c>
      <c r="BI111" s="616">
        <f t="shared" si="84"/>
        <v>0.1368</v>
      </c>
      <c r="BJ111" s="616"/>
      <c r="BK111" s="615">
        <f t="shared" si="85"/>
        <v>10.43892</v>
      </c>
      <c r="BL111" s="616">
        <f t="shared" si="86"/>
        <v>3.9024</v>
      </c>
      <c r="BM111" s="616">
        <f t="shared" si="87"/>
        <v>1.9512</v>
      </c>
      <c r="BN111" s="616">
        <f t="shared" si="88"/>
        <v>1.4634</v>
      </c>
      <c r="BO111" s="616">
        <f t="shared" si="89"/>
        <v>0.04878</v>
      </c>
      <c r="BP111" s="616">
        <f t="shared" si="90"/>
        <v>0.14634</v>
      </c>
      <c r="BQ111" s="616">
        <f t="shared" si="91"/>
        <v>2.9268</v>
      </c>
      <c r="BR111" s="616">
        <f t="shared" si="92"/>
        <v>0</v>
      </c>
      <c r="BS111" s="304"/>
    </row>
    <row r="112" s="131" customFormat="1" ht="24" spans="1:71">
      <c r="A112" s="497" t="s">
        <v>202</v>
      </c>
      <c r="B112" s="497" t="s">
        <v>206</v>
      </c>
      <c r="C112" s="497" t="s">
        <v>346</v>
      </c>
      <c r="D112" s="497" t="s">
        <v>337</v>
      </c>
      <c r="E112" s="617">
        <f t="shared" si="51"/>
        <v>18.66</v>
      </c>
      <c r="F112" s="617">
        <f t="shared" si="52"/>
        <v>16.05</v>
      </c>
      <c r="G112" s="618">
        <v>11.7</v>
      </c>
      <c r="H112" s="618"/>
      <c r="I112" s="618">
        <v>4.35</v>
      </c>
      <c r="J112" s="618"/>
      <c r="K112" s="618"/>
      <c r="L112" s="618"/>
      <c r="M112" s="617">
        <f t="shared" si="53"/>
        <v>2.61</v>
      </c>
      <c r="N112" s="618">
        <v>2.61</v>
      </c>
      <c r="O112" s="618"/>
      <c r="P112" s="618"/>
      <c r="Q112" s="618"/>
      <c r="R112" s="618"/>
      <c r="S112" s="615">
        <f t="shared" si="61"/>
        <v>1.17</v>
      </c>
      <c r="T112" s="615">
        <f t="shared" si="62"/>
        <v>1.11</v>
      </c>
      <c r="U112" s="616">
        <v>0.72</v>
      </c>
      <c r="V112" s="616"/>
      <c r="W112" s="616">
        <v>0.09</v>
      </c>
      <c r="X112" s="616"/>
      <c r="Y112" s="616"/>
      <c r="Z112" s="616">
        <v>0.3</v>
      </c>
      <c r="AA112" s="615">
        <f t="shared" si="63"/>
        <v>0.06</v>
      </c>
      <c r="AB112" s="616">
        <v>0.06</v>
      </c>
      <c r="AC112" s="616"/>
      <c r="AD112" s="616"/>
      <c r="AE112" s="616"/>
      <c r="AF112" s="616"/>
      <c r="AG112" s="615">
        <f t="shared" si="64"/>
        <v>19.83</v>
      </c>
      <c r="AH112" s="615">
        <f t="shared" si="65"/>
        <v>17.16</v>
      </c>
      <c r="AI112" s="616">
        <f t="shared" si="66"/>
        <v>12.42</v>
      </c>
      <c r="AJ112" s="616">
        <f t="shared" si="67"/>
        <v>0</v>
      </c>
      <c r="AK112" s="616">
        <f t="shared" si="68"/>
        <v>4.44</v>
      </c>
      <c r="AL112" s="616">
        <f t="shared" si="69"/>
        <v>0</v>
      </c>
      <c r="AM112" s="616">
        <f t="shared" si="70"/>
        <v>0</v>
      </c>
      <c r="AN112" s="616">
        <f t="shared" si="71"/>
        <v>0.3</v>
      </c>
      <c r="AO112" s="615">
        <f t="shared" si="72"/>
        <v>2.67</v>
      </c>
      <c r="AP112" s="616">
        <f t="shared" si="73"/>
        <v>2.67</v>
      </c>
      <c r="AQ112" s="616">
        <f t="shared" si="74"/>
        <v>0</v>
      </c>
      <c r="AR112" s="616">
        <f t="shared" si="75"/>
        <v>0</v>
      </c>
      <c r="AS112" s="616">
        <f t="shared" si="76"/>
        <v>0</v>
      </c>
      <c r="AT112" s="637">
        <f t="shared" si="77"/>
        <v>0</v>
      </c>
      <c r="AU112" s="639">
        <f t="shared" si="54"/>
        <v>7.98648</v>
      </c>
      <c r="AV112" s="618">
        <f t="shared" si="55"/>
        <v>2.9856</v>
      </c>
      <c r="AW112" s="618">
        <f t="shared" si="56"/>
        <v>1.4928</v>
      </c>
      <c r="AX112" s="618">
        <f t="shared" si="57"/>
        <v>1.1196</v>
      </c>
      <c r="AY112" s="618">
        <f t="shared" si="58"/>
        <v>0.03732</v>
      </c>
      <c r="AZ112" s="618">
        <f t="shared" si="59"/>
        <v>0.11196</v>
      </c>
      <c r="BA112" s="618">
        <f t="shared" si="60"/>
        <v>2.2392</v>
      </c>
      <c r="BB112" s="618"/>
      <c r="BC112" s="615">
        <f t="shared" si="78"/>
        <v>0.37236</v>
      </c>
      <c r="BD112" s="616">
        <f t="shared" si="79"/>
        <v>0.1392</v>
      </c>
      <c r="BE112" s="616">
        <f t="shared" si="80"/>
        <v>0.0696</v>
      </c>
      <c r="BF112" s="616">
        <f t="shared" si="81"/>
        <v>0.0522</v>
      </c>
      <c r="BG112" s="616">
        <f t="shared" si="82"/>
        <v>0.00174</v>
      </c>
      <c r="BH112" s="616">
        <f t="shared" si="83"/>
        <v>0.00522</v>
      </c>
      <c r="BI112" s="616">
        <f t="shared" si="84"/>
        <v>0.1044</v>
      </c>
      <c r="BJ112" s="616"/>
      <c r="BK112" s="615">
        <f t="shared" si="85"/>
        <v>8.35884</v>
      </c>
      <c r="BL112" s="616">
        <f t="shared" si="86"/>
        <v>3.1248</v>
      </c>
      <c r="BM112" s="616">
        <f t="shared" si="87"/>
        <v>1.5624</v>
      </c>
      <c r="BN112" s="616">
        <f t="shared" si="88"/>
        <v>1.1718</v>
      </c>
      <c r="BO112" s="616">
        <f t="shared" si="89"/>
        <v>0.03906</v>
      </c>
      <c r="BP112" s="616">
        <f t="shared" si="90"/>
        <v>0.11718</v>
      </c>
      <c r="BQ112" s="616">
        <f t="shared" si="91"/>
        <v>2.3436</v>
      </c>
      <c r="BR112" s="616">
        <f t="shared" si="92"/>
        <v>0</v>
      </c>
      <c r="BS112" s="304"/>
    </row>
    <row r="113" s="131" customFormat="1" ht="24" spans="1:71">
      <c r="A113" s="497" t="s">
        <v>202</v>
      </c>
      <c r="B113" s="497" t="s">
        <v>206</v>
      </c>
      <c r="C113" s="497" t="s">
        <v>347</v>
      </c>
      <c r="D113" s="497" t="s">
        <v>337</v>
      </c>
      <c r="E113" s="617">
        <f t="shared" si="51"/>
        <v>79.54</v>
      </c>
      <c r="F113" s="617">
        <f t="shared" si="52"/>
        <v>64.52</v>
      </c>
      <c r="G113" s="618">
        <v>37.22</v>
      </c>
      <c r="H113" s="618"/>
      <c r="I113" s="618">
        <v>13.99</v>
      </c>
      <c r="J113" s="618"/>
      <c r="K113" s="618"/>
      <c r="L113" s="618">
        <v>13.31</v>
      </c>
      <c r="M113" s="617">
        <f t="shared" si="53"/>
        <v>15.02</v>
      </c>
      <c r="N113" s="618">
        <v>8.39</v>
      </c>
      <c r="O113" s="618"/>
      <c r="P113" s="618"/>
      <c r="Q113" s="618">
        <v>1.63</v>
      </c>
      <c r="R113" s="618">
        <v>5</v>
      </c>
      <c r="S113" s="615">
        <f t="shared" si="61"/>
        <v>4.48</v>
      </c>
      <c r="T113" s="615">
        <f t="shared" si="62"/>
        <v>3.9</v>
      </c>
      <c r="U113" s="616">
        <v>2.38</v>
      </c>
      <c r="V113" s="616"/>
      <c r="W113" s="616">
        <v>0.47</v>
      </c>
      <c r="X113" s="616"/>
      <c r="Y113" s="616"/>
      <c r="Z113" s="616">
        <v>1.05</v>
      </c>
      <c r="AA113" s="615">
        <f t="shared" si="63"/>
        <v>0.58</v>
      </c>
      <c r="AB113" s="616">
        <v>0.28</v>
      </c>
      <c r="AC113" s="616"/>
      <c r="AD113" s="616"/>
      <c r="AE113" s="616">
        <v>0.3</v>
      </c>
      <c r="AF113" s="616"/>
      <c r="AG113" s="615">
        <f t="shared" si="64"/>
        <v>84.02</v>
      </c>
      <c r="AH113" s="615">
        <f t="shared" si="65"/>
        <v>68.42</v>
      </c>
      <c r="AI113" s="616">
        <f t="shared" si="66"/>
        <v>39.6</v>
      </c>
      <c r="AJ113" s="616">
        <f t="shared" si="67"/>
        <v>0</v>
      </c>
      <c r="AK113" s="616">
        <f t="shared" si="68"/>
        <v>14.46</v>
      </c>
      <c r="AL113" s="616">
        <f t="shared" si="69"/>
        <v>0</v>
      </c>
      <c r="AM113" s="616">
        <f t="shared" si="70"/>
        <v>0</v>
      </c>
      <c r="AN113" s="616">
        <f t="shared" si="71"/>
        <v>14.36</v>
      </c>
      <c r="AO113" s="615">
        <f t="shared" si="72"/>
        <v>15.6</v>
      </c>
      <c r="AP113" s="616">
        <f t="shared" si="73"/>
        <v>8.67</v>
      </c>
      <c r="AQ113" s="616">
        <f t="shared" si="74"/>
        <v>0</v>
      </c>
      <c r="AR113" s="616">
        <f t="shared" si="75"/>
        <v>0</v>
      </c>
      <c r="AS113" s="616">
        <f t="shared" si="76"/>
        <v>1.93</v>
      </c>
      <c r="AT113" s="637">
        <f t="shared" si="77"/>
        <v>5</v>
      </c>
      <c r="AU113" s="639">
        <f t="shared" si="54"/>
        <v>25.5088</v>
      </c>
      <c r="AV113" s="618">
        <f t="shared" si="55"/>
        <v>9.536</v>
      </c>
      <c r="AW113" s="618">
        <f t="shared" si="56"/>
        <v>4.768</v>
      </c>
      <c r="AX113" s="618">
        <f t="shared" si="57"/>
        <v>3.576</v>
      </c>
      <c r="AY113" s="618">
        <f t="shared" si="58"/>
        <v>0.1192</v>
      </c>
      <c r="AZ113" s="618">
        <f t="shared" si="59"/>
        <v>0.3576</v>
      </c>
      <c r="BA113" s="618">
        <f t="shared" si="60"/>
        <v>7.152</v>
      </c>
      <c r="BB113" s="618"/>
      <c r="BC113" s="615">
        <f t="shared" si="78"/>
        <v>1.33964</v>
      </c>
      <c r="BD113" s="616">
        <f t="shared" si="79"/>
        <v>0.5008</v>
      </c>
      <c r="BE113" s="616">
        <f t="shared" si="80"/>
        <v>0.2504</v>
      </c>
      <c r="BF113" s="616">
        <f t="shared" si="81"/>
        <v>0.1878</v>
      </c>
      <c r="BG113" s="616">
        <f t="shared" si="82"/>
        <v>0.00626</v>
      </c>
      <c r="BH113" s="616">
        <f t="shared" si="83"/>
        <v>0.01878</v>
      </c>
      <c r="BI113" s="616">
        <f t="shared" si="84"/>
        <v>0.3756</v>
      </c>
      <c r="BJ113" s="616"/>
      <c r="BK113" s="615">
        <f t="shared" si="85"/>
        <v>26.84844</v>
      </c>
      <c r="BL113" s="616">
        <f t="shared" si="86"/>
        <v>10.0368</v>
      </c>
      <c r="BM113" s="616">
        <f t="shared" si="87"/>
        <v>5.0184</v>
      </c>
      <c r="BN113" s="616">
        <f t="shared" si="88"/>
        <v>3.7638</v>
      </c>
      <c r="BO113" s="616">
        <f t="shared" si="89"/>
        <v>0.12546</v>
      </c>
      <c r="BP113" s="616">
        <f t="shared" si="90"/>
        <v>0.37638</v>
      </c>
      <c r="BQ113" s="616">
        <f t="shared" si="91"/>
        <v>7.5276</v>
      </c>
      <c r="BR113" s="616">
        <f t="shared" si="92"/>
        <v>0</v>
      </c>
      <c r="BS113" s="304" t="s">
        <v>348</v>
      </c>
    </row>
    <row r="114" s="131" customFormat="1" ht="24" spans="1:71">
      <c r="A114" s="497" t="s">
        <v>202</v>
      </c>
      <c r="B114" s="497" t="s">
        <v>203</v>
      </c>
      <c r="C114" s="497" t="s">
        <v>349</v>
      </c>
      <c r="D114" s="497" t="s">
        <v>350</v>
      </c>
      <c r="E114" s="617">
        <f t="shared" si="51"/>
        <v>0</v>
      </c>
      <c r="F114" s="617">
        <f t="shared" si="52"/>
        <v>0</v>
      </c>
      <c r="G114" s="618"/>
      <c r="H114" s="618"/>
      <c r="I114" s="618"/>
      <c r="J114" s="618"/>
      <c r="K114" s="618"/>
      <c r="L114" s="618"/>
      <c r="M114" s="617">
        <f t="shared" si="53"/>
        <v>0</v>
      </c>
      <c r="N114" s="618"/>
      <c r="O114" s="618"/>
      <c r="P114" s="618"/>
      <c r="Q114" s="618"/>
      <c r="R114" s="618"/>
      <c r="S114" s="615">
        <f t="shared" si="61"/>
        <v>0</v>
      </c>
      <c r="T114" s="615">
        <f t="shared" si="62"/>
        <v>0</v>
      </c>
      <c r="U114" s="616"/>
      <c r="V114" s="616"/>
      <c r="W114" s="616"/>
      <c r="X114" s="616"/>
      <c r="Y114" s="616"/>
      <c r="Z114" s="616"/>
      <c r="AA114" s="615">
        <f t="shared" si="63"/>
        <v>0</v>
      </c>
      <c r="AB114" s="616"/>
      <c r="AC114" s="616"/>
      <c r="AD114" s="616"/>
      <c r="AE114" s="616"/>
      <c r="AF114" s="616"/>
      <c r="AG114" s="615">
        <f t="shared" si="64"/>
        <v>0</v>
      </c>
      <c r="AH114" s="615">
        <f t="shared" si="65"/>
        <v>0</v>
      </c>
      <c r="AI114" s="616">
        <f t="shared" si="66"/>
        <v>0</v>
      </c>
      <c r="AJ114" s="616">
        <f t="shared" si="67"/>
        <v>0</v>
      </c>
      <c r="AK114" s="616">
        <f t="shared" si="68"/>
        <v>0</v>
      </c>
      <c r="AL114" s="616">
        <f t="shared" si="69"/>
        <v>0</v>
      </c>
      <c r="AM114" s="616">
        <f t="shared" si="70"/>
        <v>0</v>
      </c>
      <c r="AN114" s="616">
        <f t="shared" si="71"/>
        <v>0</v>
      </c>
      <c r="AO114" s="615">
        <f t="shared" si="72"/>
        <v>0</v>
      </c>
      <c r="AP114" s="616">
        <f t="shared" si="73"/>
        <v>0</v>
      </c>
      <c r="AQ114" s="616">
        <f t="shared" si="74"/>
        <v>0</v>
      </c>
      <c r="AR114" s="616">
        <f t="shared" si="75"/>
        <v>0</v>
      </c>
      <c r="AS114" s="616">
        <f t="shared" si="76"/>
        <v>0</v>
      </c>
      <c r="AT114" s="637">
        <f t="shared" si="77"/>
        <v>0</v>
      </c>
      <c r="AU114" s="639">
        <f t="shared" si="54"/>
        <v>0</v>
      </c>
      <c r="AV114" s="618">
        <f t="shared" si="55"/>
        <v>0</v>
      </c>
      <c r="AW114" s="618">
        <f t="shared" si="56"/>
        <v>0</v>
      </c>
      <c r="AX114" s="618">
        <f t="shared" si="57"/>
        <v>0</v>
      </c>
      <c r="AY114" s="618">
        <f t="shared" si="58"/>
        <v>0</v>
      </c>
      <c r="AZ114" s="618">
        <f t="shared" si="59"/>
        <v>0</v>
      </c>
      <c r="BA114" s="618">
        <f t="shared" si="60"/>
        <v>0</v>
      </c>
      <c r="BB114" s="618"/>
      <c r="BC114" s="615">
        <f t="shared" si="78"/>
        <v>0</v>
      </c>
      <c r="BD114" s="616">
        <f t="shared" si="79"/>
        <v>0</v>
      </c>
      <c r="BE114" s="616">
        <f t="shared" si="80"/>
        <v>0</v>
      </c>
      <c r="BF114" s="616">
        <f t="shared" si="81"/>
        <v>0</v>
      </c>
      <c r="BG114" s="616">
        <f t="shared" si="82"/>
        <v>0</v>
      </c>
      <c r="BH114" s="616">
        <f t="shared" si="83"/>
        <v>0</v>
      </c>
      <c r="BI114" s="616">
        <f t="shared" si="84"/>
        <v>0</v>
      </c>
      <c r="BJ114" s="616"/>
      <c r="BK114" s="615">
        <f t="shared" si="85"/>
        <v>0</v>
      </c>
      <c r="BL114" s="616">
        <f t="shared" si="86"/>
        <v>0</v>
      </c>
      <c r="BM114" s="616">
        <f t="shared" si="87"/>
        <v>0</v>
      </c>
      <c r="BN114" s="616">
        <f t="shared" si="88"/>
        <v>0</v>
      </c>
      <c r="BO114" s="616">
        <f t="shared" si="89"/>
        <v>0</v>
      </c>
      <c r="BP114" s="616">
        <f t="shared" si="90"/>
        <v>0</v>
      </c>
      <c r="BQ114" s="616">
        <f t="shared" si="91"/>
        <v>0</v>
      </c>
      <c r="BR114" s="616">
        <f t="shared" si="92"/>
        <v>0</v>
      </c>
      <c r="BS114" s="304"/>
    </row>
    <row r="115" s="131" customFormat="1" ht="24" spans="1:71">
      <c r="A115" s="497" t="s">
        <v>202</v>
      </c>
      <c r="B115" s="497" t="s">
        <v>203</v>
      </c>
      <c r="C115" s="497" t="s">
        <v>351</v>
      </c>
      <c r="D115" s="497" t="s">
        <v>350</v>
      </c>
      <c r="E115" s="617">
        <f t="shared" si="51"/>
        <v>0</v>
      </c>
      <c r="F115" s="617">
        <f t="shared" si="52"/>
        <v>0</v>
      </c>
      <c r="G115" s="618"/>
      <c r="H115" s="618"/>
      <c r="I115" s="618"/>
      <c r="J115" s="618"/>
      <c r="K115" s="618"/>
      <c r="L115" s="618"/>
      <c r="M115" s="617">
        <f t="shared" si="53"/>
        <v>0</v>
      </c>
      <c r="N115" s="618"/>
      <c r="O115" s="618"/>
      <c r="P115" s="618"/>
      <c r="Q115" s="618"/>
      <c r="R115" s="618"/>
      <c r="S115" s="615">
        <f t="shared" si="61"/>
        <v>0</v>
      </c>
      <c r="T115" s="615">
        <f t="shared" si="62"/>
        <v>0</v>
      </c>
      <c r="U115" s="616"/>
      <c r="V115" s="616"/>
      <c r="W115" s="616"/>
      <c r="X115" s="616"/>
      <c r="Y115" s="616"/>
      <c r="Z115" s="616"/>
      <c r="AA115" s="615">
        <f t="shared" si="63"/>
        <v>0</v>
      </c>
      <c r="AB115" s="616"/>
      <c r="AC115" s="616"/>
      <c r="AD115" s="616"/>
      <c r="AE115" s="616"/>
      <c r="AF115" s="616"/>
      <c r="AG115" s="615">
        <f t="shared" si="64"/>
        <v>0</v>
      </c>
      <c r="AH115" s="615">
        <f t="shared" si="65"/>
        <v>0</v>
      </c>
      <c r="AI115" s="616">
        <f t="shared" si="66"/>
        <v>0</v>
      </c>
      <c r="AJ115" s="616">
        <f t="shared" si="67"/>
        <v>0</v>
      </c>
      <c r="AK115" s="616">
        <f t="shared" si="68"/>
        <v>0</v>
      </c>
      <c r="AL115" s="616">
        <f t="shared" si="69"/>
        <v>0</v>
      </c>
      <c r="AM115" s="616">
        <f t="shared" si="70"/>
        <v>0</v>
      </c>
      <c r="AN115" s="616">
        <f t="shared" si="71"/>
        <v>0</v>
      </c>
      <c r="AO115" s="615">
        <f t="shared" si="72"/>
        <v>0</v>
      </c>
      <c r="AP115" s="616">
        <f t="shared" si="73"/>
        <v>0</v>
      </c>
      <c r="AQ115" s="616">
        <f t="shared" si="74"/>
        <v>0</v>
      </c>
      <c r="AR115" s="616">
        <f t="shared" si="75"/>
        <v>0</v>
      </c>
      <c r="AS115" s="616">
        <f t="shared" si="76"/>
        <v>0</v>
      </c>
      <c r="AT115" s="637">
        <f t="shared" si="77"/>
        <v>0</v>
      </c>
      <c r="AU115" s="639">
        <f t="shared" si="54"/>
        <v>0</v>
      </c>
      <c r="AV115" s="618">
        <f t="shared" si="55"/>
        <v>0</v>
      </c>
      <c r="AW115" s="618">
        <f t="shared" si="56"/>
        <v>0</v>
      </c>
      <c r="AX115" s="618">
        <f t="shared" si="57"/>
        <v>0</v>
      </c>
      <c r="AY115" s="618">
        <f t="shared" si="58"/>
        <v>0</v>
      </c>
      <c r="AZ115" s="618">
        <f t="shared" si="59"/>
        <v>0</v>
      </c>
      <c r="BA115" s="618">
        <f t="shared" si="60"/>
        <v>0</v>
      </c>
      <c r="BB115" s="618"/>
      <c r="BC115" s="615">
        <f t="shared" si="78"/>
        <v>0</v>
      </c>
      <c r="BD115" s="616">
        <f t="shared" si="79"/>
        <v>0</v>
      </c>
      <c r="BE115" s="616">
        <f t="shared" si="80"/>
        <v>0</v>
      </c>
      <c r="BF115" s="616">
        <f t="shared" si="81"/>
        <v>0</v>
      </c>
      <c r="BG115" s="616">
        <f t="shared" si="82"/>
        <v>0</v>
      </c>
      <c r="BH115" s="616">
        <f t="shared" si="83"/>
        <v>0</v>
      </c>
      <c r="BI115" s="616">
        <f t="shared" si="84"/>
        <v>0</v>
      </c>
      <c r="BJ115" s="616"/>
      <c r="BK115" s="615">
        <f t="shared" si="85"/>
        <v>0</v>
      </c>
      <c r="BL115" s="616">
        <f t="shared" si="86"/>
        <v>0</v>
      </c>
      <c r="BM115" s="616">
        <f t="shared" si="87"/>
        <v>0</v>
      </c>
      <c r="BN115" s="616">
        <f t="shared" si="88"/>
        <v>0</v>
      </c>
      <c r="BO115" s="616">
        <f t="shared" si="89"/>
        <v>0</v>
      </c>
      <c r="BP115" s="616">
        <f t="shared" si="90"/>
        <v>0</v>
      </c>
      <c r="BQ115" s="616">
        <f t="shared" si="91"/>
        <v>0</v>
      </c>
      <c r="BR115" s="616">
        <f t="shared" si="92"/>
        <v>0</v>
      </c>
      <c r="BS115" s="304"/>
    </row>
    <row r="116" s="131" customFormat="1" ht="24" spans="1:71">
      <c r="A116" s="497" t="s">
        <v>202</v>
      </c>
      <c r="B116" s="497" t="s">
        <v>206</v>
      </c>
      <c r="C116" s="497" t="s">
        <v>352</v>
      </c>
      <c r="D116" s="497" t="s">
        <v>353</v>
      </c>
      <c r="E116" s="617">
        <f t="shared" si="51"/>
        <v>15.52</v>
      </c>
      <c r="F116" s="617">
        <f t="shared" si="52"/>
        <v>13.11</v>
      </c>
      <c r="G116" s="618">
        <v>9.1</v>
      </c>
      <c r="H116" s="618"/>
      <c r="I116" s="618">
        <v>4.01</v>
      </c>
      <c r="J116" s="618"/>
      <c r="K116" s="618"/>
      <c r="L116" s="618"/>
      <c r="M116" s="617">
        <f t="shared" si="53"/>
        <v>2.41</v>
      </c>
      <c r="N116" s="618">
        <v>2.41</v>
      </c>
      <c r="O116" s="618"/>
      <c r="P116" s="618"/>
      <c r="Q116" s="618"/>
      <c r="R116" s="618"/>
      <c r="S116" s="615">
        <f t="shared" si="61"/>
        <v>1.86</v>
      </c>
      <c r="T116" s="615">
        <f t="shared" si="62"/>
        <v>1.46</v>
      </c>
      <c r="U116" s="616">
        <v>1.06</v>
      </c>
      <c r="V116" s="616"/>
      <c r="W116" s="616">
        <v>0.05</v>
      </c>
      <c r="X116" s="616"/>
      <c r="Y116" s="616"/>
      <c r="Z116" s="616">
        <v>0.35</v>
      </c>
      <c r="AA116" s="615">
        <f t="shared" si="63"/>
        <v>0.4</v>
      </c>
      <c r="AB116" s="616">
        <v>0.03</v>
      </c>
      <c r="AC116" s="616"/>
      <c r="AD116" s="616"/>
      <c r="AE116" s="616">
        <v>0.45</v>
      </c>
      <c r="AF116" s="616">
        <v>-0.08</v>
      </c>
      <c r="AG116" s="615">
        <f t="shared" si="64"/>
        <v>17.38</v>
      </c>
      <c r="AH116" s="615">
        <f t="shared" si="65"/>
        <v>14.57</v>
      </c>
      <c r="AI116" s="616">
        <f t="shared" si="66"/>
        <v>10.16</v>
      </c>
      <c r="AJ116" s="616">
        <f t="shared" si="67"/>
        <v>0</v>
      </c>
      <c r="AK116" s="616">
        <f t="shared" si="68"/>
        <v>4.06</v>
      </c>
      <c r="AL116" s="616">
        <f t="shared" si="69"/>
        <v>0</v>
      </c>
      <c r="AM116" s="616">
        <f t="shared" si="70"/>
        <v>0</v>
      </c>
      <c r="AN116" s="616">
        <f t="shared" si="71"/>
        <v>0.35</v>
      </c>
      <c r="AO116" s="615">
        <f t="shared" si="72"/>
        <v>2.81</v>
      </c>
      <c r="AP116" s="616">
        <f t="shared" si="73"/>
        <v>2.44</v>
      </c>
      <c r="AQ116" s="616">
        <f t="shared" si="74"/>
        <v>0</v>
      </c>
      <c r="AR116" s="616">
        <f t="shared" si="75"/>
        <v>0</v>
      </c>
      <c r="AS116" s="616">
        <f t="shared" si="76"/>
        <v>0.45</v>
      </c>
      <c r="AT116" s="637">
        <f t="shared" si="77"/>
        <v>-0.08</v>
      </c>
      <c r="AU116" s="639">
        <f t="shared" si="54"/>
        <v>6.64256</v>
      </c>
      <c r="AV116" s="618">
        <f t="shared" si="55"/>
        <v>2.4832</v>
      </c>
      <c r="AW116" s="618">
        <f t="shared" si="56"/>
        <v>1.2416</v>
      </c>
      <c r="AX116" s="618">
        <f t="shared" si="57"/>
        <v>0.9312</v>
      </c>
      <c r="AY116" s="618">
        <f t="shared" si="58"/>
        <v>0.03104</v>
      </c>
      <c r="AZ116" s="618">
        <f t="shared" si="59"/>
        <v>0.09312</v>
      </c>
      <c r="BA116" s="618">
        <f t="shared" si="60"/>
        <v>1.8624</v>
      </c>
      <c r="BB116" s="618"/>
      <c r="BC116" s="615">
        <f t="shared" si="78"/>
        <v>0.48792</v>
      </c>
      <c r="BD116" s="616">
        <f t="shared" si="79"/>
        <v>0.1824</v>
      </c>
      <c r="BE116" s="616">
        <f t="shared" si="80"/>
        <v>0.0912</v>
      </c>
      <c r="BF116" s="616">
        <f t="shared" si="81"/>
        <v>0.0684</v>
      </c>
      <c r="BG116" s="616">
        <f t="shared" si="82"/>
        <v>0.00228</v>
      </c>
      <c r="BH116" s="616">
        <f t="shared" si="83"/>
        <v>0.00684</v>
      </c>
      <c r="BI116" s="616">
        <f t="shared" si="84"/>
        <v>0.1368</v>
      </c>
      <c r="BJ116" s="616"/>
      <c r="BK116" s="615">
        <f t="shared" si="85"/>
        <v>7.13048</v>
      </c>
      <c r="BL116" s="616">
        <f t="shared" si="86"/>
        <v>2.6656</v>
      </c>
      <c r="BM116" s="616">
        <f t="shared" si="87"/>
        <v>1.3328</v>
      </c>
      <c r="BN116" s="616">
        <f t="shared" si="88"/>
        <v>0.9996</v>
      </c>
      <c r="BO116" s="616">
        <f t="shared" si="89"/>
        <v>0.03332</v>
      </c>
      <c r="BP116" s="616">
        <f t="shared" si="90"/>
        <v>0.09996</v>
      </c>
      <c r="BQ116" s="616">
        <f t="shared" si="91"/>
        <v>1.9992</v>
      </c>
      <c r="BR116" s="616">
        <f t="shared" si="92"/>
        <v>0</v>
      </c>
      <c r="BS116" s="304"/>
    </row>
    <row r="117" s="131" customFormat="1" ht="24" spans="1:71">
      <c r="A117" s="497" t="s">
        <v>202</v>
      </c>
      <c r="B117" s="497" t="s">
        <v>206</v>
      </c>
      <c r="C117" s="497" t="s">
        <v>354</v>
      </c>
      <c r="D117" s="497" t="s">
        <v>353</v>
      </c>
      <c r="E117" s="617">
        <f t="shared" si="51"/>
        <v>46.42</v>
      </c>
      <c r="F117" s="617">
        <f t="shared" si="52"/>
        <v>37.88</v>
      </c>
      <c r="G117" s="618">
        <v>19.51</v>
      </c>
      <c r="H117" s="618"/>
      <c r="I117" s="618">
        <v>7.57</v>
      </c>
      <c r="J117" s="618"/>
      <c r="K117" s="618"/>
      <c r="L117" s="618">
        <v>10.8</v>
      </c>
      <c r="M117" s="617">
        <f t="shared" si="53"/>
        <v>8.54</v>
      </c>
      <c r="N117" s="618">
        <v>4.54</v>
      </c>
      <c r="O117" s="618"/>
      <c r="P117" s="618"/>
      <c r="Q117" s="618"/>
      <c r="R117" s="618">
        <v>4</v>
      </c>
      <c r="S117" s="615">
        <f t="shared" si="61"/>
        <v>0</v>
      </c>
      <c r="T117" s="615">
        <f t="shared" si="62"/>
        <v>0</v>
      </c>
      <c r="U117" s="616"/>
      <c r="V117" s="616"/>
      <c r="W117" s="616"/>
      <c r="X117" s="616"/>
      <c r="Y117" s="616"/>
      <c r="Z117" s="616"/>
      <c r="AA117" s="615">
        <f t="shared" si="63"/>
        <v>0</v>
      </c>
      <c r="AB117" s="616"/>
      <c r="AC117" s="616"/>
      <c r="AD117" s="616"/>
      <c r="AE117" s="616"/>
      <c r="AF117" s="616"/>
      <c r="AG117" s="615">
        <f t="shared" si="64"/>
        <v>46.42</v>
      </c>
      <c r="AH117" s="615">
        <f t="shared" si="65"/>
        <v>37.88</v>
      </c>
      <c r="AI117" s="616">
        <f t="shared" si="66"/>
        <v>19.51</v>
      </c>
      <c r="AJ117" s="616">
        <f t="shared" si="67"/>
        <v>0</v>
      </c>
      <c r="AK117" s="616">
        <f t="shared" si="68"/>
        <v>7.57</v>
      </c>
      <c r="AL117" s="616">
        <f t="shared" si="69"/>
        <v>0</v>
      </c>
      <c r="AM117" s="616">
        <f t="shared" si="70"/>
        <v>0</v>
      </c>
      <c r="AN117" s="616">
        <f t="shared" si="71"/>
        <v>10.8</v>
      </c>
      <c r="AO117" s="615">
        <f t="shared" si="72"/>
        <v>8.54</v>
      </c>
      <c r="AP117" s="616">
        <f t="shared" si="73"/>
        <v>4.54</v>
      </c>
      <c r="AQ117" s="616">
        <f t="shared" si="74"/>
        <v>0</v>
      </c>
      <c r="AR117" s="616">
        <f t="shared" si="75"/>
        <v>0</v>
      </c>
      <c r="AS117" s="616">
        <f t="shared" si="76"/>
        <v>0</v>
      </c>
      <c r="AT117" s="637">
        <f t="shared" si="77"/>
        <v>4</v>
      </c>
      <c r="AU117" s="639">
        <f t="shared" si="54"/>
        <v>13.53336</v>
      </c>
      <c r="AV117" s="618">
        <f t="shared" si="55"/>
        <v>5.0592</v>
      </c>
      <c r="AW117" s="618">
        <f t="shared" si="56"/>
        <v>2.5296</v>
      </c>
      <c r="AX117" s="618">
        <f t="shared" si="57"/>
        <v>1.8972</v>
      </c>
      <c r="AY117" s="618">
        <f t="shared" si="58"/>
        <v>0.06324</v>
      </c>
      <c r="AZ117" s="618">
        <f t="shared" si="59"/>
        <v>0.18972</v>
      </c>
      <c r="BA117" s="618">
        <f t="shared" si="60"/>
        <v>3.7944</v>
      </c>
      <c r="BB117" s="618"/>
      <c r="BC117" s="615">
        <f t="shared" si="78"/>
        <v>0</v>
      </c>
      <c r="BD117" s="616">
        <f t="shared" si="79"/>
        <v>0</v>
      </c>
      <c r="BE117" s="616">
        <f t="shared" si="80"/>
        <v>0</v>
      </c>
      <c r="BF117" s="616">
        <f t="shared" si="81"/>
        <v>0</v>
      </c>
      <c r="BG117" s="616">
        <f t="shared" si="82"/>
        <v>0</v>
      </c>
      <c r="BH117" s="616">
        <f t="shared" si="83"/>
        <v>0</v>
      </c>
      <c r="BI117" s="616">
        <f t="shared" si="84"/>
        <v>0</v>
      </c>
      <c r="BJ117" s="616"/>
      <c r="BK117" s="615">
        <f t="shared" si="85"/>
        <v>13.53336</v>
      </c>
      <c r="BL117" s="616">
        <f t="shared" si="86"/>
        <v>5.0592</v>
      </c>
      <c r="BM117" s="616">
        <f t="shared" si="87"/>
        <v>2.5296</v>
      </c>
      <c r="BN117" s="616">
        <f t="shared" si="88"/>
        <v>1.8972</v>
      </c>
      <c r="BO117" s="616">
        <f t="shared" si="89"/>
        <v>0.06324</v>
      </c>
      <c r="BP117" s="616">
        <f t="shared" si="90"/>
        <v>0.18972</v>
      </c>
      <c r="BQ117" s="616">
        <f t="shared" si="91"/>
        <v>3.7944</v>
      </c>
      <c r="BR117" s="616">
        <f t="shared" si="92"/>
        <v>0</v>
      </c>
      <c r="BS117" s="304"/>
    </row>
    <row r="118" s="131" customFormat="1" ht="24" spans="1:71">
      <c r="A118" s="497" t="s">
        <v>202</v>
      </c>
      <c r="B118" s="497" t="s">
        <v>203</v>
      </c>
      <c r="C118" s="497" t="s">
        <v>355</v>
      </c>
      <c r="D118" s="497" t="s">
        <v>356</v>
      </c>
      <c r="E118" s="617">
        <f t="shared" si="51"/>
        <v>20</v>
      </c>
      <c r="F118" s="617">
        <f t="shared" si="52"/>
        <v>0</v>
      </c>
      <c r="G118" s="618"/>
      <c r="H118" s="618"/>
      <c r="I118" s="618"/>
      <c r="J118" s="618"/>
      <c r="K118" s="618"/>
      <c r="L118" s="618"/>
      <c r="M118" s="617">
        <f t="shared" si="53"/>
        <v>20</v>
      </c>
      <c r="N118" s="618"/>
      <c r="O118" s="618">
        <v>20</v>
      </c>
      <c r="P118" s="618"/>
      <c r="Q118" s="618"/>
      <c r="R118" s="618"/>
      <c r="S118" s="615">
        <f t="shared" si="61"/>
        <v>0</v>
      </c>
      <c r="T118" s="615">
        <f t="shared" si="62"/>
        <v>0</v>
      </c>
      <c r="U118" s="616"/>
      <c r="V118" s="616"/>
      <c r="W118" s="616"/>
      <c r="X118" s="616"/>
      <c r="Y118" s="616"/>
      <c r="Z118" s="616"/>
      <c r="AA118" s="615">
        <f t="shared" si="63"/>
        <v>0</v>
      </c>
      <c r="AB118" s="616"/>
      <c r="AC118" s="616"/>
      <c r="AD118" s="616"/>
      <c r="AE118" s="616"/>
      <c r="AF118" s="616"/>
      <c r="AG118" s="615">
        <f t="shared" si="64"/>
        <v>20</v>
      </c>
      <c r="AH118" s="615">
        <f t="shared" si="65"/>
        <v>0</v>
      </c>
      <c r="AI118" s="616">
        <f t="shared" si="66"/>
        <v>0</v>
      </c>
      <c r="AJ118" s="616">
        <f t="shared" si="67"/>
        <v>0</v>
      </c>
      <c r="AK118" s="616">
        <f t="shared" si="68"/>
        <v>0</v>
      </c>
      <c r="AL118" s="616">
        <f t="shared" si="69"/>
        <v>0</v>
      </c>
      <c r="AM118" s="616">
        <f t="shared" si="70"/>
        <v>0</v>
      </c>
      <c r="AN118" s="616">
        <f t="shared" si="71"/>
        <v>0</v>
      </c>
      <c r="AO118" s="615">
        <f t="shared" si="72"/>
        <v>20</v>
      </c>
      <c r="AP118" s="616">
        <f t="shared" si="73"/>
        <v>0</v>
      </c>
      <c r="AQ118" s="616">
        <f t="shared" si="74"/>
        <v>20</v>
      </c>
      <c r="AR118" s="616">
        <f t="shared" si="75"/>
        <v>0</v>
      </c>
      <c r="AS118" s="616">
        <f t="shared" si="76"/>
        <v>0</v>
      </c>
      <c r="AT118" s="637">
        <f t="shared" si="77"/>
        <v>0</v>
      </c>
      <c r="AU118" s="639">
        <f t="shared" si="54"/>
        <v>0</v>
      </c>
      <c r="AV118" s="618">
        <f t="shared" si="55"/>
        <v>0</v>
      </c>
      <c r="AW118" s="618">
        <f t="shared" si="56"/>
        <v>0</v>
      </c>
      <c r="AX118" s="618">
        <f t="shared" si="57"/>
        <v>0</v>
      </c>
      <c r="AY118" s="618">
        <f t="shared" si="58"/>
        <v>0</v>
      </c>
      <c r="AZ118" s="618">
        <f t="shared" si="59"/>
        <v>0</v>
      </c>
      <c r="BA118" s="618">
        <f t="shared" si="60"/>
        <v>0</v>
      </c>
      <c r="BB118" s="618"/>
      <c r="BC118" s="615">
        <f t="shared" si="78"/>
        <v>0</v>
      </c>
      <c r="BD118" s="616">
        <f t="shared" si="79"/>
        <v>0</v>
      </c>
      <c r="BE118" s="616">
        <f t="shared" si="80"/>
        <v>0</v>
      </c>
      <c r="BF118" s="616">
        <f t="shared" si="81"/>
        <v>0</v>
      </c>
      <c r="BG118" s="616">
        <f t="shared" si="82"/>
        <v>0</v>
      </c>
      <c r="BH118" s="616">
        <f t="shared" si="83"/>
        <v>0</v>
      </c>
      <c r="BI118" s="616">
        <f t="shared" si="84"/>
        <v>0</v>
      </c>
      <c r="BJ118" s="616"/>
      <c r="BK118" s="615">
        <f t="shared" si="85"/>
        <v>0</v>
      </c>
      <c r="BL118" s="616">
        <f t="shared" si="86"/>
        <v>0</v>
      </c>
      <c r="BM118" s="616">
        <f t="shared" si="87"/>
        <v>0</v>
      </c>
      <c r="BN118" s="616">
        <f t="shared" si="88"/>
        <v>0</v>
      </c>
      <c r="BO118" s="616">
        <f t="shared" si="89"/>
        <v>0</v>
      </c>
      <c r="BP118" s="616">
        <f t="shared" si="90"/>
        <v>0</v>
      </c>
      <c r="BQ118" s="616">
        <f t="shared" si="91"/>
        <v>0</v>
      </c>
      <c r="BR118" s="616">
        <f t="shared" si="92"/>
        <v>0</v>
      </c>
      <c r="BS118" s="304" t="s">
        <v>357</v>
      </c>
    </row>
    <row r="119" s="131" customFormat="1" ht="24" spans="1:71">
      <c r="A119" s="497" t="s">
        <v>202</v>
      </c>
      <c r="B119" s="497" t="s">
        <v>206</v>
      </c>
      <c r="C119" s="497" t="s">
        <v>358</v>
      </c>
      <c r="D119" s="497" t="s">
        <v>359</v>
      </c>
      <c r="E119" s="617">
        <f t="shared" si="51"/>
        <v>68.06</v>
      </c>
      <c r="F119" s="617">
        <f t="shared" si="52"/>
        <v>56.22</v>
      </c>
      <c r="G119" s="618">
        <v>31.99</v>
      </c>
      <c r="H119" s="618"/>
      <c r="I119" s="618">
        <v>12.24</v>
      </c>
      <c r="J119" s="618"/>
      <c r="K119" s="618"/>
      <c r="L119" s="618">
        <v>11.99</v>
      </c>
      <c r="M119" s="617">
        <f t="shared" si="53"/>
        <v>11.84</v>
      </c>
      <c r="N119" s="618">
        <v>7.34</v>
      </c>
      <c r="O119" s="618"/>
      <c r="P119" s="618"/>
      <c r="Q119" s="618"/>
      <c r="R119" s="618">
        <v>4.5</v>
      </c>
      <c r="S119" s="615">
        <f t="shared" si="61"/>
        <v>3.66</v>
      </c>
      <c r="T119" s="615">
        <f t="shared" si="62"/>
        <v>2.93</v>
      </c>
      <c r="U119" s="616">
        <v>1.72</v>
      </c>
      <c r="V119" s="616"/>
      <c r="W119" s="616">
        <v>0.6</v>
      </c>
      <c r="X119" s="616"/>
      <c r="Y119" s="616"/>
      <c r="Z119" s="616">
        <v>0.61</v>
      </c>
      <c r="AA119" s="615">
        <f t="shared" si="63"/>
        <v>0.73</v>
      </c>
      <c r="AB119" s="616">
        <v>0.36</v>
      </c>
      <c r="AC119" s="616"/>
      <c r="AD119" s="616"/>
      <c r="AE119" s="616">
        <f>0.3+0.15</f>
        <v>0.45</v>
      </c>
      <c r="AF119" s="616">
        <v>-0.08</v>
      </c>
      <c r="AG119" s="615">
        <f t="shared" si="64"/>
        <v>71.72</v>
      </c>
      <c r="AH119" s="615">
        <f t="shared" si="65"/>
        <v>59.15</v>
      </c>
      <c r="AI119" s="616">
        <f t="shared" si="66"/>
        <v>33.71</v>
      </c>
      <c r="AJ119" s="616">
        <f t="shared" si="67"/>
        <v>0</v>
      </c>
      <c r="AK119" s="616">
        <f t="shared" si="68"/>
        <v>12.84</v>
      </c>
      <c r="AL119" s="616">
        <f t="shared" si="69"/>
        <v>0</v>
      </c>
      <c r="AM119" s="616">
        <f t="shared" si="70"/>
        <v>0</v>
      </c>
      <c r="AN119" s="616">
        <f t="shared" si="71"/>
        <v>12.6</v>
      </c>
      <c r="AO119" s="615">
        <f t="shared" si="72"/>
        <v>12.57</v>
      </c>
      <c r="AP119" s="616">
        <f t="shared" si="73"/>
        <v>7.7</v>
      </c>
      <c r="AQ119" s="616">
        <f t="shared" si="74"/>
        <v>0</v>
      </c>
      <c r="AR119" s="616">
        <f t="shared" si="75"/>
        <v>0</v>
      </c>
      <c r="AS119" s="616">
        <f t="shared" si="76"/>
        <v>0.45</v>
      </c>
      <c r="AT119" s="637">
        <f t="shared" si="77"/>
        <v>4.42</v>
      </c>
      <c r="AU119" s="639">
        <f t="shared" si="54"/>
        <v>22.07196</v>
      </c>
      <c r="AV119" s="618">
        <f t="shared" si="55"/>
        <v>8.2512</v>
      </c>
      <c r="AW119" s="618">
        <f t="shared" si="56"/>
        <v>4.1256</v>
      </c>
      <c r="AX119" s="618">
        <f t="shared" si="57"/>
        <v>3.0942</v>
      </c>
      <c r="AY119" s="618">
        <f t="shared" si="58"/>
        <v>0.10314</v>
      </c>
      <c r="AZ119" s="618">
        <f t="shared" si="59"/>
        <v>0.30942</v>
      </c>
      <c r="BA119" s="618">
        <f t="shared" si="60"/>
        <v>6.1884</v>
      </c>
      <c r="BB119" s="618"/>
      <c r="BC119" s="615">
        <f t="shared" si="78"/>
        <v>1.14704</v>
      </c>
      <c r="BD119" s="616">
        <f t="shared" si="79"/>
        <v>0.4288</v>
      </c>
      <c r="BE119" s="616">
        <f t="shared" si="80"/>
        <v>0.2144</v>
      </c>
      <c r="BF119" s="616">
        <f t="shared" si="81"/>
        <v>0.1608</v>
      </c>
      <c r="BG119" s="616">
        <f t="shared" si="82"/>
        <v>0.00536</v>
      </c>
      <c r="BH119" s="616">
        <f t="shared" si="83"/>
        <v>0.01608</v>
      </c>
      <c r="BI119" s="616">
        <f t="shared" si="84"/>
        <v>0.3216</v>
      </c>
      <c r="BJ119" s="616"/>
      <c r="BK119" s="615">
        <f t="shared" si="85"/>
        <v>23.219</v>
      </c>
      <c r="BL119" s="616">
        <f t="shared" si="86"/>
        <v>8.68</v>
      </c>
      <c r="BM119" s="616">
        <f t="shared" si="87"/>
        <v>4.34</v>
      </c>
      <c r="BN119" s="616">
        <f t="shared" si="88"/>
        <v>3.255</v>
      </c>
      <c r="BO119" s="616">
        <f t="shared" si="89"/>
        <v>0.1085</v>
      </c>
      <c r="BP119" s="616">
        <f t="shared" si="90"/>
        <v>0.3255</v>
      </c>
      <c r="BQ119" s="616">
        <f t="shared" si="91"/>
        <v>6.51</v>
      </c>
      <c r="BR119" s="616">
        <f t="shared" si="92"/>
        <v>0</v>
      </c>
      <c r="BS119" s="304"/>
    </row>
    <row r="120" s="131" customFormat="1" ht="24" spans="1:71">
      <c r="A120" s="497" t="s">
        <v>202</v>
      </c>
      <c r="B120" s="497" t="s">
        <v>203</v>
      </c>
      <c r="C120" s="497" t="s">
        <v>360</v>
      </c>
      <c r="D120" s="497" t="s">
        <v>361</v>
      </c>
      <c r="E120" s="617">
        <f t="shared" si="51"/>
        <v>0</v>
      </c>
      <c r="F120" s="617">
        <f t="shared" si="52"/>
        <v>0</v>
      </c>
      <c r="G120" s="618"/>
      <c r="H120" s="618"/>
      <c r="I120" s="618"/>
      <c r="J120" s="618"/>
      <c r="K120" s="618"/>
      <c r="L120" s="618"/>
      <c r="M120" s="617">
        <f t="shared" si="53"/>
        <v>0</v>
      </c>
      <c r="N120" s="618"/>
      <c r="O120" s="618"/>
      <c r="P120" s="618"/>
      <c r="Q120" s="618"/>
      <c r="R120" s="618"/>
      <c r="S120" s="615">
        <f t="shared" si="61"/>
        <v>0</v>
      </c>
      <c r="T120" s="615">
        <f t="shared" si="62"/>
        <v>0</v>
      </c>
      <c r="U120" s="616"/>
      <c r="V120" s="616"/>
      <c r="W120" s="616"/>
      <c r="X120" s="616"/>
      <c r="Y120" s="616"/>
      <c r="Z120" s="616"/>
      <c r="AA120" s="615">
        <f t="shared" si="63"/>
        <v>0</v>
      </c>
      <c r="AB120" s="616"/>
      <c r="AC120" s="616"/>
      <c r="AD120" s="616"/>
      <c r="AE120" s="616"/>
      <c r="AF120" s="616"/>
      <c r="AG120" s="615">
        <f t="shared" si="64"/>
        <v>0</v>
      </c>
      <c r="AH120" s="615">
        <f t="shared" si="65"/>
        <v>0</v>
      </c>
      <c r="AI120" s="616">
        <f t="shared" si="66"/>
        <v>0</v>
      </c>
      <c r="AJ120" s="616">
        <f t="shared" si="67"/>
        <v>0</v>
      </c>
      <c r="AK120" s="616">
        <f t="shared" si="68"/>
        <v>0</v>
      </c>
      <c r="AL120" s="616">
        <f t="shared" si="69"/>
        <v>0</v>
      </c>
      <c r="AM120" s="616">
        <f t="shared" si="70"/>
        <v>0</v>
      </c>
      <c r="AN120" s="616">
        <f t="shared" si="71"/>
        <v>0</v>
      </c>
      <c r="AO120" s="615">
        <f t="shared" si="72"/>
        <v>0</v>
      </c>
      <c r="AP120" s="616">
        <f t="shared" si="73"/>
        <v>0</v>
      </c>
      <c r="AQ120" s="616">
        <f t="shared" si="74"/>
        <v>0</v>
      </c>
      <c r="AR120" s="616">
        <f t="shared" si="75"/>
        <v>0</v>
      </c>
      <c r="AS120" s="616">
        <f t="shared" si="76"/>
        <v>0</v>
      </c>
      <c r="AT120" s="637">
        <f t="shared" si="77"/>
        <v>0</v>
      </c>
      <c r="AU120" s="639">
        <f t="shared" si="54"/>
        <v>0</v>
      </c>
      <c r="AV120" s="618">
        <f t="shared" si="55"/>
        <v>0</v>
      </c>
      <c r="AW120" s="618">
        <f t="shared" si="56"/>
        <v>0</v>
      </c>
      <c r="AX120" s="618">
        <f t="shared" si="57"/>
        <v>0</v>
      </c>
      <c r="AY120" s="618">
        <f t="shared" si="58"/>
        <v>0</v>
      </c>
      <c r="AZ120" s="618">
        <f t="shared" si="59"/>
        <v>0</v>
      </c>
      <c r="BA120" s="618">
        <f t="shared" si="60"/>
        <v>0</v>
      </c>
      <c r="BB120" s="618"/>
      <c r="BC120" s="615">
        <f t="shared" si="78"/>
        <v>0</v>
      </c>
      <c r="BD120" s="616">
        <f t="shared" si="79"/>
        <v>0</v>
      </c>
      <c r="BE120" s="616">
        <f t="shared" si="80"/>
        <v>0</v>
      </c>
      <c r="BF120" s="616">
        <f t="shared" si="81"/>
        <v>0</v>
      </c>
      <c r="BG120" s="616">
        <f t="shared" si="82"/>
        <v>0</v>
      </c>
      <c r="BH120" s="616">
        <f t="shared" si="83"/>
        <v>0</v>
      </c>
      <c r="BI120" s="616">
        <f t="shared" si="84"/>
        <v>0</v>
      </c>
      <c r="BJ120" s="616"/>
      <c r="BK120" s="615">
        <f t="shared" si="85"/>
        <v>0</v>
      </c>
      <c r="BL120" s="616">
        <f t="shared" si="86"/>
        <v>0</v>
      </c>
      <c r="BM120" s="616">
        <f t="shared" si="87"/>
        <v>0</v>
      </c>
      <c r="BN120" s="616">
        <f t="shared" si="88"/>
        <v>0</v>
      </c>
      <c r="BO120" s="616">
        <f t="shared" si="89"/>
        <v>0</v>
      </c>
      <c r="BP120" s="616">
        <f t="shared" si="90"/>
        <v>0</v>
      </c>
      <c r="BQ120" s="616">
        <f t="shared" si="91"/>
        <v>0</v>
      </c>
      <c r="BR120" s="616">
        <f t="shared" si="92"/>
        <v>0</v>
      </c>
      <c r="BS120" s="304"/>
    </row>
    <row r="121" s="131" customFormat="1" ht="24" spans="1:71">
      <c r="A121" s="497" t="s">
        <v>202</v>
      </c>
      <c r="B121" s="497" t="s">
        <v>206</v>
      </c>
      <c r="C121" s="646" t="s">
        <v>656</v>
      </c>
      <c r="D121" s="497" t="s">
        <v>363</v>
      </c>
      <c r="E121" s="617">
        <f t="shared" si="51"/>
        <v>30</v>
      </c>
      <c r="F121" s="617">
        <f t="shared" si="52"/>
        <v>24.6</v>
      </c>
      <c r="G121" s="618">
        <v>13.61</v>
      </c>
      <c r="H121" s="618"/>
      <c r="I121" s="618">
        <v>5.67</v>
      </c>
      <c r="J121" s="618"/>
      <c r="K121" s="618"/>
      <c r="L121" s="618">
        <v>5.32</v>
      </c>
      <c r="M121" s="617">
        <f t="shared" si="53"/>
        <v>5.4</v>
      </c>
      <c r="N121" s="618">
        <v>3.4</v>
      </c>
      <c r="O121" s="618"/>
      <c r="P121" s="618"/>
      <c r="Q121" s="618"/>
      <c r="R121" s="618">
        <v>2</v>
      </c>
      <c r="S121" s="615">
        <f t="shared" si="61"/>
        <v>6.29</v>
      </c>
      <c r="T121" s="615">
        <f t="shared" si="62"/>
        <v>5.49</v>
      </c>
      <c r="U121" s="616">
        <v>3.11</v>
      </c>
      <c r="V121" s="616"/>
      <c r="W121" s="616">
        <v>1.08</v>
      </c>
      <c r="X121" s="616"/>
      <c r="Y121" s="616"/>
      <c r="Z121" s="616">
        <v>1.3</v>
      </c>
      <c r="AA121" s="615">
        <f t="shared" si="63"/>
        <v>0.8</v>
      </c>
      <c r="AB121" s="616">
        <v>0.65</v>
      </c>
      <c r="AC121" s="616"/>
      <c r="AD121" s="616"/>
      <c r="AE121" s="616">
        <v>0.15</v>
      </c>
      <c r="AF121" s="616"/>
      <c r="AG121" s="615">
        <f t="shared" si="64"/>
        <v>36.29</v>
      </c>
      <c r="AH121" s="615">
        <f t="shared" si="65"/>
        <v>30.09</v>
      </c>
      <c r="AI121" s="616">
        <f t="shared" si="66"/>
        <v>16.72</v>
      </c>
      <c r="AJ121" s="616">
        <f t="shared" si="67"/>
        <v>0</v>
      </c>
      <c r="AK121" s="616">
        <f t="shared" si="68"/>
        <v>6.75</v>
      </c>
      <c r="AL121" s="616">
        <f t="shared" si="69"/>
        <v>0</v>
      </c>
      <c r="AM121" s="616">
        <f t="shared" si="70"/>
        <v>0</v>
      </c>
      <c r="AN121" s="616">
        <f t="shared" si="71"/>
        <v>6.62</v>
      </c>
      <c r="AO121" s="615">
        <f t="shared" si="72"/>
        <v>6.2</v>
      </c>
      <c r="AP121" s="616">
        <f t="shared" si="73"/>
        <v>4.05</v>
      </c>
      <c r="AQ121" s="616">
        <f t="shared" si="74"/>
        <v>0</v>
      </c>
      <c r="AR121" s="616">
        <f t="shared" si="75"/>
        <v>0</v>
      </c>
      <c r="AS121" s="616">
        <f t="shared" si="76"/>
        <v>0.15</v>
      </c>
      <c r="AT121" s="637">
        <f t="shared" si="77"/>
        <v>2</v>
      </c>
      <c r="AU121" s="639">
        <f t="shared" si="54"/>
        <v>9.70704</v>
      </c>
      <c r="AV121" s="618">
        <f t="shared" si="55"/>
        <v>3.6288</v>
      </c>
      <c r="AW121" s="618">
        <f t="shared" si="56"/>
        <v>1.8144</v>
      </c>
      <c r="AX121" s="618">
        <f t="shared" si="57"/>
        <v>1.3608</v>
      </c>
      <c r="AY121" s="618">
        <f t="shared" si="58"/>
        <v>0.04536</v>
      </c>
      <c r="AZ121" s="618">
        <f t="shared" si="59"/>
        <v>0.13608</v>
      </c>
      <c r="BA121" s="618">
        <f t="shared" si="60"/>
        <v>2.7216</v>
      </c>
      <c r="BB121" s="618"/>
      <c r="BC121" s="615">
        <f t="shared" si="78"/>
        <v>2.07152</v>
      </c>
      <c r="BD121" s="616">
        <f t="shared" si="79"/>
        <v>0.7744</v>
      </c>
      <c r="BE121" s="616">
        <f t="shared" si="80"/>
        <v>0.3872</v>
      </c>
      <c r="BF121" s="616">
        <f t="shared" si="81"/>
        <v>0.2904</v>
      </c>
      <c r="BG121" s="616">
        <f t="shared" si="82"/>
        <v>0.00968</v>
      </c>
      <c r="BH121" s="616">
        <f t="shared" si="83"/>
        <v>0.02904</v>
      </c>
      <c r="BI121" s="616">
        <f t="shared" si="84"/>
        <v>0.5808</v>
      </c>
      <c r="BJ121" s="616"/>
      <c r="BK121" s="615">
        <f t="shared" si="85"/>
        <v>11.77856</v>
      </c>
      <c r="BL121" s="616">
        <f t="shared" si="86"/>
        <v>4.4032</v>
      </c>
      <c r="BM121" s="616">
        <f t="shared" si="87"/>
        <v>2.2016</v>
      </c>
      <c r="BN121" s="616">
        <f t="shared" si="88"/>
        <v>1.6512</v>
      </c>
      <c r="BO121" s="616">
        <f t="shared" si="89"/>
        <v>0.05504</v>
      </c>
      <c r="BP121" s="616">
        <f t="shared" si="90"/>
        <v>0.16512</v>
      </c>
      <c r="BQ121" s="616">
        <f t="shared" si="91"/>
        <v>3.3024</v>
      </c>
      <c r="BR121" s="616">
        <f t="shared" si="92"/>
        <v>0</v>
      </c>
      <c r="BS121" s="304"/>
    </row>
    <row r="122" s="131" customFormat="1" ht="24" spans="1:71">
      <c r="A122" s="497" t="s">
        <v>202</v>
      </c>
      <c r="B122" s="497" t="s">
        <v>203</v>
      </c>
      <c r="C122" s="497" t="s">
        <v>364</v>
      </c>
      <c r="D122" s="497" t="s">
        <v>365</v>
      </c>
      <c r="E122" s="617">
        <f t="shared" si="51"/>
        <v>0</v>
      </c>
      <c r="F122" s="617">
        <f t="shared" si="52"/>
        <v>0</v>
      </c>
      <c r="G122" s="618"/>
      <c r="H122" s="618"/>
      <c r="I122" s="618"/>
      <c r="J122" s="618"/>
      <c r="K122" s="618"/>
      <c r="L122" s="618"/>
      <c r="M122" s="617">
        <f t="shared" si="53"/>
        <v>0</v>
      </c>
      <c r="N122" s="618"/>
      <c r="O122" s="618"/>
      <c r="P122" s="618"/>
      <c r="Q122" s="618"/>
      <c r="R122" s="618"/>
      <c r="S122" s="615">
        <f t="shared" si="61"/>
        <v>0</v>
      </c>
      <c r="T122" s="615">
        <f t="shared" si="62"/>
        <v>0</v>
      </c>
      <c r="U122" s="616"/>
      <c r="V122" s="616"/>
      <c r="W122" s="616"/>
      <c r="X122" s="616"/>
      <c r="Y122" s="616"/>
      <c r="Z122" s="616"/>
      <c r="AA122" s="615">
        <f t="shared" si="63"/>
        <v>0</v>
      </c>
      <c r="AB122" s="616"/>
      <c r="AC122" s="616"/>
      <c r="AD122" s="616"/>
      <c r="AE122" s="616"/>
      <c r="AF122" s="616"/>
      <c r="AG122" s="615">
        <f t="shared" si="64"/>
        <v>0</v>
      </c>
      <c r="AH122" s="615">
        <f t="shared" si="65"/>
        <v>0</v>
      </c>
      <c r="AI122" s="616">
        <f t="shared" si="66"/>
        <v>0</v>
      </c>
      <c r="AJ122" s="616">
        <f t="shared" si="67"/>
        <v>0</v>
      </c>
      <c r="AK122" s="616">
        <f t="shared" si="68"/>
        <v>0</v>
      </c>
      <c r="AL122" s="616">
        <f t="shared" si="69"/>
        <v>0</v>
      </c>
      <c r="AM122" s="616">
        <f t="shared" si="70"/>
        <v>0</v>
      </c>
      <c r="AN122" s="616">
        <f t="shared" si="71"/>
        <v>0</v>
      </c>
      <c r="AO122" s="615">
        <f t="shared" si="72"/>
        <v>0</v>
      </c>
      <c r="AP122" s="616">
        <f t="shared" si="73"/>
        <v>0</v>
      </c>
      <c r="AQ122" s="616">
        <f t="shared" si="74"/>
        <v>0</v>
      </c>
      <c r="AR122" s="616">
        <f t="shared" si="75"/>
        <v>0</v>
      </c>
      <c r="AS122" s="616">
        <f t="shared" si="76"/>
        <v>0</v>
      </c>
      <c r="AT122" s="637">
        <f t="shared" si="77"/>
        <v>0</v>
      </c>
      <c r="AU122" s="639">
        <f t="shared" si="54"/>
        <v>0</v>
      </c>
      <c r="AV122" s="618">
        <f t="shared" si="55"/>
        <v>0</v>
      </c>
      <c r="AW122" s="618">
        <f t="shared" si="56"/>
        <v>0</v>
      </c>
      <c r="AX122" s="618">
        <f t="shared" si="57"/>
        <v>0</v>
      </c>
      <c r="AY122" s="618">
        <f t="shared" si="58"/>
        <v>0</v>
      </c>
      <c r="AZ122" s="618">
        <f t="shared" si="59"/>
        <v>0</v>
      </c>
      <c r="BA122" s="618">
        <f t="shared" si="60"/>
        <v>0</v>
      </c>
      <c r="BB122" s="618"/>
      <c r="BC122" s="615">
        <f t="shared" si="78"/>
        <v>0</v>
      </c>
      <c r="BD122" s="616">
        <f t="shared" si="79"/>
        <v>0</v>
      </c>
      <c r="BE122" s="616">
        <f t="shared" si="80"/>
        <v>0</v>
      </c>
      <c r="BF122" s="616">
        <f t="shared" si="81"/>
        <v>0</v>
      </c>
      <c r="BG122" s="616">
        <f t="shared" si="82"/>
        <v>0</v>
      </c>
      <c r="BH122" s="616">
        <f t="shared" si="83"/>
        <v>0</v>
      </c>
      <c r="BI122" s="616">
        <f t="shared" si="84"/>
        <v>0</v>
      </c>
      <c r="BJ122" s="616"/>
      <c r="BK122" s="615">
        <f t="shared" si="85"/>
        <v>0</v>
      </c>
      <c r="BL122" s="616">
        <f t="shared" si="86"/>
        <v>0</v>
      </c>
      <c r="BM122" s="616">
        <f t="shared" si="87"/>
        <v>0</v>
      </c>
      <c r="BN122" s="616">
        <f t="shared" si="88"/>
        <v>0</v>
      </c>
      <c r="BO122" s="616">
        <f t="shared" si="89"/>
        <v>0</v>
      </c>
      <c r="BP122" s="616">
        <f t="shared" si="90"/>
        <v>0</v>
      </c>
      <c r="BQ122" s="616">
        <f t="shared" si="91"/>
        <v>0</v>
      </c>
      <c r="BR122" s="616">
        <f t="shared" si="92"/>
        <v>0</v>
      </c>
      <c r="BS122" s="304"/>
    </row>
    <row r="123" s="131" customFormat="1" ht="24" spans="1:71">
      <c r="A123" s="497" t="s">
        <v>202</v>
      </c>
      <c r="B123" s="497" t="s">
        <v>203</v>
      </c>
      <c r="C123" s="497" t="s">
        <v>366</v>
      </c>
      <c r="D123" s="497" t="s">
        <v>365</v>
      </c>
      <c r="E123" s="617">
        <f t="shared" si="51"/>
        <v>0</v>
      </c>
      <c r="F123" s="617">
        <f t="shared" si="52"/>
        <v>0</v>
      </c>
      <c r="G123" s="618"/>
      <c r="H123" s="618"/>
      <c r="I123" s="618"/>
      <c r="J123" s="618"/>
      <c r="K123" s="618"/>
      <c r="L123" s="618"/>
      <c r="M123" s="617">
        <f t="shared" si="53"/>
        <v>0</v>
      </c>
      <c r="N123" s="618"/>
      <c r="O123" s="618"/>
      <c r="P123" s="618"/>
      <c r="Q123" s="618"/>
      <c r="R123" s="618"/>
      <c r="S123" s="615">
        <f t="shared" si="61"/>
        <v>0</v>
      </c>
      <c r="T123" s="615">
        <f t="shared" si="62"/>
        <v>0</v>
      </c>
      <c r="U123" s="616"/>
      <c r="V123" s="616"/>
      <c r="W123" s="616"/>
      <c r="X123" s="616"/>
      <c r="Y123" s="616"/>
      <c r="Z123" s="616"/>
      <c r="AA123" s="615">
        <f t="shared" si="63"/>
        <v>0</v>
      </c>
      <c r="AB123" s="616"/>
      <c r="AC123" s="616"/>
      <c r="AD123" s="616"/>
      <c r="AE123" s="616"/>
      <c r="AF123" s="616"/>
      <c r="AG123" s="615">
        <f t="shared" si="64"/>
        <v>0</v>
      </c>
      <c r="AH123" s="615">
        <f t="shared" si="65"/>
        <v>0</v>
      </c>
      <c r="AI123" s="616">
        <f t="shared" si="66"/>
        <v>0</v>
      </c>
      <c r="AJ123" s="616">
        <f t="shared" si="67"/>
        <v>0</v>
      </c>
      <c r="AK123" s="616">
        <f t="shared" si="68"/>
        <v>0</v>
      </c>
      <c r="AL123" s="616">
        <f t="shared" si="69"/>
        <v>0</v>
      </c>
      <c r="AM123" s="616">
        <f t="shared" si="70"/>
        <v>0</v>
      </c>
      <c r="AN123" s="616">
        <f t="shared" si="71"/>
        <v>0</v>
      </c>
      <c r="AO123" s="615">
        <f t="shared" si="72"/>
        <v>0</v>
      </c>
      <c r="AP123" s="616">
        <f t="shared" si="73"/>
        <v>0</v>
      </c>
      <c r="AQ123" s="616">
        <f t="shared" si="74"/>
        <v>0</v>
      </c>
      <c r="AR123" s="616">
        <f t="shared" si="75"/>
        <v>0</v>
      </c>
      <c r="AS123" s="616">
        <f t="shared" si="76"/>
        <v>0</v>
      </c>
      <c r="AT123" s="637">
        <f t="shared" si="77"/>
        <v>0</v>
      </c>
      <c r="AU123" s="639">
        <f t="shared" si="54"/>
        <v>0</v>
      </c>
      <c r="AV123" s="618">
        <f t="shared" si="55"/>
        <v>0</v>
      </c>
      <c r="AW123" s="618">
        <f t="shared" si="56"/>
        <v>0</v>
      </c>
      <c r="AX123" s="618">
        <f t="shared" si="57"/>
        <v>0</v>
      </c>
      <c r="AY123" s="618">
        <f t="shared" si="58"/>
        <v>0</v>
      </c>
      <c r="AZ123" s="618">
        <f t="shared" si="59"/>
        <v>0</v>
      </c>
      <c r="BA123" s="618">
        <f t="shared" si="60"/>
        <v>0</v>
      </c>
      <c r="BB123" s="618"/>
      <c r="BC123" s="615">
        <f t="shared" si="78"/>
        <v>0</v>
      </c>
      <c r="BD123" s="616">
        <f t="shared" si="79"/>
        <v>0</v>
      </c>
      <c r="BE123" s="616">
        <f t="shared" si="80"/>
        <v>0</v>
      </c>
      <c r="BF123" s="616">
        <f t="shared" si="81"/>
        <v>0</v>
      </c>
      <c r="BG123" s="616">
        <f t="shared" si="82"/>
        <v>0</v>
      </c>
      <c r="BH123" s="616">
        <f t="shared" si="83"/>
        <v>0</v>
      </c>
      <c r="BI123" s="616">
        <f t="shared" si="84"/>
        <v>0</v>
      </c>
      <c r="BJ123" s="616"/>
      <c r="BK123" s="615">
        <f t="shared" si="85"/>
        <v>0</v>
      </c>
      <c r="BL123" s="616">
        <f t="shared" si="86"/>
        <v>0</v>
      </c>
      <c r="BM123" s="616">
        <f t="shared" si="87"/>
        <v>0</v>
      </c>
      <c r="BN123" s="616">
        <f t="shared" si="88"/>
        <v>0</v>
      </c>
      <c r="BO123" s="616">
        <f t="shared" si="89"/>
        <v>0</v>
      </c>
      <c r="BP123" s="616">
        <f t="shared" si="90"/>
        <v>0</v>
      </c>
      <c r="BQ123" s="616">
        <f t="shared" si="91"/>
        <v>0</v>
      </c>
      <c r="BR123" s="616">
        <f t="shared" si="92"/>
        <v>0</v>
      </c>
      <c r="BS123" s="304"/>
    </row>
    <row r="124" s="131" customFormat="1" ht="24" spans="1:71">
      <c r="A124" s="497" t="s">
        <v>202</v>
      </c>
      <c r="B124" s="497" t="s">
        <v>203</v>
      </c>
      <c r="C124" s="497" t="s">
        <v>367</v>
      </c>
      <c r="D124" s="497" t="s">
        <v>365</v>
      </c>
      <c r="E124" s="617">
        <f t="shared" si="51"/>
        <v>0</v>
      </c>
      <c r="F124" s="617">
        <f t="shared" si="52"/>
        <v>0</v>
      </c>
      <c r="G124" s="618"/>
      <c r="H124" s="618"/>
      <c r="I124" s="618"/>
      <c r="J124" s="618"/>
      <c r="K124" s="618"/>
      <c r="L124" s="618"/>
      <c r="M124" s="617">
        <f t="shared" si="53"/>
        <v>0</v>
      </c>
      <c r="N124" s="618"/>
      <c r="O124" s="618"/>
      <c r="P124" s="618"/>
      <c r="Q124" s="618"/>
      <c r="R124" s="618"/>
      <c r="S124" s="615">
        <f t="shared" si="61"/>
        <v>0</v>
      </c>
      <c r="T124" s="615">
        <f t="shared" si="62"/>
        <v>0</v>
      </c>
      <c r="U124" s="616"/>
      <c r="V124" s="616"/>
      <c r="W124" s="616"/>
      <c r="X124" s="616"/>
      <c r="Y124" s="616"/>
      <c r="Z124" s="616"/>
      <c r="AA124" s="615">
        <f t="shared" si="63"/>
        <v>0</v>
      </c>
      <c r="AB124" s="616"/>
      <c r="AC124" s="616"/>
      <c r="AD124" s="616"/>
      <c r="AE124" s="616"/>
      <c r="AF124" s="616"/>
      <c r="AG124" s="615">
        <f t="shared" si="64"/>
        <v>0</v>
      </c>
      <c r="AH124" s="615">
        <f t="shared" si="65"/>
        <v>0</v>
      </c>
      <c r="AI124" s="616">
        <f t="shared" si="66"/>
        <v>0</v>
      </c>
      <c r="AJ124" s="616">
        <f t="shared" si="67"/>
        <v>0</v>
      </c>
      <c r="AK124" s="616">
        <f t="shared" si="68"/>
        <v>0</v>
      </c>
      <c r="AL124" s="616">
        <f t="shared" si="69"/>
        <v>0</v>
      </c>
      <c r="AM124" s="616">
        <f t="shared" si="70"/>
        <v>0</v>
      </c>
      <c r="AN124" s="616">
        <f t="shared" si="71"/>
        <v>0</v>
      </c>
      <c r="AO124" s="615">
        <f t="shared" si="72"/>
        <v>0</v>
      </c>
      <c r="AP124" s="616">
        <f t="shared" si="73"/>
        <v>0</v>
      </c>
      <c r="AQ124" s="616">
        <f t="shared" si="74"/>
        <v>0</v>
      </c>
      <c r="AR124" s="616">
        <f t="shared" si="75"/>
        <v>0</v>
      </c>
      <c r="AS124" s="616">
        <f t="shared" si="76"/>
        <v>0</v>
      </c>
      <c r="AT124" s="637">
        <f t="shared" si="77"/>
        <v>0</v>
      </c>
      <c r="AU124" s="639">
        <f t="shared" si="54"/>
        <v>0</v>
      </c>
      <c r="AV124" s="618">
        <f t="shared" si="55"/>
        <v>0</v>
      </c>
      <c r="AW124" s="618">
        <f t="shared" si="56"/>
        <v>0</v>
      </c>
      <c r="AX124" s="618">
        <f t="shared" si="57"/>
        <v>0</v>
      </c>
      <c r="AY124" s="618">
        <f t="shared" si="58"/>
        <v>0</v>
      </c>
      <c r="AZ124" s="618">
        <f t="shared" si="59"/>
        <v>0</v>
      </c>
      <c r="BA124" s="618">
        <f t="shared" si="60"/>
        <v>0</v>
      </c>
      <c r="BB124" s="618"/>
      <c r="BC124" s="615">
        <f t="shared" si="78"/>
        <v>0</v>
      </c>
      <c r="BD124" s="616">
        <f t="shared" si="79"/>
        <v>0</v>
      </c>
      <c r="BE124" s="616">
        <f t="shared" si="80"/>
        <v>0</v>
      </c>
      <c r="BF124" s="616">
        <f t="shared" si="81"/>
        <v>0</v>
      </c>
      <c r="BG124" s="616">
        <f t="shared" si="82"/>
        <v>0</v>
      </c>
      <c r="BH124" s="616">
        <f t="shared" si="83"/>
        <v>0</v>
      </c>
      <c r="BI124" s="616">
        <f t="shared" si="84"/>
        <v>0</v>
      </c>
      <c r="BJ124" s="616"/>
      <c r="BK124" s="615">
        <f t="shared" si="85"/>
        <v>0</v>
      </c>
      <c r="BL124" s="616">
        <f t="shared" si="86"/>
        <v>0</v>
      </c>
      <c r="BM124" s="616">
        <f t="shared" si="87"/>
        <v>0</v>
      </c>
      <c r="BN124" s="616">
        <f t="shared" si="88"/>
        <v>0</v>
      </c>
      <c r="BO124" s="616">
        <f t="shared" si="89"/>
        <v>0</v>
      </c>
      <c r="BP124" s="616">
        <f t="shared" si="90"/>
        <v>0</v>
      </c>
      <c r="BQ124" s="616">
        <f t="shared" si="91"/>
        <v>0</v>
      </c>
      <c r="BR124" s="616">
        <f t="shared" si="92"/>
        <v>0</v>
      </c>
      <c r="BS124" s="304"/>
    </row>
    <row r="125" s="131" customFormat="1" ht="24" spans="1:71">
      <c r="A125" s="497" t="s">
        <v>202</v>
      </c>
      <c r="B125" s="497" t="s">
        <v>203</v>
      </c>
      <c r="C125" s="497" t="s">
        <v>368</v>
      </c>
      <c r="D125" s="497" t="s">
        <v>365</v>
      </c>
      <c r="E125" s="617">
        <f t="shared" si="51"/>
        <v>0</v>
      </c>
      <c r="F125" s="617">
        <f t="shared" si="52"/>
        <v>0</v>
      </c>
      <c r="G125" s="618"/>
      <c r="H125" s="618"/>
      <c r="I125" s="618"/>
      <c r="J125" s="618"/>
      <c r="K125" s="618"/>
      <c r="L125" s="618"/>
      <c r="M125" s="617">
        <f t="shared" si="53"/>
        <v>0</v>
      </c>
      <c r="N125" s="618"/>
      <c r="O125" s="618"/>
      <c r="P125" s="618"/>
      <c r="Q125" s="618"/>
      <c r="R125" s="618"/>
      <c r="S125" s="615">
        <f t="shared" si="61"/>
        <v>0</v>
      </c>
      <c r="T125" s="615">
        <f t="shared" si="62"/>
        <v>0</v>
      </c>
      <c r="U125" s="616"/>
      <c r="V125" s="616"/>
      <c r="W125" s="616"/>
      <c r="X125" s="616"/>
      <c r="Y125" s="616"/>
      <c r="Z125" s="616"/>
      <c r="AA125" s="615">
        <f t="shared" si="63"/>
        <v>0</v>
      </c>
      <c r="AB125" s="616"/>
      <c r="AC125" s="616"/>
      <c r="AD125" s="616"/>
      <c r="AE125" s="616"/>
      <c r="AF125" s="616"/>
      <c r="AG125" s="615">
        <f t="shared" si="64"/>
        <v>0</v>
      </c>
      <c r="AH125" s="615">
        <f t="shared" si="65"/>
        <v>0</v>
      </c>
      <c r="AI125" s="616">
        <f t="shared" si="66"/>
        <v>0</v>
      </c>
      <c r="AJ125" s="616">
        <f t="shared" si="67"/>
        <v>0</v>
      </c>
      <c r="AK125" s="616">
        <f t="shared" si="68"/>
        <v>0</v>
      </c>
      <c r="AL125" s="616">
        <f t="shared" si="69"/>
        <v>0</v>
      </c>
      <c r="AM125" s="616">
        <f t="shared" si="70"/>
        <v>0</v>
      </c>
      <c r="AN125" s="616">
        <f t="shared" si="71"/>
        <v>0</v>
      </c>
      <c r="AO125" s="615">
        <f t="shared" si="72"/>
        <v>0</v>
      </c>
      <c r="AP125" s="616">
        <f t="shared" si="73"/>
        <v>0</v>
      </c>
      <c r="AQ125" s="616">
        <f t="shared" si="74"/>
        <v>0</v>
      </c>
      <c r="AR125" s="616">
        <f t="shared" si="75"/>
        <v>0</v>
      </c>
      <c r="AS125" s="616">
        <f t="shared" si="76"/>
        <v>0</v>
      </c>
      <c r="AT125" s="637">
        <f t="shared" si="77"/>
        <v>0</v>
      </c>
      <c r="AU125" s="639">
        <f t="shared" si="54"/>
        <v>0</v>
      </c>
      <c r="AV125" s="618">
        <f t="shared" si="55"/>
        <v>0</v>
      </c>
      <c r="AW125" s="618">
        <f t="shared" si="56"/>
        <v>0</v>
      </c>
      <c r="AX125" s="618">
        <f t="shared" si="57"/>
        <v>0</v>
      </c>
      <c r="AY125" s="618">
        <f t="shared" si="58"/>
        <v>0</v>
      </c>
      <c r="AZ125" s="618">
        <f t="shared" si="59"/>
        <v>0</v>
      </c>
      <c r="BA125" s="618">
        <f t="shared" si="60"/>
        <v>0</v>
      </c>
      <c r="BB125" s="618"/>
      <c r="BC125" s="615">
        <f t="shared" si="78"/>
        <v>0</v>
      </c>
      <c r="BD125" s="616">
        <f t="shared" si="79"/>
        <v>0</v>
      </c>
      <c r="BE125" s="616">
        <f t="shared" si="80"/>
        <v>0</v>
      </c>
      <c r="BF125" s="616">
        <f t="shared" si="81"/>
        <v>0</v>
      </c>
      <c r="BG125" s="616">
        <f t="shared" si="82"/>
        <v>0</v>
      </c>
      <c r="BH125" s="616">
        <f t="shared" si="83"/>
        <v>0</v>
      </c>
      <c r="BI125" s="616">
        <f t="shared" si="84"/>
        <v>0</v>
      </c>
      <c r="BJ125" s="616"/>
      <c r="BK125" s="615">
        <f t="shared" si="85"/>
        <v>0</v>
      </c>
      <c r="BL125" s="616">
        <f t="shared" si="86"/>
        <v>0</v>
      </c>
      <c r="BM125" s="616">
        <f t="shared" si="87"/>
        <v>0</v>
      </c>
      <c r="BN125" s="616">
        <f t="shared" si="88"/>
        <v>0</v>
      </c>
      <c r="BO125" s="616">
        <f t="shared" si="89"/>
        <v>0</v>
      </c>
      <c r="BP125" s="616">
        <f t="shared" si="90"/>
        <v>0</v>
      </c>
      <c r="BQ125" s="616">
        <f t="shared" si="91"/>
        <v>0</v>
      </c>
      <c r="BR125" s="616">
        <f t="shared" si="92"/>
        <v>0</v>
      </c>
      <c r="BS125" s="304"/>
    </row>
    <row r="126" s="131" customFormat="1" ht="24" spans="1:71">
      <c r="A126" s="497" t="s">
        <v>202</v>
      </c>
      <c r="B126" s="497" t="s">
        <v>203</v>
      </c>
      <c r="C126" s="497" t="s">
        <v>369</v>
      </c>
      <c r="D126" s="497" t="s">
        <v>370</v>
      </c>
      <c r="E126" s="617">
        <f t="shared" si="51"/>
        <v>0</v>
      </c>
      <c r="F126" s="617">
        <f t="shared" si="52"/>
        <v>0</v>
      </c>
      <c r="G126" s="618"/>
      <c r="H126" s="618"/>
      <c r="I126" s="618"/>
      <c r="J126" s="618"/>
      <c r="K126" s="618"/>
      <c r="L126" s="618"/>
      <c r="M126" s="617">
        <f t="shared" si="53"/>
        <v>0</v>
      </c>
      <c r="N126" s="618"/>
      <c r="O126" s="618"/>
      <c r="P126" s="618"/>
      <c r="Q126" s="618"/>
      <c r="R126" s="618"/>
      <c r="S126" s="615">
        <f t="shared" si="61"/>
        <v>0</v>
      </c>
      <c r="T126" s="615">
        <f t="shared" si="62"/>
        <v>0</v>
      </c>
      <c r="U126" s="616"/>
      <c r="V126" s="616"/>
      <c r="W126" s="616"/>
      <c r="X126" s="616"/>
      <c r="Y126" s="616"/>
      <c r="Z126" s="616"/>
      <c r="AA126" s="615">
        <f t="shared" si="63"/>
        <v>0</v>
      </c>
      <c r="AB126" s="616"/>
      <c r="AC126" s="616"/>
      <c r="AD126" s="616"/>
      <c r="AE126" s="616"/>
      <c r="AF126" s="616"/>
      <c r="AG126" s="615">
        <f t="shared" si="64"/>
        <v>0</v>
      </c>
      <c r="AH126" s="615">
        <f t="shared" si="65"/>
        <v>0</v>
      </c>
      <c r="AI126" s="616">
        <f t="shared" si="66"/>
        <v>0</v>
      </c>
      <c r="AJ126" s="616">
        <f t="shared" si="67"/>
        <v>0</v>
      </c>
      <c r="AK126" s="616">
        <f t="shared" si="68"/>
        <v>0</v>
      </c>
      <c r="AL126" s="616">
        <f t="shared" si="69"/>
        <v>0</v>
      </c>
      <c r="AM126" s="616">
        <f t="shared" si="70"/>
        <v>0</v>
      </c>
      <c r="AN126" s="616">
        <f t="shared" si="71"/>
        <v>0</v>
      </c>
      <c r="AO126" s="615">
        <f t="shared" si="72"/>
        <v>0</v>
      </c>
      <c r="AP126" s="616">
        <f t="shared" si="73"/>
        <v>0</v>
      </c>
      <c r="AQ126" s="616">
        <f t="shared" si="74"/>
        <v>0</v>
      </c>
      <c r="AR126" s="616">
        <f t="shared" si="75"/>
        <v>0</v>
      </c>
      <c r="AS126" s="616">
        <f t="shared" si="76"/>
        <v>0</v>
      </c>
      <c r="AT126" s="637">
        <f t="shared" si="77"/>
        <v>0</v>
      </c>
      <c r="AU126" s="639">
        <f t="shared" si="54"/>
        <v>0</v>
      </c>
      <c r="AV126" s="618">
        <f t="shared" si="55"/>
        <v>0</v>
      </c>
      <c r="AW126" s="618">
        <f t="shared" si="56"/>
        <v>0</v>
      </c>
      <c r="AX126" s="618">
        <f t="shared" si="57"/>
        <v>0</v>
      </c>
      <c r="AY126" s="618">
        <f t="shared" si="58"/>
        <v>0</v>
      </c>
      <c r="AZ126" s="618">
        <f t="shared" si="59"/>
        <v>0</v>
      </c>
      <c r="BA126" s="618">
        <f t="shared" si="60"/>
        <v>0</v>
      </c>
      <c r="BB126" s="618"/>
      <c r="BC126" s="615">
        <f t="shared" si="78"/>
        <v>0</v>
      </c>
      <c r="BD126" s="616">
        <f t="shared" si="79"/>
        <v>0</v>
      </c>
      <c r="BE126" s="616">
        <f t="shared" si="80"/>
        <v>0</v>
      </c>
      <c r="BF126" s="616">
        <f t="shared" si="81"/>
        <v>0</v>
      </c>
      <c r="BG126" s="616">
        <f t="shared" si="82"/>
        <v>0</v>
      </c>
      <c r="BH126" s="616">
        <f t="shared" si="83"/>
        <v>0</v>
      </c>
      <c r="BI126" s="616">
        <f t="shared" si="84"/>
        <v>0</v>
      </c>
      <c r="BJ126" s="616"/>
      <c r="BK126" s="615">
        <f t="shared" si="85"/>
        <v>0</v>
      </c>
      <c r="BL126" s="616">
        <f t="shared" si="86"/>
        <v>0</v>
      </c>
      <c r="BM126" s="616">
        <f t="shared" si="87"/>
        <v>0</v>
      </c>
      <c r="BN126" s="616">
        <f t="shared" si="88"/>
        <v>0</v>
      </c>
      <c r="BO126" s="616">
        <f t="shared" si="89"/>
        <v>0</v>
      </c>
      <c r="BP126" s="616">
        <f t="shared" si="90"/>
        <v>0</v>
      </c>
      <c r="BQ126" s="616">
        <f t="shared" si="91"/>
        <v>0</v>
      </c>
      <c r="BR126" s="616">
        <f t="shared" si="92"/>
        <v>0</v>
      </c>
      <c r="BS126" s="304"/>
    </row>
    <row r="127" s="131" customFormat="1" ht="24" spans="1:71">
      <c r="A127" s="497" t="s">
        <v>202</v>
      </c>
      <c r="B127" s="497" t="s">
        <v>206</v>
      </c>
      <c r="C127" s="497" t="s">
        <v>371</v>
      </c>
      <c r="D127" s="497" t="s">
        <v>372</v>
      </c>
      <c r="E127" s="617">
        <f t="shared" si="51"/>
        <v>17.66</v>
      </c>
      <c r="F127" s="617">
        <f t="shared" si="52"/>
        <v>12.38</v>
      </c>
      <c r="G127" s="618">
        <v>6.81</v>
      </c>
      <c r="H127" s="618"/>
      <c r="I127" s="618">
        <v>2.91</v>
      </c>
      <c r="J127" s="618"/>
      <c r="K127" s="618"/>
      <c r="L127" s="618">
        <v>2.66</v>
      </c>
      <c r="M127" s="617">
        <f t="shared" si="53"/>
        <v>5.28</v>
      </c>
      <c r="N127" s="618">
        <v>1.74</v>
      </c>
      <c r="O127" s="618"/>
      <c r="P127" s="618">
        <v>2.54</v>
      </c>
      <c r="Q127" s="618"/>
      <c r="R127" s="618">
        <v>1</v>
      </c>
      <c r="S127" s="615">
        <f t="shared" si="61"/>
        <v>0.67</v>
      </c>
      <c r="T127" s="615">
        <f t="shared" si="62"/>
        <v>0.58</v>
      </c>
      <c r="U127" s="616">
        <v>0.38</v>
      </c>
      <c r="V127" s="616"/>
      <c r="W127" s="616">
        <v>0.05</v>
      </c>
      <c r="X127" s="616"/>
      <c r="Y127" s="616"/>
      <c r="Z127" s="616">
        <v>0.15</v>
      </c>
      <c r="AA127" s="615">
        <f t="shared" si="63"/>
        <v>0.09</v>
      </c>
      <c r="AB127" s="616">
        <v>0.03</v>
      </c>
      <c r="AC127" s="616"/>
      <c r="AD127" s="616">
        <v>0.06</v>
      </c>
      <c r="AE127" s="616"/>
      <c r="AF127" s="616"/>
      <c r="AG127" s="615">
        <f t="shared" si="64"/>
        <v>18.33</v>
      </c>
      <c r="AH127" s="615">
        <f t="shared" si="65"/>
        <v>12.96</v>
      </c>
      <c r="AI127" s="616">
        <f t="shared" si="66"/>
        <v>7.19</v>
      </c>
      <c r="AJ127" s="616">
        <f t="shared" si="67"/>
        <v>0</v>
      </c>
      <c r="AK127" s="616">
        <f t="shared" si="68"/>
        <v>2.96</v>
      </c>
      <c r="AL127" s="616">
        <f t="shared" si="69"/>
        <v>0</v>
      </c>
      <c r="AM127" s="616">
        <f t="shared" si="70"/>
        <v>0</v>
      </c>
      <c r="AN127" s="616">
        <f t="shared" si="71"/>
        <v>2.81</v>
      </c>
      <c r="AO127" s="615">
        <f t="shared" si="72"/>
        <v>5.37</v>
      </c>
      <c r="AP127" s="616">
        <f t="shared" si="73"/>
        <v>1.77</v>
      </c>
      <c r="AQ127" s="616">
        <f t="shared" si="74"/>
        <v>0</v>
      </c>
      <c r="AR127" s="616">
        <f t="shared" si="75"/>
        <v>2.6</v>
      </c>
      <c r="AS127" s="616">
        <f t="shared" si="76"/>
        <v>0</v>
      </c>
      <c r="AT127" s="637">
        <f t="shared" si="77"/>
        <v>1</v>
      </c>
      <c r="AU127" s="639">
        <f t="shared" si="54"/>
        <v>4.90488</v>
      </c>
      <c r="AV127" s="618">
        <f t="shared" si="55"/>
        <v>1.8336</v>
      </c>
      <c r="AW127" s="618">
        <f t="shared" si="56"/>
        <v>0.9168</v>
      </c>
      <c r="AX127" s="618">
        <f t="shared" si="57"/>
        <v>0.6876</v>
      </c>
      <c r="AY127" s="618">
        <f t="shared" si="58"/>
        <v>0.02292</v>
      </c>
      <c r="AZ127" s="618">
        <f t="shared" si="59"/>
        <v>0.06876</v>
      </c>
      <c r="BA127" s="618">
        <f t="shared" si="60"/>
        <v>1.3752</v>
      </c>
      <c r="BB127" s="618"/>
      <c r="BC127" s="615">
        <f t="shared" si="78"/>
        <v>0.19688</v>
      </c>
      <c r="BD127" s="616">
        <f t="shared" si="79"/>
        <v>0.0736</v>
      </c>
      <c r="BE127" s="616">
        <f t="shared" si="80"/>
        <v>0.0368</v>
      </c>
      <c r="BF127" s="616">
        <f t="shared" si="81"/>
        <v>0.0276</v>
      </c>
      <c r="BG127" s="616">
        <f t="shared" si="82"/>
        <v>0.00092</v>
      </c>
      <c r="BH127" s="616">
        <f t="shared" si="83"/>
        <v>0.00276</v>
      </c>
      <c r="BI127" s="616">
        <f t="shared" si="84"/>
        <v>0.0552</v>
      </c>
      <c r="BJ127" s="616"/>
      <c r="BK127" s="615">
        <f t="shared" si="85"/>
        <v>5.10176</v>
      </c>
      <c r="BL127" s="616">
        <f t="shared" si="86"/>
        <v>1.9072</v>
      </c>
      <c r="BM127" s="616">
        <f t="shared" si="87"/>
        <v>0.9536</v>
      </c>
      <c r="BN127" s="616">
        <f t="shared" si="88"/>
        <v>0.7152</v>
      </c>
      <c r="BO127" s="616">
        <f t="shared" si="89"/>
        <v>0.02384</v>
      </c>
      <c r="BP127" s="616">
        <f t="shared" si="90"/>
        <v>0.07152</v>
      </c>
      <c r="BQ127" s="616">
        <f t="shared" si="91"/>
        <v>1.4304</v>
      </c>
      <c r="BR127" s="616">
        <f t="shared" si="92"/>
        <v>0</v>
      </c>
      <c r="BS127" s="304"/>
    </row>
    <row r="128" s="131" customFormat="1" ht="24" spans="1:71">
      <c r="A128" s="497" t="s">
        <v>202</v>
      </c>
      <c r="B128" s="497" t="s">
        <v>206</v>
      </c>
      <c r="C128" s="497" t="s">
        <v>373</v>
      </c>
      <c r="D128" s="497" t="s">
        <v>372</v>
      </c>
      <c r="E128" s="617">
        <f t="shared" si="51"/>
        <v>24.05</v>
      </c>
      <c r="F128" s="617">
        <f t="shared" si="52"/>
        <v>19.94</v>
      </c>
      <c r="G128" s="618">
        <v>11.6</v>
      </c>
      <c r="H128" s="618"/>
      <c r="I128" s="618">
        <v>4.35</v>
      </c>
      <c r="J128" s="618"/>
      <c r="K128" s="618"/>
      <c r="L128" s="618">
        <v>3.99</v>
      </c>
      <c r="M128" s="617">
        <f t="shared" si="53"/>
        <v>4.11</v>
      </c>
      <c r="N128" s="618">
        <v>2.61</v>
      </c>
      <c r="O128" s="618"/>
      <c r="P128" s="618"/>
      <c r="Q128" s="618"/>
      <c r="R128" s="618">
        <v>1.5</v>
      </c>
      <c r="S128" s="615">
        <f t="shared" si="61"/>
        <v>1.16</v>
      </c>
      <c r="T128" s="615">
        <f t="shared" si="62"/>
        <v>1.1</v>
      </c>
      <c r="U128" s="616">
        <v>0.71</v>
      </c>
      <c r="V128" s="616"/>
      <c r="W128" s="616">
        <v>0.09</v>
      </c>
      <c r="X128" s="616"/>
      <c r="Y128" s="616"/>
      <c r="Z128" s="616">
        <v>0.3</v>
      </c>
      <c r="AA128" s="615">
        <f t="shared" si="63"/>
        <v>0.06</v>
      </c>
      <c r="AB128" s="616">
        <v>0.06</v>
      </c>
      <c r="AC128" s="616"/>
      <c r="AD128" s="616"/>
      <c r="AE128" s="616"/>
      <c r="AF128" s="616"/>
      <c r="AG128" s="615">
        <f t="shared" si="64"/>
        <v>25.21</v>
      </c>
      <c r="AH128" s="615">
        <f t="shared" si="65"/>
        <v>21.04</v>
      </c>
      <c r="AI128" s="616">
        <f t="shared" si="66"/>
        <v>12.31</v>
      </c>
      <c r="AJ128" s="616">
        <f t="shared" si="67"/>
        <v>0</v>
      </c>
      <c r="AK128" s="616">
        <f t="shared" si="68"/>
        <v>4.44</v>
      </c>
      <c r="AL128" s="616">
        <f t="shared" si="69"/>
        <v>0</v>
      </c>
      <c r="AM128" s="616">
        <f t="shared" si="70"/>
        <v>0</v>
      </c>
      <c r="AN128" s="616">
        <f t="shared" si="71"/>
        <v>4.29</v>
      </c>
      <c r="AO128" s="615">
        <f t="shared" si="72"/>
        <v>4.17</v>
      </c>
      <c r="AP128" s="616">
        <f t="shared" si="73"/>
        <v>2.67</v>
      </c>
      <c r="AQ128" s="616">
        <f t="shared" si="74"/>
        <v>0</v>
      </c>
      <c r="AR128" s="616">
        <f t="shared" si="75"/>
        <v>0</v>
      </c>
      <c r="AS128" s="616">
        <f t="shared" si="76"/>
        <v>0</v>
      </c>
      <c r="AT128" s="637">
        <f t="shared" si="77"/>
        <v>1.5</v>
      </c>
      <c r="AU128" s="639">
        <f t="shared" si="54"/>
        <v>7.94368</v>
      </c>
      <c r="AV128" s="618">
        <f t="shared" si="55"/>
        <v>2.9696</v>
      </c>
      <c r="AW128" s="618">
        <f t="shared" si="56"/>
        <v>1.4848</v>
      </c>
      <c r="AX128" s="618">
        <f t="shared" si="57"/>
        <v>1.1136</v>
      </c>
      <c r="AY128" s="618">
        <f t="shared" si="58"/>
        <v>0.03712</v>
      </c>
      <c r="AZ128" s="618">
        <f t="shared" si="59"/>
        <v>0.11136</v>
      </c>
      <c r="BA128" s="618">
        <f t="shared" si="60"/>
        <v>2.2272</v>
      </c>
      <c r="BB128" s="618"/>
      <c r="BC128" s="615">
        <f t="shared" si="78"/>
        <v>0.36808</v>
      </c>
      <c r="BD128" s="616">
        <f t="shared" si="79"/>
        <v>0.1376</v>
      </c>
      <c r="BE128" s="616">
        <f t="shared" si="80"/>
        <v>0.0688</v>
      </c>
      <c r="BF128" s="616">
        <f t="shared" si="81"/>
        <v>0.0516</v>
      </c>
      <c r="BG128" s="616">
        <f t="shared" si="82"/>
        <v>0.00172</v>
      </c>
      <c r="BH128" s="616">
        <f t="shared" si="83"/>
        <v>0.00516</v>
      </c>
      <c r="BI128" s="616">
        <f t="shared" si="84"/>
        <v>0.1032</v>
      </c>
      <c r="BJ128" s="616"/>
      <c r="BK128" s="615">
        <f t="shared" si="85"/>
        <v>8.31176</v>
      </c>
      <c r="BL128" s="616">
        <f t="shared" si="86"/>
        <v>3.1072</v>
      </c>
      <c r="BM128" s="616">
        <f t="shared" si="87"/>
        <v>1.5536</v>
      </c>
      <c r="BN128" s="616">
        <f t="shared" si="88"/>
        <v>1.1652</v>
      </c>
      <c r="BO128" s="616">
        <f t="shared" si="89"/>
        <v>0.03884</v>
      </c>
      <c r="BP128" s="616">
        <f t="shared" si="90"/>
        <v>0.11652</v>
      </c>
      <c r="BQ128" s="616">
        <f t="shared" si="91"/>
        <v>2.3304</v>
      </c>
      <c r="BR128" s="616">
        <f t="shared" si="92"/>
        <v>0</v>
      </c>
      <c r="BS128" s="304"/>
    </row>
    <row r="129" s="131" customFormat="1" ht="24" spans="1:71">
      <c r="A129" s="497" t="s">
        <v>202</v>
      </c>
      <c r="B129" s="497" t="s">
        <v>206</v>
      </c>
      <c r="C129" s="497" t="s">
        <v>374</v>
      </c>
      <c r="D129" s="497" t="s">
        <v>372</v>
      </c>
      <c r="E129" s="617">
        <f t="shared" si="51"/>
        <v>30.22</v>
      </c>
      <c r="F129" s="617">
        <f t="shared" si="52"/>
        <v>24.71</v>
      </c>
      <c r="G129" s="618">
        <v>13.36</v>
      </c>
      <c r="H129" s="618"/>
      <c r="I129" s="618">
        <v>5.86</v>
      </c>
      <c r="J129" s="618"/>
      <c r="K129" s="618"/>
      <c r="L129" s="618">
        <v>5.49</v>
      </c>
      <c r="M129" s="617">
        <f t="shared" si="53"/>
        <v>5.51</v>
      </c>
      <c r="N129" s="618">
        <v>3.51</v>
      </c>
      <c r="O129" s="618"/>
      <c r="P129" s="618"/>
      <c r="Q129" s="618"/>
      <c r="R129" s="618">
        <v>2</v>
      </c>
      <c r="S129" s="615">
        <f t="shared" si="61"/>
        <v>8.45</v>
      </c>
      <c r="T129" s="615">
        <f t="shared" si="62"/>
        <v>7.25</v>
      </c>
      <c r="U129" s="616">
        <v>4.49</v>
      </c>
      <c r="V129" s="616"/>
      <c r="W129" s="616">
        <v>1.32</v>
      </c>
      <c r="X129" s="616"/>
      <c r="Y129" s="616"/>
      <c r="Z129" s="616">
        <v>1.44</v>
      </c>
      <c r="AA129" s="615">
        <f t="shared" si="63"/>
        <v>1.2</v>
      </c>
      <c r="AB129" s="616">
        <v>0.86</v>
      </c>
      <c r="AC129" s="616"/>
      <c r="AD129" s="616"/>
      <c r="AE129" s="616">
        <v>0.3</v>
      </c>
      <c r="AF129" s="616">
        <v>0.04</v>
      </c>
      <c r="AG129" s="615">
        <f t="shared" si="64"/>
        <v>38.67</v>
      </c>
      <c r="AH129" s="615">
        <f t="shared" si="65"/>
        <v>31.96</v>
      </c>
      <c r="AI129" s="616">
        <f t="shared" si="66"/>
        <v>17.85</v>
      </c>
      <c r="AJ129" s="616">
        <f t="shared" si="67"/>
        <v>0</v>
      </c>
      <c r="AK129" s="616">
        <f t="shared" si="68"/>
        <v>7.18</v>
      </c>
      <c r="AL129" s="616">
        <f t="shared" si="69"/>
        <v>0</v>
      </c>
      <c r="AM129" s="616">
        <f t="shared" si="70"/>
        <v>0</v>
      </c>
      <c r="AN129" s="616">
        <f t="shared" si="71"/>
        <v>6.93</v>
      </c>
      <c r="AO129" s="615">
        <f t="shared" si="72"/>
        <v>6.71</v>
      </c>
      <c r="AP129" s="616">
        <f t="shared" si="73"/>
        <v>4.37</v>
      </c>
      <c r="AQ129" s="616">
        <f t="shared" si="74"/>
        <v>0</v>
      </c>
      <c r="AR129" s="616">
        <f t="shared" si="75"/>
        <v>0</v>
      </c>
      <c r="AS129" s="616">
        <f t="shared" si="76"/>
        <v>0.3</v>
      </c>
      <c r="AT129" s="637">
        <f t="shared" si="77"/>
        <v>2.04</v>
      </c>
      <c r="AU129" s="639">
        <f t="shared" si="54"/>
        <v>9.72844</v>
      </c>
      <c r="AV129" s="618">
        <f t="shared" si="55"/>
        <v>3.6368</v>
      </c>
      <c r="AW129" s="618">
        <f t="shared" si="56"/>
        <v>1.8184</v>
      </c>
      <c r="AX129" s="618">
        <f t="shared" si="57"/>
        <v>1.3638</v>
      </c>
      <c r="AY129" s="618">
        <f t="shared" si="58"/>
        <v>0.04546</v>
      </c>
      <c r="AZ129" s="618">
        <f t="shared" si="59"/>
        <v>0.13638</v>
      </c>
      <c r="BA129" s="618">
        <f t="shared" si="60"/>
        <v>2.7276</v>
      </c>
      <c r="BB129" s="618"/>
      <c r="BC129" s="615">
        <f t="shared" si="78"/>
        <v>2.85476</v>
      </c>
      <c r="BD129" s="616">
        <f t="shared" si="79"/>
        <v>1.0672</v>
      </c>
      <c r="BE129" s="616">
        <f t="shared" si="80"/>
        <v>0.5336</v>
      </c>
      <c r="BF129" s="616">
        <f t="shared" si="81"/>
        <v>0.4002</v>
      </c>
      <c r="BG129" s="616">
        <f t="shared" si="82"/>
        <v>0.01334</v>
      </c>
      <c r="BH129" s="616">
        <f t="shared" si="83"/>
        <v>0.04002</v>
      </c>
      <c r="BI129" s="616">
        <f t="shared" si="84"/>
        <v>0.8004</v>
      </c>
      <c r="BJ129" s="616"/>
      <c r="BK129" s="615">
        <f t="shared" si="85"/>
        <v>12.5832</v>
      </c>
      <c r="BL129" s="616">
        <f t="shared" si="86"/>
        <v>4.704</v>
      </c>
      <c r="BM129" s="616">
        <f t="shared" si="87"/>
        <v>2.352</v>
      </c>
      <c r="BN129" s="616">
        <f t="shared" si="88"/>
        <v>1.764</v>
      </c>
      <c r="BO129" s="616">
        <f t="shared" si="89"/>
        <v>0.0588</v>
      </c>
      <c r="BP129" s="616">
        <f t="shared" si="90"/>
        <v>0.1764</v>
      </c>
      <c r="BQ129" s="616">
        <f t="shared" si="91"/>
        <v>3.528</v>
      </c>
      <c r="BR129" s="616">
        <f t="shared" si="92"/>
        <v>0</v>
      </c>
      <c r="BS129" s="304"/>
    </row>
    <row r="130" s="132" customFormat="1" ht="24" spans="1:71">
      <c r="A130" s="497" t="s">
        <v>202</v>
      </c>
      <c r="B130" s="497" t="s">
        <v>203</v>
      </c>
      <c r="C130" s="497" t="s">
        <v>375</v>
      </c>
      <c r="D130" s="497" t="s">
        <v>376</v>
      </c>
      <c r="E130" s="615">
        <f t="shared" si="51"/>
        <v>0</v>
      </c>
      <c r="F130" s="615">
        <f t="shared" si="52"/>
        <v>0</v>
      </c>
      <c r="G130" s="616"/>
      <c r="H130" s="616"/>
      <c r="I130" s="616"/>
      <c r="J130" s="616"/>
      <c r="K130" s="616"/>
      <c r="L130" s="616"/>
      <c r="M130" s="615">
        <f t="shared" si="53"/>
        <v>0</v>
      </c>
      <c r="N130" s="616"/>
      <c r="O130" s="616"/>
      <c r="P130" s="616"/>
      <c r="Q130" s="616"/>
      <c r="R130" s="616"/>
      <c r="S130" s="615">
        <f t="shared" si="61"/>
        <v>0</v>
      </c>
      <c r="T130" s="615">
        <f t="shared" si="62"/>
        <v>0</v>
      </c>
      <c r="U130" s="616"/>
      <c r="V130" s="616"/>
      <c r="W130" s="616"/>
      <c r="X130" s="616"/>
      <c r="Y130" s="616"/>
      <c r="Z130" s="616"/>
      <c r="AA130" s="615">
        <f t="shared" si="63"/>
        <v>0</v>
      </c>
      <c r="AB130" s="616"/>
      <c r="AC130" s="616"/>
      <c r="AD130" s="616"/>
      <c r="AE130" s="616"/>
      <c r="AF130" s="616"/>
      <c r="AG130" s="615">
        <f t="shared" si="64"/>
        <v>0</v>
      </c>
      <c r="AH130" s="615">
        <f t="shared" si="65"/>
        <v>0</v>
      </c>
      <c r="AI130" s="616">
        <f t="shared" si="66"/>
        <v>0</v>
      </c>
      <c r="AJ130" s="616">
        <f t="shared" si="67"/>
        <v>0</v>
      </c>
      <c r="AK130" s="616">
        <f t="shared" si="68"/>
        <v>0</v>
      </c>
      <c r="AL130" s="616">
        <f t="shared" si="69"/>
        <v>0</v>
      </c>
      <c r="AM130" s="616">
        <f t="shared" si="70"/>
        <v>0</v>
      </c>
      <c r="AN130" s="616">
        <f t="shared" si="71"/>
        <v>0</v>
      </c>
      <c r="AO130" s="615">
        <f t="shared" si="72"/>
        <v>0</v>
      </c>
      <c r="AP130" s="616">
        <f t="shared" si="73"/>
        <v>0</v>
      </c>
      <c r="AQ130" s="616">
        <f t="shared" si="74"/>
        <v>0</v>
      </c>
      <c r="AR130" s="616">
        <f t="shared" si="75"/>
        <v>0</v>
      </c>
      <c r="AS130" s="616">
        <f t="shared" si="76"/>
        <v>0</v>
      </c>
      <c r="AT130" s="637">
        <f t="shared" si="77"/>
        <v>0</v>
      </c>
      <c r="AU130" s="638">
        <f t="shared" si="54"/>
        <v>0</v>
      </c>
      <c r="AV130" s="616">
        <f t="shared" si="55"/>
        <v>0</v>
      </c>
      <c r="AW130" s="616">
        <f t="shared" si="56"/>
        <v>0</v>
      </c>
      <c r="AX130" s="616">
        <f t="shared" si="57"/>
        <v>0</v>
      </c>
      <c r="AY130" s="616">
        <f t="shared" si="58"/>
        <v>0</v>
      </c>
      <c r="AZ130" s="616">
        <f t="shared" si="59"/>
        <v>0</v>
      </c>
      <c r="BA130" s="616">
        <f t="shared" si="60"/>
        <v>0</v>
      </c>
      <c r="BB130" s="616"/>
      <c r="BC130" s="615">
        <f t="shared" si="78"/>
        <v>0</v>
      </c>
      <c r="BD130" s="616">
        <f t="shared" si="79"/>
        <v>0</v>
      </c>
      <c r="BE130" s="616">
        <f t="shared" si="80"/>
        <v>0</v>
      </c>
      <c r="BF130" s="616">
        <f t="shared" si="81"/>
        <v>0</v>
      </c>
      <c r="BG130" s="616">
        <f t="shared" si="82"/>
        <v>0</v>
      </c>
      <c r="BH130" s="616">
        <f t="shared" si="83"/>
        <v>0</v>
      </c>
      <c r="BI130" s="616">
        <f t="shared" si="84"/>
        <v>0</v>
      </c>
      <c r="BJ130" s="616"/>
      <c r="BK130" s="615">
        <f t="shared" si="85"/>
        <v>0</v>
      </c>
      <c r="BL130" s="616">
        <f t="shared" si="86"/>
        <v>0</v>
      </c>
      <c r="BM130" s="616">
        <f t="shared" si="87"/>
        <v>0</v>
      </c>
      <c r="BN130" s="616">
        <f t="shared" si="88"/>
        <v>0</v>
      </c>
      <c r="BO130" s="616">
        <f t="shared" si="89"/>
        <v>0</v>
      </c>
      <c r="BP130" s="616">
        <f t="shared" si="90"/>
        <v>0</v>
      </c>
      <c r="BQ130" s="616">
        <f t="shared" si="91"/>
        <v>0</v>
      </c>
      <c r="BR130" s="616">
        <f t="shared" si="92"/>
        <v>0</v>
      </c>
      <c r="BS130" s="304"/>
    </row>
    <row r="131" s="132" customFormat="1" ht="24" spans="1:71">
      <c r="A131" s="497" t="s">
        <v>202</v>
      </c>
      <c r="B131" s="497" t="s">
        <v>206</v>
      </c>
      <c r="C131" s="497" t="s">
        <v>377</v>
      </c>
      <c r="D131" s="497" t="s">
        <v>378</v>
      </c>
      <c r="E131" s="615">
        <f t="shared" si="51"/>
        <v>74.69</v>
      </c>
      <c r="F131" s="615">
        <f t="shared" si="52"/>
        <v>61.46</v>
      </c>
      <c r="G131" s="616">
        <v>34.05</v>
      </c>
      <c r="H131" s="616"/>
      <c r="I131" s="616">
        <v>13.72</v>
      </c>
      <c r="J131" s="616"/>
      <c r="K131" s="616"/>
      <c r="L131" s="616">
        <v>13.69</v>
      </c>
      <c r="M131" s="615">
        <f t="shared" si="53"/>
        <v>13.23</v>
      </c>
      <c r="N131" s="616">
        <v>8.23</v>
      </c>
      <c r="O131" s="616"/>
      <c r="P131" s="616"/>
      <c r="Q131" s="616"/>
      <c r="R131" s="616">
        <v>5</v>
      </c>
      <c r="S131" s="615">
        <f t="shared" si="61"/>
        <v>3.65</v>
      </c>
      <c r="T131" s="615">
        <f t="shared" si="62"/>
        <v>2.68</v>
      </c>
      <c r="U131" s="616">
        <v>1.61</v>
      </c>
      <c r="V131" s="616"/>
      <c r="W131" s="616">
        <v>0.62</v>
      </c>
      <c r="X131" s="616"/>
      <c r="Y131" s="616"/>
      <c r="Z131" s="616">
        <v>0.45</v>
      </c>
      <c r="AA131" s="615">
        <f t="shared" si="63"/>
        <v>0.97</v>
      </c>
      <c r="AB131" s="616">
        <v>0.37</v>
      </c>
      <c r="AC131" s="616"/>
      <c r="AD131" s="616"/>
      <c r="AE131" s="616">
        <v>0.6</v>
      </c>
      <c r="AF131" s="616"/>
      <c r="AG131" s="615">
        <f t="shared" si="64"/>
        <v>78.34</v>
      </c>
      <c r="AH131" s="615">
        <f t="shared" si="65"/>
        <v>64.14</v>
      </c>
      <c r="AI131" s="616">
        <f t="shared" si="66"/>
        <v>35.66</v>
      </c>
      <c r="AJ131" s="616">
        <f t="shared" si="67"/>
        <v>0</v>
      </c>
      <c r="AK131" s="616">
        <f t="shared" si="68"/>
        <v>14.34</v>
      </c>
      <c r="AL131" s="616">
        <f t="shared" si="69"/>
        <v>0</v>
      </c>
      <c r="AM131" s="616">
        <f t="shared" si="70"/>
        <v>0</v>
      </c>
      <c r="AN131" s="616">
        <f t="shared" si="71"/>
        <v>14.14</v>
      </c>
      <c r="AO131" s="615">
        <f t="shared" si="72"/>
        <v>14.2</v>
      </c>
      <c r="AP131" s="616">
        <f t="shared" si="73"/>
        <v>8.6</v>
      </c>
      <c r="AQ131" s="616">
        <f t="shared" si="74"/>
        <v>0</v>
      </c>
      <c r="AR131" s="616">
        <f t="shared" si="75"/>
        <v>0</v>
      </c>
      <c r="AS131" s="616">
        <f t="shared" si="76"/>
        <v>0.6</v>
      </c>
      <c r="AT131" s="637">
        <f t="shared" si="77"/>
        <v>5</v>
      </c>
      <c r="AU131" s="638">
        <f t="shared" si="54"/>
        <v>23.968</v>
      </c>
      <c r="AV131" s="616">
        <f t="shared" si="55"/>
        <v>8.96</v>
      </c>
      <c r="AW131" s="616">
        <f t="shared" si="56"/>
        <v>4.48</v>
      </c>
      <c r="AX131" s="616">
        <f t="shared" si="57"/>
        <v>3.36</v>
      </c>
      <c r="AY131" s="616">
        <f t="shared" si="58"/>
        <v>0.112</v>
      </c>
      <c r="AZ131" s="616">
        <f t="shared" si="59"/>
        <v>0.336</v>
      </c>
      <c r="BA131" s="616">
        <f t="shared" si="60"/>
        <v>6.72</v>
      </c>
      <c r="BB131" s="616"/>
      <c r="BC131" s="615">
        <f t="shared" si="78"/>
        <v>1.1128</v>
      </c>
      <c r="BD131" s="616">
        <f t="shared" si="79"/>
        <v>0.416</v>
      </c>
      <c r="BE131" s="616">
        <f t="shared" si="80"/>
        <v>0.208</v>
      </c>
      <c r="BF131" s="616">
        <f t="shared" si="81"/>
        <v>0.156</v>
      </c>
      <c r="BG131" s="616">
        <f t="shared" si="82"/>
        <v>0.0052</v>
      </c>
      <c r="BH131" s="616">
        <f t="shared" si="83"/>
        <v>0.0156</v>
      </c>
      <c r="BI131" s="616">
        <f t="shared" si="84"/>
        <v>0.312</v>
      </c>
      <c r="BJ131" s="616"/>
      <c r="BK131" s="615">
        <f t="shared" si="85"/>
        <v>25.0808</v>
      </c>
      <c r="BL131" s="616">
        <f t="shared" si="86"/>
        <v>9.376</v>
      </c>
      <c r="BM131" s="616">
        <f t="shared" si="87"/>
        <v>4.688</v>
      </c>
      <c r="BN131" s="616">
        <f t="shared" si="88"/>
        <v>3.516</v>
      </c>
      <c r="BO131" s="616">
        <f t="shared" si="89"/>
        <v>0.1172</v>
      </c>
      <c r="BP131" s="616">
        <f t="shared" si="90"/>
        <v>0.3516</v>
      </c>
      <c r="BQ131" s="616">
        <f t="shared" si="91"/>
        <v>7.032</v>
      </c>
      <c r="BR131" s="616">
        <f t="shared" si="92"/>
        <v>0</v>
      </c>
      <c r="BS131" s="304"/>
    </row>
    <row r="132" s="132" customFormat="1" ht="24" spans="1:71">
      <c r="A132" s="497" t="s">
        <v>202</v>
      </c>
      <c r="B132" s="497" t="s">
        <v>206</v>
      </c>
      <c r="C132" s="497" t="s">
        <v>379</v>
      </c>
      <c r="D132" s="497" t="s">
        <v>378</v>
      </c>
      <c r="E132" s="615">
        <f t="shared" si="51"/>
        <v>25.09</v>
      </c>
      <c r="F132" s="615">
        <f t="shared" si="52"/>
        <v>21.07</v>
      </c>
      <c r="G132" s="616">
        <v>12.59</v>
      </c>
      <c r="H132" s="616"/>
      <c r="I132" s="616">
        <v>4.2</v>
      </c>
      <c r="J132" s="616"/>
      <c r="K132" s="616"/>
      <c r="L132" s="616">
        <v>4.28</v>
      </c>
      <c r="M132" s="615">
        <f t="shared" si="53"/>
        <v>4.02</v>
      </c>
      <c r="N132" s="616">
        <v>2.52</v>
      </c>
      <c r="O132" s="616"/>
      <c r="P132" s="616"/>
      <c r="Q132" s="616"/>
      <c r="R132" s="616">
        <v>1.5</v>
      </c>
      <c r="S132" s="615">
        <f t="shared" si="61"/>
        <v>14.27</v>
      </c>
      <c r="T132" s="615">
        <f t="shared" si="62"/>
        <v>12.42</v>
      </c>
      <c r="U132" s="616">
        <v>6.2</v>
      </c>
      <c r="V132" s="616"/>
      <c r="W132" s="616">
        <v>3.35</v>
      </c>
      <c r="X132" s="616"/>
      <c r="Y132" s="616"/>
      <c r="Z132" s="616">
        <v>2.87</v>
      </c>
      <c r="AA132" s="615">
        <f t="shared" si="63"/>
        <v>1.85</v>
      </c>
      <c r="AB132" s="616">
        <v>1.68</v>
      </c>
      <c r="AC132" s="616"/>
      <c r="AD132" s="616"/>
      <c r="AE132" s="616">
        <v>0.15</v>
      </c>
      <c r="AF132" s="616">
        <v>0.02</v>
      </c>
      <c r="AG132" s="615">
        <f t="shared" si="64"/>
        <v>39.36</v>
      </c>
      <c r="AH132" s="615">
        <f t="shared" si="65"/>
        <v>33.49</v>
      </c>
      <c r="AI132" s="616">
        <f t="shared" si="66"/>
        <v>18.79</v>
      </c>
      <c r="AJ132" s="616">
        <f t="shared" si="67"/>
        <v>0</v>
      </c>
      <c r="AK132" s="616">
        <f t="shared" si="68"/>
        <v>7.55</v>
      </c>
      <c r="AL132" s="616">
        <f t="shared" si="69"/>
        <v>0</v>
      </c>
      <c r="AM132" s="616">
        <f t="shared" si="70"/>
        <v>0</v>
      </c>
      <c r="AN132" s="616">
        <f t="shared" si="71"/>
        <v>7.15</v>
      </c>
      <c r="AO132" s="615">
        <f t="shared" si="72"/>
        <v>5.87</v>
      </c>
      <c r="AP132" s="616">
        <f t="shared" si="73"/>
        <v>4.2</v>
      </c>
      <c r="AQ132" s="616">
        <f t="shared" si="74"/>
        <v>0</v>
      </c>
      <c r="AR132" s="616">
        <f t="shared" si="75"/>
        <v>0</v>
      </c>
      <c r="AS132" s="616">
        <f t="shared" si="76"/>
        <v>0.15</v>
      </c>
      <c r="AT132" s="637">
        <f t="shared" si="77"/>
        <v>1.52</v>
      </c>
      <c r="AU132" s="638">
        <f t="shared" si="54"/>
        <v>8.26468</v>
      </c>
      <c r="AV132" s="616">
        <f t="shared" si="55"/>
        <v>3.0896</v>
      </c>
      <c r="AW132" s="616">
        <f t="shared" si="56"/>
        <v>1.5448</v>
      </c>
      <c r="AX132" s="616">
        <f t="shared" si="57"/>
        <v>1.1586</v>
      </c>
      <c r="AY132" s="616">
        <f t="shared" si="58"/>
        <v>0.03862</v>
      </c>
      <c r="AZ132" s="616">
        <f t="shared" si="59"/>
        <v>0.11586</v>
      </c>
      <c r="BA132" s="616">
        <f t="shared" si="60"/>
        <v>2.3172</v>
      </c>
      <c r="BB132" s="616"/>
      <c r="BC132" s="615">
        <f t="shared" si="78"/>
        <v>4.80644</v>
      </c>
      <c r="BD132" s="616">
        <f t="shared" si="79"/>
        <v>1.7968</v>
      </c>
      <c r="BE132" s="616">
        <f t="shared" si="80"/>
        <v>0.8984</v>
      </c>
      <c r="BF132" s="616">
        <f t="shared" si="81"/>
        <v>0.6738</v>
      </c>
      <c r="BG132" s="616">
        <f t="shared" si="82"/>
        <v>0.02246</v>
      </c>
      <c r="BH132" s="616">
        <f t="shared" si="83"/>
        <v>0.06738</v>
      </c>
      <c r="BI132" s="616">
        <f t="shared" si="84"/>
        <v>1.3476</v>
      </c>
      <c r="BJ132" s="616"/>
      <c r="BK132" s="615">
        <f t="shared" si="85"/>
        <v>13.07112</v>
      </c>
      <c r="BL132" s="616">
        <f t="shared" si="86"/>
        <v>4.8864</v>
      </c>
      <c r="BM132" s="616">
        <f t="shared" si="87"/>
        <v>2.4432</v>
      </c>
      <c r="BN132" s="616">
        <f t="shared" si="88"/>
        <v>1.8324</v>
      </c>
      <c r="BO132" s="616">
        <f t="shared" si="89"/>
        <v>0.06108</v>
      </c>
      <c r="BP132" s="616">
        <f t="shared" si="90"/>
        <v>0.18324</v>
      </c>
      <c r="BQ132" s="616">
        <f t="shared" si="91"/>
        <v>3.6648</v>
      </c>
      <c r="BR132" s="616">
        <f t="shared" si="92"/>
        <v>0</v>
      </c>
      <c r="BS132" s="304"/>
    </row>
    <row r="133" s="132" customFormat="1" ht="24" spans="1:71">
      <c r="A133" s="497" t="s">
        <v>202</v>
      </c>
      <c r="B133" s="497" t="s">
        <v>206</v>
      </c>
      <c r="C133" s="497" t="s">
        <v>380</v>
      </c>
      <c r="D133" s="497" t="s">
        <v>378</v>
      </c>
      <c r="E133" s="615">
        <f t="shared" si="51"/>
        <v>199.65</v>
      </c>
      <c r="F133" s="615">
        <f t="shared" si="52"/>
        <v>165.56</v>
      </c>
      <c r="G133" s="616">
        <v>93.75</v>
      </c>
      <c r="H133" s="616"/>
      <c r="I133" s="616">
        <v>35.98</v>
      </c>
      <c r="J133" s="616"/>
      <c r="K133" s="616"/>
      <c r="L133" s="616">
        <v>35.83</v>
      </c>
      <c r="M133" s="615">
        <f t="shared" si="53"/>
        <v>34.09</v>
      </c>
      <c r="N133" s="616">
        <v>21.59</v>
      </c>
      <c r="O133" s="616"/>
      <c r="P133" s="616"/>
      <c r="Q133" s="616"/>
      <c r="R133" s="616">
        <v>12.5</v>
      </c>
      <c r="S133" s="615">
        <f t="shared" si="61"/>
        <v>8.15</v>
      </c>
      <c r="T133" s="615">
        <f t="shared" si="62"/>
        <v>6.75</v>
      </c>
      <c r="U133" s="616">
        <v>3.57</v>
      </c>
      <c r="V133" s="616"/>
      <c r="W133" s="616">
        <v>1.52</v>
      </c>
      <c r="X133" s="616"/>
      <c r="Y133" s="616"/>
      <c r="Z133" s="616">
        <v>1.66</v>
      </c>
      <c r="AA133" s="615">
        <f t="shared" si="63"/>
        <v>1.4</v>
      </c>
      <c r="AB133" s="616">
        <v>0.91</v>
      </c>
      <c r="AC133" s="616"/>
      <c r="AD133" s="616"/>
      <c r="AE133" s="616">
        <v>0.45</v>
      </c>
      <c r="AF133" s="616">
        <v>0.04</v>
      </c>
      <c r="AG133" s="615">
        <f t="shared" si="64"/>
        <v>207.8</v>
      </c>
      <c r="AH133" s="615">
        <f t="shared" si="65"/>
        <v>172.31</v>
      </c>
      <c r="AI133" s="616">
        <f t="shared" si="66"/>
        <v>97.32</v>
      </c>
      <c r="AJ133" s="616">
        <f t="shared" si="67"/>
        <v>0</v>
      </c>
      <c r="AK133" s="616">
        <f t="shared" si="68"/>
        <v>37.5</v>
      </c>
      <c r="AL133" s="616">
        <f t="shared" si="69"/>
        <v>0</v>
      </c>
      <c r="AM133" s="616">
        <f t="shared" si="70"/>
        <v>0</v>
      </c>
      <c r="AN133" s="616">
        <f t="shared" si="71"/>
        <v>37.49</v>
      </c>
      <c r="AO133" s="615">
        <f t="shared" si="72"/>
        <v>35.49</v>
      </c>
      <c r="AP133" s="616">
        <f t="shared" si="73"/>
        <v>22.5</v>
      </c>
      <c r="AQ133" s="616">
        <f t="shared" si="74"/>
        <v>0</v>
      </c>
      <c r="AR133" s="616">
        <f t="shared" si="75"/>
        <v>0</v>
      </c>
      <c r="AS133" s="616">
        <f t="shared" si="76"/>
        <v>0.45</v>
      </c>
      <c r="AT133" s="637">
        <f t="shared" si="77"/>
        <v>12.54</v>
      </c>
      <c r="AU133" s="638">
        <f t="shared" si="54"/>
        <v>64.76496</v>
      </c>
      <c r="AV133" s="616">
        <f t="shared" si="55"/>
        <v>24.2112</v>
      </c>
      <c r="AW133" s="616">
        <f t="shared" si="56"/>
        <v>12.1056</v>
      </c>
      <c r="AX133" s="616">
        <f t="shared" si="57"/>
        <v>9.0792</v>
      </c>
      <c r="AY133" s="616">
        <f t="shared" si="58"/>
        <v>0.30264</v>
      </c>
      <c r="AZ133" s="616">
        <f t="shared" si="59"/>
        <v>0.90792</v>
      </c>
      <c r="BA133" s="616">
        <f t="shared" si="60"/>
        <v>18.1584</v>
      </c>
      <c r="BB133" s="616"/>
      <c r="BC133" s="615">
        <f t="shared" si="78"/>
        <v>2.568</v>
      </c>
      <c r="BD133" s="616">
        <f t="shared" si="79"/>
        <v>0.96</v>
      </c>
      <c r="BE133" s="616">
        <f t="shared" si="80"/>
        <v>0.48</v>
      </c>
      <c r="BF133" s="616">
        <f t="shared" si="81"/>
        <v>0.36</v>
      </c>
      <c r="BG133" s="616">
        <f t="shared" si="82"/>
        <v>0.012</v>
      </c>
      <c r="BH133" s="616">
        <f t="shared" si="83"/>
        <v>0.036</v>
      </c>
      <c r="BI133" s="616">
        <f t="shared" si="84"/>
        <v>0.72</v>
      </c>
      <c r="BJ133" s="616"/>
      <c r="BK133" s="615">
        <f t="shared" si="85"/>
        <v>67.33296</v>
      </c>
      <c r="BL133" s="616">
        <f t="shared" si="86"/>
        <v>25.1712</v>
      </c>
      <c r="BM133" s="616">
        <f t="shared" si="87"/>
        <v>12.5856</v>
      </c>
      <c r="BN133" s="616">
        <f t="shared" si="88"/>
        <v>9.4392</v>
      </c>
      <c r="BO133" s="616">
        <f t="shared" si="89"/>
        <v>0.31464</v>
      </c>
      <c r="BP133" s="616">
        <f t="shared" si="90"/>
        <v>0.94392</v>
      </c>
      <c r="BQ133" s="616">
        <f t="shared" si="91"/>
        <v>18.8784</v>
      </c>
      <c r="BR133" s="616">
        <f t="shared" si="92"/>
        <v>0</v>
      </c>
      <c r="BS133" s="304"/>
    </row>
    <row r="134" s="547" customFormat="1" ht="21" customHeight="1" spans="1:72">
      <c r="A134" s="647"/>
      <c r="B134" s="647"/>
      <c r="C134" s="647" t="s">
        <v>128</v>
      </c>
      <c r="D134" s="648">
        <v>204</v>
      </c>
      <c r="E134" s="642">
        <f t="shared" ref="E134:Z134" si="93">SUM(E135:E144)</f>
        <v>312.53</v>
      </c>
      <c r="F134" s="642">
        <f t="shared" si="93"/>
        <v>248.44</v>
      </c>
      <c r="G134" s="642">
        <f t="shared" si="93"/>
        <v>137.74</v>
      </c>
      <c r="H134" s="642">
        <f t="shared" si="93"/>
        <v>0.24</v>
      </c>
      <c r="I134" s="642">
        <f t="shared" si="93"/>
        <v>55.15</v>
      </c>
      <c r="J134" s="642">
        <f t="shared" si="93"/>
        <v>0</v>
      </c>
      <c r="K134" s="642">
        <f t="shared" si="93"/>
        <v>0</v>
      </c>
      <c r="L134" s="642">
        <f t="shared" si="93"/>
        <v>55.31</v>
      </c>
      <c r="M134" s="642">
        <f t="shared" si="93"/>
        <v>64.09</v>
      </c>
      <c r="N134" s="642">
        <f t="shared" si="93"/>
        <v>33.09</v>
      </c>
      <c r="O134" s="642">
        <f t="shared" si="93"/>
        <v>0</v>
      </c>
      <c r="P134" s="642">
        <f t="shared" si="93"/>
        <v>10</v>
      </c>
      <c r="Q134" s="642">
        <f t="shared" si="93"/>
        <v>0</v>
      </c>
      <c r="R134" s="642">
        <f t="shared" si="93"/>
        <v>21</v>
      </c>
      <c r="S134" s="642">
        <f t="shared" ref="S134:AF134" si="94">SUM(S135:S144)</f>
        <v>22.04</v>
      </c>
      <c r="T134" s="642">
        <f t="shared" si="94"/>
        <v>19.21</v>
      </c>
      <c r="U134" s="642">
        <f t="shared" si="94"/>
        <v>13.39</v>
      </c>
      <c r="V134" s="642">
        <f t="shared" si="94"/>
        <v>0</v>
      </c>
      <c r="W134" s="642">
        <f t="shared" si="94"/>
        <v>2.24</v>
      </c>
      <c r="X134" s="642">
        <f t="shared" si="94"/>
        <v>0</v>
      </c>
      <c r="Y134" s="642">
        <f t="shared" si="94"/>
        <v>0</v>
      </c>
      <c r="Z134" s="642">
        <f t="shared" si="94"/>
        <v>3.58</v>
      </c>
      <c r="AA134" s="642">
        <f t="shared" si="94"/>
        <v>2.83</v>
      </c>
      <c r="AB134" s="642">
        <f t="shared" si="94"/>
        <v>2.96</v>
      </c>
      <c r="AC134" s="642">
        <f t="shared" si="94"/>
        <v>0</v>
      </c>
      <c r="AD134" s="642">
        <f t="shared" si="94"/>
        <v>0</v>
      </c>
      <c r="AE134" s="642">
        <f t="shared" si="94"/>
        <v>1.35</v>
      </c>
      <c r="AF134" s="642">
        <f t="shared" si="94"/>
        <v>-1.48</v>
      </c>
      <c r="AG134" s="642">
        <f t="shared" ref="AG134:BB134" si="95">SUM(AG135:AG144)</f>
        <v>334.57</v>
      </c>
      <c r="AH134" s="642">
        <f t="shared" si="95"/>
        <v>267.65</v>
      </c>
      <c r="AI134" s="642">
        <f t="shared" si="95"/>
        <v>151.13</v>
      </c>
      <c r="AJ134" s="642">
        <f t="shared" si="95"/>
        <v>0.24</v>
      </c>
      <c r="AK134" s="642">
        <f t="shared" si="95"/>
        <v>57.39</v>
      </c>
      <c r="AL134" s="642">
        <f t="shared" si="95"/>
        <v>0</v>
      </c>
      <c r="AM134" s="642">
        <f t="shared" si="95"/>
        <v>0</v>
      </c>
      <c r="AN134" s="642">
        <f t="shared" si="95"/>
        <v>58.89</v>
      </c>
      <c r="AO134" s="642">
        <f t="shared" si="95"/>
        <v>66.92</v>
      </c>
      <c r="AP134" s="642">
        <f t="shared" si="95"/>
        <v>36.05</v>
      </c>
      <c r="AQ134" s="642">
        <f t="shared" si="95"/>
        <v>0</v>
      </c>
      <c r="AR134" s="642">
        <f t="shared" si="95"/>
        <v>10</v>
      </c>
      <c r="AS134" s="642">
        <f t="shared" si="95"/>
        <v>1.35</v>
      </c>
      <c r="AT134" s="651">
        <f t="shared" si="95"/>
        <v>19.52</v>
      </c>
      <c r="AU134" s="652">
        <f t="shared" si="95"/>
        <v>96.82216</v>
      </c>
      <c r="AV134" s="642">
        <f t="shared" si="95"/>
        <v>36.1952</v>
      </c>
      <c r="AW134" s="642">
        <f t="shared" si="95"/>
        <v>18.0976</v>
      </c>
      <c r="AX134" s="642">
        <f t="shared" si="95"/>
        <v>13.5732</v>
      </c>
      <c r="AY134" s="642">
        <f t="shared" si="95"/>
        <v>0.45244</v>
      </c>
      <c r="AZ134" s="642">
        <f t="shared" si="95"/>
        <v>1.35732</v>
      </c>
      <c r="BA134" s="642">
        <f t="shared" si="95"/>
        <v>27.1464</v>
      </c>
      <c r="BB134" s="642">
        <f t="shared" si="95"/>
        <v>0</v>
      </c>
      <c r="BC134" s="642">
        <f t="shared" ref="BC134:BR134" si="96">SUM(BC135:BC144)</f>
        <v>7.95652</v>
      </c>
      <c r="BD134" s="642">
        <f t="shared" si="96"/>
        <v>2.9744</v>
      </c>
      <c r="BE134" s="642">
        <f t="shared" si="96"/>
        <v>1.4872</v>
      </c>
      <c r="BF134" s="642">
        <f t="shared" si="96"/>
        <v>1.1154</v>
      </c>
      <c r="BG134" s="642">
        <f t="shared" si="96"/>
        <v>0.03718</v>
      </c>
      <c r="BH134" s="642">
        <f t="shared" si="96"/>
        <v>0.11154</v>
      </c>
      <c r="BI134" s="642">
        <f t="shared" si="96"/>
        <v>2.2308</v>
      </c>
      <c r="BJ134" s="642">
        <f t="shared" si="96"/>
        <v>0</v>
      </c>
      <c r="BK134" s="642">
        <f t="shared" si="96"/>
        <v>104.77868</v>
      </c>
      <c r="BL134" s="642">
        <f t="shared" si="96"/>
        <v>39.1696</v>
      </c>
      <c r="BM134" s="642">
        <f t="shared" si="96"/>
        <v>19.5848</v>
      </c>
      <c r="BN134" s="642">
        <f t="shared" si="96"/>
        <v>14.6886</v>
      </c>
      <c r="BO134" s="642">
        <f t="shared" si="96"/>
        <v>0.48962</v>
      </c>
      <c r="BP134" s="642">
        <f t="shared" si="96"/>
        <v>1.46886</v>
      </c>
      <c r="BQ134" s="642">
        <f t="shared" si="96"/>
        <v>29.3772</v>
      </c>
      <c r="BR134" s="642">
        <f t="shared" si="96"/>
        <v>0</v>
      </c>
      <c r="BS134" s="334"/>
      <c r="BT134" s="579"/>
    </row>
    <row r="135" s="132" customFormat="1" ht="24" spans="1:71">
      <c r="A135" s="497" t="s">
        <v>202</v>
      </c>
      <c r="B135" s="497" t="s">
        <v>203</v>
      </c>
      <c r="C135" s="497" t="s">
        <v>381</v>
      </c>
      <c r="D135" s="497" t="s">
        <v>382</v>
      </c>
      <c r="E135" s="615">
        <f t="shared" ref="E135:E144" si="97">F135+M135</f>
        <v>0</v>
      </c>
      <c r="F135" s="615">
        <f t="shared" ref="F135:F144" si="98">SUM(G135:L135)</f>
        <v>0</v>
      </c>
      <c r="G135" s="616"/>
      <c r="H135" s="616"/>
      <c r="I135" s="616"/>
      <c r="J135" s="616"/>
      <c r="K135" s="616"/>
      <c r="L135" s="616"/>
      <c r="M135" s="615">
        <f t="shared" ref="M135:M144" si="99">SUM(N135:R135)</f>
        <v>0</v>
      </c>
      <c r="N135" s="616"/>
      <c r="O135" s="616"/>
      <c r="P135" s="616"/>
      <c r="Q135" s="616"/>
      <c r="R135" s="616"/>
      <c r="S135" s="615">
        <f t="shared" si="61"/>
        <v>0</v>
      </c>
      <c r="T135" s="615">
        <f t="shared" si="62"/>
        <v>0</v>
      </c>
      <c r="U135" s="616"/>
      <c r="V135" s="616"/>
      <c r="W135" s="616"/>
      <c r="X135" s="616"/>
      <c r="Y135" s="616"/>
      <c r="Z135" s="616"/>
      <c r="AA135" s="615">
        <f t="shared" si="63"/>
        <v>0</v>
      </c>
      <c r="AB135" s="616"/>
      <c r="AC135" s="616"/>
      <c r="AD135" s="616"/>
      <c r="AE135" s="616"/>
      <c r="AF135" s="616"/>
      <c r="AG135" s="615">
        <f t="shared" si="64"/>
        <v>0</v>
      </c>
      <c r="AH135" s="615">
        <f t="shared" si="65"/>
        <v>0</v>
      </c>
      <c r="AI135" s="616">
        <f t="shared" si="66"/>
        <v>0</v>
      </c>
      <c r="AJ135" s="616">
        <f t="shared" si="67"/>
        <v>0</v>
      </c>
      <c r="AK135" s="616">
        <f t="shared" si="68"/>
        <v>0</v>
      </c>
      <c r="AL135" s="616">
        <f t="shared" si="69"/>
        <v>0</v>
      </c>
      <c r="AM135" s="616">
        <f t="shared" si="70"/>
        <v>0</v>
      </c>
      <c r="AN135" s="616">
        <f t="shared" si="71"/>
        <v>0</v>
      </c>
      <c r="AO135" s="615">
        <f t="shared" si="72"/>
        <v>0</v>
      </c>
      <c r="AP135" s="616">
        <f t="shared" si="73"/>
        <v>0</v>
      </c>
      <c r="AQ135" s="616">
        <f t="shared" si="74"/>
        <v>0</v>
      </c>
      <c r="AR135" s="616">
        <f t="shared" si="75"/>
        <v>0</v>
      </c>
      <c r="AS135" s="616">
        <f t="shared" si="76"/>
        <v>0</v>
      </c>
      <c r="AT135" s="637">
        <f t="shared" si="77"/>
        <v>0</v>
      </c>
      <c r="AU135" s="638">
        <f t="shared" ref="AU135:AU144" si="100">SUM(AV135:BB135)</f>
        <v>0</v>
      </c>
      <c r="AV135" s="616">
        <f t="shared" ref="AV135:AV144" si="101">(G135+H135+I135+N135)*0.16</f>
        <v>0</v>
      </c>
      <c r="AW135" s="616">
        <f t="shared" ref="AW135:AW144" si="102">(G135+H135+I135+N135)*0.08</f>
        <v>0</v>
      </c>
      <c r="AX135" s="616">
        <f t="shared" ref="AX135:AX144" si="103">(G135+H135+I135+N135)*0.06</f>
        <v>0</v>
      </c>
      <c r="AY135" s="616">
        <f t="shared" ref="AY135:AY144" si="104">(G135+H135+I135+N135)*0.002</f>
        <v>0</v>
      </c>
      <c r="AZ135" s="616">
        <f t="shared" ref="AZ135:AZ144" si="105">(G135+H135+I135+N135)*0.006</f>
        <v>0</v>
      </c>
      <c r="BA135" s="616">
        <f t="shared" ref="BA135:BA144" si="106">(G135+H135+I135+N135)*0.12</f>
        <v>0</v>
      </c>
      <c r="BB135" s="616"/>
      <c r="BC135" s="615">
        <f t="shared" si="78"/>
        <v>0</v>
      </c>
      <c r="BD135" s="616">
        <f t="shared" si="79"/>
        <v>0</v>
      </c>
      <c r="BE135" s="616">
        <f t="shared" si="80"/>
        <v>0</v>
      </c>
      <c r="BF135" s="616">
        <f t="shared" si="81"/>
        <v>0</v>
      </c>
      <c r="BG135" s="616">
        <f t="shared" si="82"/>
        <v>0</v>
      </c>
      <c r="BH135" s="616">
        <f t="shared" si="83"/>
        <v>0</v>
      </c>
      <c r="BI135" s="616">
        <f t="shared" si="84"/>
        <v>0</v>
      </c>
      <c r="BJ135" s="616"/>
      <c r="BK135" s="615">
        <f t="shared" si="85"/>
        <v>0</v>
      </c>
      <c r="BL135" s="616">
        <f t="shared" si="86"/>
        <v>0</v>
      </c>
      <c r="BM135" s="616">
        <f t="shared" si="87"/>
        <v>0</v>
      </c>
      <c r="BN135" s="616">
        <f t="shared" si="88"/>
        <v>0</v>
      </c>
      <c r="BO135" s="616">
        <f t="shared" si="89"/>
        <v>0</v>
      </c>
      <c r="BP135" s="616">
        <f t="shared" si="90"/>
        <v>0</v>
      </c>
      <c r="BQ135" s="616">
        <f t="shared" si="91"/>
        <v>0</v>
      </c>
      <c r="BR135" s="616">
        <f t="shared" si="92"/>
        <v>0</v>
      </c>
      <c r="BS135" s="304"/>
    </row>
    <row r="136" s="132" customFormat="1" ht="24" spans="1:71">
      <c r="A136" s="497" t="s">
        <v>202</v>
      </c>
      <c r="B136" s="497" t="s">
        <v>203</v>
      </c>
      <c r="C136" s="497" t="s">
        <v>383</v>
      </c>
      <c r="D136" s="497" t="s">
        <v>382</v>
      </c>
      <c r="E136" s="615">
        <f t="shared" si="97"/>
        <v>0</v>
      </c>
      <c r="F136" s="615">
        <f t="shared" si="98"/>
        <v>0</v>
      </c>
      <c r="G136" s="616"/>
      <c r="H136" s="616"/>
      <c r="I136" s="616"/>
      <c r="J136" s="616"/>
      <c r="K136" s="616"/>
      <c r="L136" s="616"/>
      <c r="M136" s="615">
        <f t="shared" si="99"/>
        <v>0</v>
      </c>
      <c r="N136" s="616"/>
      <c r="O136" s="616"/>
      <c r="P136" s="616"/>
      <c r="Q136" s="616"/>
      <c r="R136" s="616"/>
      <c r="S136" s="615">
        <f t="shared" si="61"/>
        <v>0</v>
      </c>
      <c r="T136" s="615">
        <f t="shared" si="62"/>
        <v>0</v>
      </c>
      <c r="U136" s="616"/>
      <c r="V136" s="616"/>
      <c r="W136" s="616"/>
      <c r="X136" s="616"/>
      <c r="Y136" s="616"/>
      <c r="Z136" s="616"/>
      <c r="AA136" s="615">
        <f t="shared" si="63"/>
        <v>0</v>
      </c>
      <c r="AB136" s="616"/>
      <c r="AC136" s="616"/>
      <c r="AD136" s="616"/>
      <c r="AE136" s="616"/>
      <c r="AF136" s="616"/>
      <c r="AG136" s="615">
        <f t="shared" si="64"/>
        <v>0</v>
      </c>
      <c r="AH136" s="615">
        <f t="shared" si="65"/>
        <v>0</v>
      </c>
      <c r="AI136" s="616">
        <f t="shared" si="66"/>
        <v>0</v>
      </c>
      <c r="AJ136" s="616">
        <f t="shared" si="67"/>
        <v>0</v>
      </c>
      <c r="AK136" s="616">
        <f t="shared" si="68"/>
        <v>0</v>
      </c>
      <c r="AL136" s="616">
        <f t="shared" si="69"/>
        <v>0</v>
      </c>
      <c r="AM136" s="616">
        <f t="shared" si="70"/>
        <v>0</v>
      </c>
      <c r="AN136" s="616">
        <f t="shared" si="71"/>
        <v>0</v>
      </c>
      <c r="AO136" s="615">
        <f t="shared" si="72"/>
        <v>0</v>
      </c>
      <c r="AP136" s="616">
        <f t="shared" si="73"/>
        <v>0</v>
      </c>
      <c r="AQ136" s="616">
        <f t="shared" si="74"/>
        <v>0</v>
      </c>
      <c r="AR136" s="616">
        <f t="shared" si="75"/>
        <v>0</v>
      </c>
      <c r="AS136" s="616">
        <f t="shared" si="76"/>
        <v>0</v>
      </c>
      <c r="AT136" s="637">
        <f t="shared" si="77"/>
        <v>0</v>
      </c>
      <c r="AU136" s="638">
        <f t="shared" si="100"/>
        <v>0</v>
      </c>
      <c r="AV136" s="616">
        <f t="shared" si="101"/>
        <v>0</v>
      </c>
      <c r="AW136" s="616">
        <f t="shared" si="102"/>
        <v>0</v>
      </c>
      <c r="AX136" s="616">
        <f t="shared" si="103"/>
        <v>0</v>
      </c>
      <c r="AY136" s="616">
        <f t="shared" si="104"/>
        <v>0</v>
      </c>
      <c r="AZ136" s="616">
        <f t="shared" si="105"/>
        <v>0</v>
      </c>
      <c r="BA136" s="616">
        <f t="shared" si="106"/>
        <v>0</v>
      </c>
      <c r="BB136" s="616"/>
      <c r="BC136" s="615">
        <f t="shared" si="78"/>
        <v>0</v>
      </c>
      <c r="BD136" s="616">
        <f t="shared" si="79"/>
        <v>0</v>
      </c>
      <c r="BE136" s="616">
        <f t="shared" si="80"/>
        <v>0</v>
      </c>
      <c r="BF136" s="616">
        <f t="shared" si="81"/>
        <v>0</v>
      </c>
      <c r="BG136" s="616">
        <f t="shared" si="82"/>
        <v>0</v>
      </c>
      <c r="BH136" s="616">
        <f t="shared" si="83"/>
        <v>0</v>
      </c>
      <c r="BI136" s="616">
        <f t="shared" si="84"/>
        <v>0</v>
      </c>
      <c r="BJ136" s="616"/>
      <c r="BK136" s="615">
        <f t="shared" si="85"/>
        <v>0</v>
      </c>
      <c r="BL136" s="616">
        <f t="shared" si="86"/>
        <v>0</v>
      </c>
      <c r="BM136" s="616">
        <f t="shared" si="87"/>
        <v>0</v>
      </c>
      <c r="BN136" s="616">
        <f t="shared" si="88"/>
        <v>0</v>
      </c>
      <c r="BO136" s="616">
        <f t="shared" si="89"/>
        <v>0</v>
      </c>
      <c r="BP136" s="616">
        <f t="shared" si="90"/>
        <v>0</v>
      </c>
      <c r="BQ136" s="616">
        <f t="shared" si="91"/>
        <v>0</v>
      </c>
      <c r="BR136" s="616">
        <f t="shared" si="92"/>
        <v>0</v>
      </c>
      <c r="BS136" s="304"/>
    </row>
    <row r="137" s="132" customFormat="1" ht="24" spans="1:71">
      <c r="A137" s="497" t="s">
        <v>202</v>
      </c>
      <c r="B137" s="497" t="s">
        <v>203</v>
      </c>
      <c r="C137" s="497" t="s">
        <v>384</v>
      </c>
      <c r="D137" s="497" t="s">
        <v>382</v>
      </c>
      <c r="E137" s="615">
        <f t="shared" si="97"/>
        <v>0</v>
      </c>
      <c r="F137" s="615">
        <f t="shared" si="98"/>
        <v>0</v>
      </c>
      <c r="G137" s="616"/>
      <c r="H137" s="616"/>
      <c r="I137" s="616"/>
      <c r="J137" s="616"/>
      <c r="K137" s="616"/>
      <c r="L137" s="616"/>
      <c r="M137" s="615">
        <f t="shared" si="99"/>
        <v>0</v>
      </c>
      <c r="N137" s="616"/>
      <c r="O137" s="616"/>
      <c r="P137" s="616"/>
      <c r="Q137" s="616"/>
      <c r="R137" s="616"/>
      <c r="S137" s="615">
        <f t="shared" ref="S137:S139" si="107">T137+AA137</f>
        <v>0</v>
      </c>
      <c r="T137" s="615">
        <f t="shared" ref="T137:T139" si="108">SUM(U137:Z137)</f>
        <v>0</v>
      </c>
      <c r="U137" s="616"/>
      <c r="V137" s="616"/>
      <c r="W137" s="616"/>
      <c r="X137" s="616"/>
      <c r="Y137" s="616"/>
      <c r="Z137" s="616"/>
      <c r="AA137" s="615">
        <f t="shared" ref="AA137:AA139" si="109">SUM(AB137:AF137)</f>
        <v>0</v>
      </c>
      <c r="AB137" s="616"/>
      <c r="AC137" s="616"/>
      <c r="AD137" s="616"/>
      <c r="AE137" s="616"/>
      <c r="AF137" s="616"/>
      <c r="AG137" s="615">
        <f t="shared" si="64"/>
        <v>0</v>
      </c>
      <c r="AH137" s="615">
        <f t="shared" si="65"/>
        <v>0</v>
      </c>
      <c r="AI137" s="616">
        <f t="shared" si="66"/>
        <v>0</v>
      </c>
      <c r="AJ137" s="616">
        <f t="shared" si="67"/>
        <v>0</v>
      </c>
      <c r="AK137" s="616">
        <f t="shared" si="68"/>
        <v>0</v>
      </c>
      <c r="AL137" s="616">
        <f t="shared" si="69"/>
        <v>0</v>
      </c>
      <c r="AM137" s="616">
        <f t="shared" ref="AM137:AM139" si="110">K137+Y137</f>
        <v>0</v>
      </c>
      <c r="AN137" s="616">
        <f t="shared" si="71"/>
        <v>0</v>
      </c>
      <c r="AO137" s="615">
        <f t="shared" si="72"/>
        <v>0</v>
      </c>
      <c r="AP137" s="616">
        <f t="shared" si="73"/>
        <v>0</v>
      </c>
      <c r="AQ137" s="616">
        <f t="shared" si="74"/>
        <v>0</v>
      </c>
      <c r="AR137" s="616">
        <f t="shared" si="75"/>
        <v>0</v>
      </c>
      <c r="AS137" s="616">
        <f t="shared" si="76"/>
        <v>0</v>
      </c>
      <c r="AT137" s="637">
        <f t="shared" si="77"/>
        <v>0</v>
      </c>
      <c r="AU137" s="638">
        <f t="shared" si="100"/>
        <v>0</v>
      </c>
      <c r="AV137" s="616">
        <f t="shared" si="101"/>
        <v>0</v>
      </c>
      <c r="AW137" s="616">
        <f t="shared" si="102"/>
        <v>0</v>
      </c>
      <c r="AX137" s="616">
        <f t="shared" si="103"/>
        <v>0</v>
      </c>
      <c r="AY137" s="616">
        <f t="shared" si="104"/>
        <v>0</v>
      </c>
      <c r="AZ137" s="616">
        <f t="shared" si="105"/>
        <v>0</v>
      </c>
      <c r="BA137" s="616">
        <f t="shared" si="106"/>
        <v>0</v>
      </c>
      <c r="BB137" s="616"/>
      <c r="BC137" s="615">
        <f t="shared" si="78"/>
        <v>0</v>
      </c>
      <c r="BD137" s="616">
        <f t="shared" si="79"/>
        <v>0</v>
      </c>
      <c r="BE137" s="616">
        <f t="shared" si="80"/>
        <v>0</v>
      </c>
      <c r="BF137" s="616">
        <f t="shared" si="81"/>
        <v>0</v>
      </c>
      <c r="BG137" s="616">
        <f t="shared" si="82"/>
        <v>0</v>
      </c>
      <c r="BH137" s="616">
        <f t="shared" si="83"/>
        <v>0</v>
      </c>
      <c r="BI137" s="616">
        <f t="shared" si="84"/>
        <v>0</v>
      </c>
      <c r="BJ137" s="616"/>
      <c r="BK137" s="615">
        <f t="shared" si="85"/>
        <v>0</v>
      </c>
      <c r="BL137" s="616">
        <f t="shared" si="86"/>
        <v>0</v>
      </c>
      <c r="BM137" s="616">
        <f t="shared" si="87"/>
        <v>0</v>
      </c>
      <c r="BN137" s="616">
        <f t="shared" si="88"/>
        <v>0</v>
      </c>
      <c r="BO137" s="616">
        <f t="shared" si="89"/>
        <v>0</v>
      </c>
      <c r="BP137" s="616">
        <f t="shared" si="90"/>
        <v>0</v>
      </c>
      <c r="BQ137" s="616">
        <f t="shared" si="91"/>
        <v>0</v>
      </c>
      <c r="BR137" s="616">
        <f t="shared" si="92"/>
        <v>0</v>
      </c>
      <c r="BS137" s="304"/>
    </row>
    <row r="138" s="132" customFormat="1" ht="24" spans="1:71">
      <c r="A138" s="497" t="s">
        <v>202</v>
      </c>
      <c r="B138" s="497" t="s">
        <v>206</v>
      </c>
      <c r="C138" s="497" t="s">
        <v>385</v>
      </c>
      <c r="D138" s="497" t="s">
        <v>386</v>
      </c>
      <c r="E138" s="615">
        <f t="shared" si="97"/>
        <v>249.63</v>
      </c>
      <c r="F138" s="615">
        <f t="shared" si="98"/>
        <v>204.77</v>
      </c>
      <c r="G138" s="616">
        <v>112.8</v>
      </c>
      <c r="H138" s="616">
        <v>0.24</v>
      </c>
      <c r="I138" s="616">
        <v>45.6</v>
      </c>
      <c r="J138" s="616"/>
      <c r="K138" s="616"/>
      <c r="L138" s="616">
        <v>46.13</v>
      </c>
      <c r="M138" s="615">
        <f t="shared" si="99"/>
        <v>44.86</v>
      </c>
      <c r="N138" s="616">
        <v>27.36</v>
      </c>
      <c r="O138" s="616"/>
      <c r="P138" s="616"/>
      <c r="Q138" s="616"/>
      <c r="R138" s="616">
        <v>17.5</v>
      </c>
      <c r="S138" s="615">
        <f t="shared" si="107"/>
        <v>18.25</v>
      </c>
      <c r="T138" s="615">
        <f t="shared" si="108"/>
        <v>14.95</v>
      </c>
      <c r="U138" s="616">
        <v>10.47</v>
      </c>
      <c r="V138" s="616"/>
      <c r="W138" s="616">
        <v>1.05</v>
      </c>
      <c r="X138" s="616"/>
      <c r="Y138" s="616"/>
      <c r="Z138" s="616">
        <v>3.43</v>
      </c>
      <c r="AA138" s="615">
        <f t="shared" si="109"/>
        <v>3.3</v>
      </c>
      <c r="AB138" s="616">
        <f>0.63+1.62</f>
        <v>2.25</v>
      </c>
      <c r="AC138" s="616"/>
      <c r="AD138" s="616"/>
      <c r="AE138" s="616">
        <v>1.05</v>
      </c>
      <c r="AF138" s="616"/>
      <c r="AG138" s="615">
        <f>AH138+AO138</f>
        <v>267.88</v>
      </c>
      <c r="AH138" s="615">
        <f>SUM(AI138:AN138)</f>
        <v>219.72</v>
      </c>
      <c r="AI138" s="616">
        <f>G138+U138</f>
        <v>123.27</v>
      </c>
      <c r="AJ138" s="616">
        <f>H138+V138</f>
        <v>0.24</v>
      </c>
      <c r="AK138" s="616">
        <f>I138+W138</f>
        <v>46.65</v>
      </c>
      <c r="AL138" s="616">
        <f>J138+X138</f>
        <v>0</v>
      </c>
      <c r="AM138" s="616">
        <f t="shared" si="110"/>
        <v>0</v>
      </c>
      <c r="AN138" s="616">
        <f>L138+Z138</f>
        <v>49.56</v>
      </c>
      <c r="AO138" s="615">
        <f>SUM(AP138:AT138)</f>
        <v>48.16</v>
      </c>
      <c r="AP138" s="616">
        <f>N138+AB138</f>
        <v>29.61</v>
      </c>
      <c r="AQ138" s="616">
        <f>O138+AC138</f>
        <v>0</v>
      </c>
      <c r="AR138" s="616">
        <f>P138+AD138</f>
        <v>0</v>
      </c>
      <c r="AS138" s="616">
        <f>Q138+AE138</f>
        <v>1.05</v>
      </c>
      <c r="AT138" s="637">
        <f>R138+AF138</f>
        <v>17.5</v>
      </c>
      <c r="AU138" s="638">
        <f t="shared" si="100"/>
        <v>79.608</v>
      </c>
      <c r="AV138" s="616">
        <f t="shared" si="101"/>
        <v>29.76</v>
      </c>
      <c r="AW138" s="616">
        <f t="shared" si="102"/>
        <v>14.88</v>
      </c>
      <c r="AX138" s="616">
        <f t="shared" si="103"/>
        <v>11.16</v>
      </c>
      <c r="AY138" s="616">
        <f t="shared" si="104"/>
        <v>0.372</v>
      </c>
      <c r="AZ138" s="616">
        <f t="shared" si="105"/>
        <v>1.116</v>
      </c>
      <c r="BA138" s="616">
        <f t="shared" si="106"/>
        <v>22.32</v>
      </c>
      <c r="BB138" s="616"/>
      <c r="BC138" s="615">
        <f>SUM(BD138:BJ138)</f>
        <v>5.89356</v>
      </c>
      <c r="BD138" s="616">
        <f>(U138+V138+W138+AB138)*0.16</f>
        <v>2.2032</v>
      </c>
      <c r="BE138" s="616">
        <f>(U138+V138+W138+AB138)*0.08</f>
        <v>1.1016</v>
      </c>
      <c r="BF138" s="616">
        <f>(U138+V138+W138+AB138)*0.06</f>
        <v>0.8262</v>
      </c>
      <c r="BG138" s="616">
        <f>(U138+V138+W138+AB138)*0.002</f>
        <v>0.02754</v>
      </c>
      <c r="BH138" s="616">
        <f>(U138+V138+W138+AB138)*0.006</f>
        <v>0.08262</v>
      </c>
      <c r="BI138" s="616">
        <f>(U138+V138+W138+AB138)*0.12</f>
        <v>1.6524</v>
      </c>
      <c r="BJ138" s="616"/>
      <c r="BK138" s="615">
        <f>SUM(BL138:BR138)</f>
        <v>85.50156</v>
      </c>
      <c r="BL138" s="616">
        <f>(AI138+AJ138+AK138+AP138)*0.16</f>
        <v>31.9632</v>
      </c>
      <c r="BM138" s="616">
        <f>(AI138+AJ138+AK138+AP138)*0.08</f>
        <v>15.9816</v>
      </c>
      <c r="BN138" s="616">
        <f>(AI138+AJ138+AK138+AP138)*0.06</f>
        <v>11.9862</v>
      </c>
      <c r="BO138" s="616">
        <f>(AI138+AJ138+AK138+AP138)*0.002</f>
        <v>0.39954</v>
      </c>
      <c r="BP138" s="616">
        <f>(AI138+AJ138+AK138+AP138)*0.006</f>
        <v>1.19862</v>
      </c>
      <c r="BQ138" s="616">
        <f>(AI138+AJ138+AK138+AP138)*0.12</f>
        <v>23.9724</v>
      </c>
      <c r="BR138" s="616">
        <f>BB138+BJ138</f>
        <v>0</v>
      </c>
      <c r="BS138" s="304"/>
    </row>
    <row r="139" s="132" customFormat="1" ht="26" customHeight="1" spans="1:71">
      <c r="A139" s="497" t="s">
        <v>202</v>
      </c>
      <c r="B139" s="497" t="s">
        <v>203</v>
      </c>
      <c r="C139" s="497" t="s">
        <v>387</v>
      </c>
      <c r="D139" s="497" t="s">
        <v>388</v>
      </c>
      <c r="E139" s="615">
        <f t="shared" si="97"/>
        <v>0</v>
      </c>
      <c r="F139" s="615">
        <f t="shared" si="98"/>
        <v>0</v>
      </c>
      <c r="G139" s="616"/>
      <c r="H139" s="616"/>
      <c r="I139" s="616"/>
      <c r="J139" s="616"/>
      <c r="K139" s="616"/>
      <c r="L139" s="616"/>
      <c r="M139" s="615">
        <f t="shared" si="99"/>
        <v>0</v>
      </c>
      <c r="N139" s="616"/>
      <c r="O139" s="616"/>
      <c r="P139" s="616"/>
      <c r="Q139" s="616"/>
      <c r="R139" s="616"/>
      <c r="S139" s="615">
        <f t="shared" si="107"/>
        <v>0</v>
      </c>
      <c r="T139" s="615">
        <f t="shared" si="108"/>
        <v>0</v>
      </c>
      <c r="U139" s="616"/>
      <c r="V139" s="616"/>
      <c r="W139" s="616"/>
      <c r="X139" s="616"/>
      <c r="Y139" s="616"/>
      <c r="Z139" s="616"/>
      <c r="AA139" s="615">
        <f t="shared" si="109"/>
        <v>0</v>
      </c>
      <c r="AB139" s="616"/>
      <c r="AC139" s="616"/>
      <c r="AD139" s="616"/>
      <c r="AE139" s="616"/>
      <c r="AF139" s="616"/>
      <c r="AG139" s="615">
        <f>AH139+AO139</f>
        <v>0</v>
      </c>
      <c r="AH139" s="615">
        <f>SUM(AI139:AN139)</f>
        <v>0</v>
      </c>
      <c r="AI139" s="616">
        <f>G139+U139</f>
        <v>0</v>
      </c>
      <c r="AJ139" s="616">
        <f>H139+V139</f>
        <v>0</v>
      </c>
      <c r="AK139" s="616">
        <f>I139+W139</f>
        <v>0</v>
      </c>
      <c r="AL139" s="616">
        <f>J139+X139</f>
        <v>0</v>
      </c>
      <c r="AM139" s="616">
        <f t="shared" si="110"/>
        <v>0</v>
      </c>
      <c r="AN139" s="616">
        <f>L139+Z139</f>
        <v>0</v>
      </c>
      <c r="AO139" s="615">
        <f>SUM(AP139:AT139)</f>
        <v>0</v>
      </c>
      <c r="AP139" s="616">
        <f>N139+AB139</f>
        <v>0</v>
      </c>
      <c r="AQ139" s="616">
        <f>O139+AC139</f>
        <v>0</v>
      </c>
      <c r="AR139" s="616">
        <f>P139+AD139</f>
        <v>0</v>
      </c>
      <c r="AS139" s="616">
        <f>Q139+AE139</f>
        <v>0</v>
      </c>
      <c r="AT139" s="637">
        <f>R139+AF139</f>
        <v>0</v>
      </c>
      <c r="AU139" s="638">
        <f t="shared" si="100"/>
        <v>0</v>
      </c>
      <c r="AV139" s="616">
        <f t="shared" si="101"/>
        <v>0</v>
      </c>
      <c r="AW139" s="616">
        <f t="shared" si="102"/>
        <v>0</v>
      </c>
      <c r="AX139" s="616">
        <f t="shared" si="103"/>
        <v>0</v>
      </c>
      <c r="AY139" s="616">
        <f t="shared" si="104"/>
        <v>0</v>
      </c>
      <c r="AZ139" s="616">
        <f t="shared" si="105"/>
        <v>0</v>
      </c>
      <c r="BA139" s="616">
        <f t="shared" si="106"/>
        <v>0</v>
      </c>
      <c r="BB139" s="616"/>
      <c r="BC139" s="615">
        <f>SUM(BD139:BJ139)</f>
        <v>0</v>
      </c>
      <c r="BD139" s="616">
        <f>(U139+V139+W139+AB139)*0.16</f>
        <v>0</v>
      </c>
      <c r="BE139" s="616">
        <f>(U139+V139+W139+AB139)*0.08</f>
        <v>0</v>
      </c>
      <c r="BF139" s="616">
        <f>(U139+V139+W139+AB139)*0.06</f>
        <v>0</v>
      </c>
      <c r="BG139" s="616">
        <f>(U139+V139+W139+AB139)*0.002</f>
        <v>0</v>
      </c>
      <c r="BH139" s="616">
        <f>(U139+V139+W139+AB139)*0.006</f>
        <v>0</v>
      </c>
      <c r="BI139" s="616">
        <f>(U139+V139+W139+AB139)*0.12</f>
        <v>0</v>
      </c>
      <c r="BJ139" s="616"/>
      <c r="BK139" s="615">
        <f>SUM(BL139:BR139)</f>
        <v>0</v>
      </c>
      <c r="BL139" s="616">
        <f>(AI139+AJ139+AK139+AP139)*0.16</f>
        <v>0</v>
      </c>
      <c r="BM139" s="616">
        <f>(AI139+AJ139+AK139+AP139)*0.08</f>
        <v>0</v>
      </c>
      <c r="BN139" s="616">
        <f>(AI139+AJ139+AK139+AP139)*0.06</f>
        <v>0</v>
      </c>
      <c r="BO139" s="616">
        <f>(AI139+AJ139+AK139+AP139)*0.002</f>
        <v>0</v>
      </c>
      <c r="BP139" s="616">
        <f>(AI139+AJ139+AK139+AP139)*0.006</f>
        <v>0</v>
      </c>
      <c r="BQ139" s="616">
        <f>(AI139+AJ139+AK139+AP139)*0.12</f>
        <v>0</v>
      </c>
      <c r="BR139" s="616">
        <f>BB139+BJ139</f>
        <v>0</v>
      </c>
      <c r="BS139" s="304"/>
    </row>
    <row r="140" s="132" customFormat="1" ht="24" spans="1:71">
      <c r="A140" s="497" t="s">
        <v>202</v>
      </c>
      <c r="B140" s="497" t="s">
        <v>203</v>
      </c>
      <c r="C140" s="497" t="s">
        <v>389</v>
      </c>
      <c r="D140" s="497" t="s">
        <v>390</v>
      </c>
      <c r="E140" s="615">
        <f t="shared" si="97"/>
        <v>0</v>
      </c>
      <c r="F140" s="615">
        <f t="shared" si="98"/>
        <v>0</v>
      </c>
      <c r="G140" s="616"/>
      <c r="H140" s="616"/>
      <c r="I140" s="616"/>
      <c r="J140" s="616"/>
      <c r="K140" s="616"/>
      <c r="L140" s="616"/>
      <c r="M140" s="615">
        <f t="shared" si="99"/>
        <v>0</v>
      </c>
      <c r="N140" s="616"/>
      <c r="O140" s="616"/>
      <c r="P140" s="616"/>
      <c r="Q140" s="616"/>
      <c r="R140" s="616"/>
      <c r="S140" s="615">
        <f t="shared" ref="S140:S204" si="111">T140+AA140</f>
        <v>0</v>
      </c>
      <c r="T140" s="615">
        <f t="shared" ref="T140:T204" si="112">SUM(U140:Z140)</f>
        <v>0</v>
      </c>
      <c r="U140" s="616"/>
      <c r="V140" s="616"/>
      <c r="W140" s="616"/>
      <c r="X140" s="616"/>
      <c r="Y140" s="616"/>
      <c r="Z140" s="616"/>
      <c r="AA140" s="615">
        <f t="shared" ref="AA140:AA204" si="113">SUM(AB140:AF140)</f>
        <v>0</v>
      </c>
      <c r="AB140" s="616"/>
      <c r="AC140" s="616"/>
      <c r="AD140" s="616"/>
      <c r="AE140" s="616"/>
      <c r="AF140" s="616"/>
      <c r="AG140" s="615">
        <f t="shared" ref="AG140:AG204" si="114">AH140+AO140</f>
        <v>0</v>
      </c>
      <c r="AH140" s="615">
        <f t="shared" ref="AH140:AH204" si="115">SUM(AI140:AN140)</f>
        <v>0</v>
      </c>
      <c r="AI140" s="616">
        <f t="shared" ref="AI140:AI204" si="116">G140+U140</f>
        <v>0</v>
      </c>
      <c r="AJ140" s="616">
        <f t="shared" ref="AJ140:AJ204" si="117">H140+V140</f>
        <v>0</v>
      </c>
      <c r="AK140" s="616">
        <f t="shared" ref="AK140:AK204" si="118">I140+W140</f>
        <v>0</v>
      </c>
      <c r="AL140" s="616">
        <f t="shared" ref="AL140:AL204" si="119">J140+X140</f>
        <v>0</v>
      </c>
      <c r="AM140" s="616">
        <f t="shared" ref="AM140:AM204" si="120">K140+Y140</f>
        <v>0</v>
      </c>
      <c r="AN140" s="616">
        <f t="shared" ref="AN140:AN204" si="121">L140+Z140</f>
        <v>0</v>
      </c>
      <c r="AO140" s="615">
        <f t="shared" ref="AO140:AO204" si="122">SUM(AP140:AT140)</f>
        <v>0</v>
      </c>
      <c r="AP140" s="616">
        <f t="shared" ref="AP140:AP204" si="123">N140+AB140</f>
        <v>0</v>
      </c>
      <c r="AQ140" s="616">
        <f t="shared" ref="AQ140:AQ204" si="124">O140+AC140</f>
        <v>0</v>
      </c>
      <c r="AR140" s="616">
        <f t="shared" ref="AR140:AR204" si="125">P140+AD140</f>
        <v>0</v>
      </c>
      <c r="AS140" s="616">
        <f t="shared" ref="AS140:AS204" si="126">Q140+AE140</f>
        <v>0</v>
      </c>
      <c r="AT140" s="637">
        <f t="shared" ref="AT140:AT204" si="127">R140+AF140</f>
        <v>0</v>
      </c>
      <c r="AU140" s="638">
        <f t="shared" si="100"/>
        <v>0</v>
      </c>
      <c r="AV140" s="616">
        <f t="shared" si="101"/>
        <v>0</v>
      </c>
      <c r="AW140" s="616">
        <f t="shared" si="102"/>
        <v>0</v>
      </c>
      <c r="AX140" s="616">
        <f t="shared" si="103"/>
        <v>0</v>
      </c>
      <c r="AY140" s="616">
        <f t="shared" si="104"/>
        <v>0</v>
      </c>
      <c r="AZ140" s="616">
        <f t="shared" si="105"/>
        <v>0</v>
      </c>
      <c r="BA140" s="616">
        <f t="shared" si="106"/>
        <v>0</v>
      </c>
      <c r="BB140" s="616"/>
      <c r="BC140" s="615">
        <f t="shared" ref="BC140:BC204" si="128">SUM(BD140:BJ140)</f>
        <v>0</v>
      </c>
      <c r="BD140" s="616">
        <f t="shared" ref="BD140:BD204" si="129">(U140+V140+W140+AB140)*0.16</f>
        <v>0</v>
      </c>
      <c r="BE140" s="616">
        <f t="shared" ref="BE140:BE204" si="130">(U140+V140+W140+AB140)*0.08</f>
        <v>0</v>
      </c>
      <c r="BF140" s="616">
        <f t="shared" ref="BF140:BF204" si="131">(U140+V140+W140+AB140)*0.06</f>
        <v>0</v>
      </c>
      <c r="BG140" s="616">
        <f t="shared" ref="BG140:BG204" si="132">(U140+V140+W140+AB140)*0.002</f>
        <v>0</v>
      </c>
      <c r="BH140" s="616">
        <f t="shared" ref="BH140:BH204" si="133">(U140+V140+W140+AB140)*0.006</f>
        <v>0</v>
      </c>
      <c r="BI140" s="616">
        <f t="shared" ref="BI140:BI204" si="134">(U140+V140+W140+AB140)*0.12</f>
        <v>0</v>
      </c>
      <c r="BJ140" s="616"/>
      <c r="BK140" s="615">
        <f t="shared" ref="BK140:BK204" si="135">SUM(BL140:BR140)</f>
        <v>0</v>
      </c>
      <c r="BL140" s="616">
        <f t="shared" ref="BL140:BL204" si="136">(AI140+AJ140+AK140+AP140)*0.16</f>
        <v>0</v>
      </c>
      <c r="BM140" s="616">
        <f t="shared" ref="BM140:BM204" si="137">(AI140+AJ140+AK140+AP140)*0.08</f>
        <v>0</v>
      </c>
      <c r="BN140" s="616">
        <f t="shared" ref="BN140:BN204" si="138">(AI140+AJ140+AK140+AP140)*0.06</f>
        <v>0</v>
      </c>
      <c r="BO140" s="616">
        <f t="shared" ref="BO140:BO204" si="139">(AI140+AJ140+AK140+AP140)*0.002</f>
        <v>0</v>
      </c>
      <c r="BP140" s="616">
        <f t="shared" ref="BP140:BP204" si="140">(AI140+AJ140+AK140+AP140)*0.006</f>
        <v>0</v>
      </c>
      <c r="BQ140" s="616">
        <f t="shared" ref="BQ140:BQ204" si="141">(AI140+AJ140+AK140+AP140)*0.12</f>
        <v>0</v>
      </c>
      <c r="BR140" s="616">
        <f t="shared" ref="BR140:BR204" si="142">BB140+BJ140</f>
        <v>0</v>
      </c>
      <c r="BS140" s="304"/>
    </row>
    <row r="141" s="132" customFormat="1" ht="24" spans="1:71">
      <c r="A141" s="497" t="s">
        <v>202</v>
      </c>
      <c r="B141" s="497" t="s">
        <v>391</v>
      </c>
      <c r="C141" s="497" t="s">
        <v>392</v>
      </c>
      <c r="D141" s="497" t="s">
        <v>393</v>
      </c>
      <c r="E141" s="615">
        <f t="shared" si="97"/>
        <v>10</v>
      </c>
      <c r="F141" s="615">
        <f t="shared" si="98"/>
        <v>0</v>
      </c>
      <c r="G141" s="616"/>
      <c r="H141" s="616"/>
      <c r="I141" s="616"/>
      <c r="J141" s="616"/>
      <c r="K141" s="616"/>
      <c r="L141" s="616"/>
      <c r="M141" s="615">
        <f t="shared" si="99"/>
        <v>10</v>
      </c>
      <c r="N141" s="616"/>
      <c r="O141" s="616"/>
      <c r="P141" s="616">
        <v>10</v>
      </c>
      <c r="Q141" s="616"/>
      <c r="R141" s="616"/>
      <c r="S141" s="615">
        <f t="shared" si="111"/>
        <v>0</v>
      </c>
      <c r="T141" s="615">
        <f t="shared" si="112"/>
        <v>0</v>
      </c>
      <c r="U141" s="616"/>
      <c r="V141" s="616"/>
      <c r="W141" s="616"/>
      <c r="X141" s="616"/>
      <c r="Y141" s="616"/>
      <c r="Z141" s="616"/>
      <c r="AA141" s="615">
        <f t="shared" si="113"/>
        <v>0</v>
      </c>
      <c r="AB141" s="616"/>
      <c r="AC141" s="616"/>
      <c r="AD141" s="616"/>
      <c r="AE141" s="616"/>
      <c r="AF141" s="616"/>
      <c r="AG141" s="615">
        <f t="shared" si="114"/>
        <v>10</v>
      </c>
      <c r="AH141" s="615">
        <f t="shared" si="115"/>
        <v>0</v>
      </c>
      <c r="AI141" s="616">
        <f t="shared" si="116"/>
        <v>0</v>
      </c>
      <c r="AJ141" s="616">
        <f t="shared" si="117"/>
        <v>0</v>
      </c>
      <c r="AK141" s="616">
        <f t="shared" si="118"/>
        <v>0</v>
      </c>
      <c r="AL141" s="616">
        <f t="shared" si="119"/>
        <v>0</v>
      </c>
      <c r="AM141" s="616">
        <f t="shared" si="120"/>
        <v>0</v>
      </c>
      <c r="AN141" s="616">
        <f t="shared" si="121"/>
        <v>0</v>
      </c>
      <c r="AO141" s="615">
        <f t="shared" si="122"/>
        <v>10</v>
      </c>
      <c r="AP141" s="616">
        <f t="shared" si="123"/>
        <v>0</v>
      </c>
      <c r="AQ141" s="616">
        <f t="shared" si="124"/>
        <v>0</v>
      </c>
      <c r="AR141" s="616">
        <f t="shared" si="125"/>
        <v>10</v>
      </c>
      <c r="AS141" s="616">
        <f t="shared" si="126"/>
        <v>0</v>
      </c>
      <c r="AT141" s="637">
        <f t="shared" si="127"/>
        <v>0</v>
      </c>
      <c r="AU141" s="638">
        <f t="shared" si="100"/>
        <v>0</v>
      </c>
      <c r="AV141" s="616">
        <f t="shared" si="101"/>
        <v>0</v>
      </c>
      <c r="AW141" s="616">
        <f t="shared" si="102"/>
        <v>0</v>
      </c>
      <c r="AX141" s="616">
        <f t="shared" si="103"/>
        <v>0</v>
      </c>
      <c r="AY141" s="616">
        <f t="shared" si="104"/>
        <v>0</v>
      </c>
      <c r="AZ141" s="616">
        <f t="shared" si="105"/>
        <v>0</v>
      </c>
      <c r="BA141" s="616">
        <f t="shared" si="106"/>
        <v>0</v>
      </c>
      <c r="BB141" s="616"/>
      <c r="BC141" s="615">
        <f t="shared" si="128"/>
        <v>0</v>
      </c>
      <c r="BD141" s="616">
        <f t="shared" si="129"/>
        <v>0</v>
      </c>
      <c r="BE141" s="616">
        <f t="shared" si="130"/>
        <v>0</v>
      </c>
      <c r="BF141" s="616">
        <f t="shared" si="131"/>
        <v>0</v>
      </c>
      <c r="BG141" s="616">
        <f t="shared" si="132"/>
        <v>0</v>
      </c>
      <c r="BH141" s="616">
        <f t="shared" si="133"/>
        <v>0</v>
      </c>
      <c r="BI141" s="616">
        <f t="shared" si="134"/>
        <v>0</v>
      </c>
      <c r="BJ141" s="616"/>
      <c r="BK141" s="615">
        <f t="shared" si="135"/>
        <v>0</v>
      </c>
      <c r="BL141" s="616">
        <f t="shared" si="136"/>
        <v>0</v>
      </c>
      <c r="BM141" s="616">
        <f t="shared" si="137"/>
        <v>0</v>
      </c>
      <c r="BN141" s="616">
        <f t="shared" si="138"/>
        <v>0</v>
      </c>
      <c r="BO141" s="616">
        <f t="shared" si="139"/>
        <v>0</v>
      </c>
      <c r="BP141" s="616">
        <f t="shared" si="140"/>
        <v>0</v>
      </c>
      <c r="BQ141" s="616">
        <f t="shared" si="141"/>
        <v>0</v>
      </c>
      <c r="BR141" s="616">
        <f t="shared" si="142"/>
        <v>0</v>
      </c>
      <c r="BS141" s="304"/>
    </row>
    <row r="142" s="132" customFormat="1" ht="24" spans="1:71">
      <c r="A142" s="497" t="s">
        <v>202</v>
      </c>
      <c r="B142" s="497" t="s">
        <v>206</v>
      </c>
      <c r="C142" s="497" t="s">
        <v>394</v>
      </c>
      <c r="D142" s="497" t="s">
        <v>393</v>
      </c>
      <c r="E142" s="615">
        <f t="shared" si="97"/>
        <v>38.4</v>
      </c>
      <c r="F142" s="615">
        <f t="shared" si="98"/>
        <v>31.42</v>
      </c>
      <c r="G142" s="616">
        <v>16.44</v>
      </c>
      <c r="H142" s="616"/>
      <c r="I142" s="616">
        <v>5.8</v>
      </c>
      <c r="J142" s="616"/>
      <c r="K142" s="616"/>
      <c r="L142" s="616">
        <v>9.18</v>
      </c>
      <c r="M142" s="615">
        <f t="shared" si="99"/>
        <v>6.98</v>
      </c>
      <c r="N142" s="616">
        <v>3.48</v>
      </c>
      <c r="O142" s="616"/>
      <c r="P142" s="616"/>
      <c r="Q142" s="616"/>
      <c r="R142" s="616">
        <v>3.5</v>
      </c>
      <c r="S142" s="615">
        <f t="shared" si="111"/>
        <v>2.89</v>
      </c>
      <c r="T142" s="615">
        <f t="shared" si="112"/>
        <v>3.52</v>
      </c>
      <c r="U142" s="616">
        <v>2.58</v>
      </c>
      <c r="V142" s="616"/>
      <c r="W142" s="616">
        <v>0.92</v>
      </c>
      <c r="X142" s="616"/>
      <c r="Y142" s="616"/>
      <c r="Z142" s="616">
        <v>0.02</v>
      </c>
      <c r="AA142" s="615">
        <f t="shared" si="113"/>
        <v>-0.63</v>
      </c>
      <c r="AB142" s="616">
        <v>0.55</v>
      </c>
      <c r="AC142" s="616"/>
      <c r="AD142" s="616"/>
      <c r="AE142" s="616">
        <v>0.3</v>
      </c>
      <c r="AF142" s="616">
        <v>-1.48</v>
      </c>
      <c r="AG142" s="615">
        <f t="shared" si="114"/>
        <v>41.29</v>
      </c>
      <c r="AH142" s="615">
        <f t="shared" si="115"/>
        <v>34.94</v>
      </c>
      <c r="AI142" s="616">
        <f t="shared" si="116"/>
        <v>19.02</v>
      </c>
      <c r="AJ142" s="616">
        <f t="shared" si="117"/>
        <v>0</v>
      </c>
      <c r="AK142" s="616">
        <f t="shared" si="118"/>
        <v>6.72</v>
      </c>
      <c r="AL142" s="616">
        <f t="shared" si="119"/>
        <v>0</v>
      </c>
      <c r="AM142" s="616">
        <f t="shared" si="120"/>
        <v>0</v>
      </c>
      <c r="AN142" s="616">
        <f t="shared" si="121"/>
        <v>9.2</v>
      </c>
      <c r="AO142" s="615">
        <f t="shared" si="122"/>
        <v>6.35</v>
      </c>
      <c r="AP142" s="616">
        <f t="shared" si="123"/>
        <v>4.03</v>
      </c>
      <c r="AQ142" s="616">
        <f t="shared" si="124"/>
        <v>0</v>
      </c>
      <c r="AR142" s="616">
        <f t="shared" si="125"/>
        <v>0</v>
      </c>
      <c r="AS142" s="616">
        <f t="shared" si="126"/>
        <v>0.3</v>
      </c>
      <c r="AT142" s="637">
        <f t="shared" si="127"/>
        <v>2.02</v>
      </c>
      <c r="AU142" s="638">
        <f t="shared" si="100"/>
        <v>11.00816</v>
      </c>
      <c r="AV142" s="616">
        <f t="shared" si="101"/>
        <v>4.1152</v>
      </c>
      <c r="AW142" s="616">
        <f t="shared" si="102"/>
        <v>2.0576</v>
      </c>
      <c r="AX142" s="616">
        <f t="shared" si="103"/>
        <v>1.5432</v>
      </c>
      <c r="AY142" s="616">
        <f t="shared" si="104"/>
        <v>0.05144</v>
      </c>
      <c r="AZ142" s="616">
        <f t="shared" si="105"/>
        <v>0.15432</v>
      </c>
      <c r="BA142" s="616">
        <f t="shared" si="106"/>
        <v>3.0864</v>
      </c>
      <c r="BB142" s="616"/>
      <c r="BC142" s="615">
        <f t="shared" si="128"/>
        <v>1.7334</v>
      </c>
      <c r="BD142" s="616">
        <f t="shared" si="129"/>
        <v>0.648</v>
      </c>
      <c r="BE142" s="616">
        <f t="shared" si="130"/>
        <v>0.324</v>
      </c>
      <c r="BF142" s="616">
        <f t="shared" si="131"/>
        <v>0.243</v>
      </c>
      <c r="BG142" s="616">
        <f t="shared" si="132"/>
        <v>0.0081</v>
      </c>
      <c r="BH142" s="616">
        <f t="shared" si="133"/>
        <v>0.0243</v>
      </c>
      <c r="BI142" s="616">
        <f t="shared" si="134"/>
        <v>0.486</v>
      </c>
      <c r="BJ142" s="616"/>
      <c r="BK142" s="615">
        <f t="shared" si="135"/>
        <v>12.74156</v>
      </c>
      <c r="BL142" s="616">
        <f t="shared" si="136"/>
        <v>4.7632</v>
      </c>
      <c r="BM142" s="616">
        <f t="shared" si="137"/>
        <v>2.3816</v>
      </c>
      <c r="BN142" s="616">
        <f t="shared" si="138"/>
        <v>1.7862</v>
      </c>
      <c r="BO142" s="616">
        <f t="shared" si="139"/>
        <v>0.05954</v>
      </c>
      <c r="BP142" s="616">
        <f t="shared" si="140"/>
        <v>0.17862</v>
      </c>
      <c r="BQ142" s="616">
        <f t="shared" si="141"/>
        <v>3.5724</v>
      </c>
      <c r="BR142" s="616">
        <f t="shared" si="142"/>
        <v>0</v>
      </c>
      <c r="BS142" s="304"/>
    </row>
    <row r="143" s="132" customFormat="1" ht="24" spans="1:71">
      <c r="A143" s="497" t="s">
        <v>202</v>
      </c>
      <c r="B143" s="497" t="s">
        <v>206</v>
      </c>
      <c r="C143" s="497" t="s">
        <v>395</v>
      </c>
      <c r="D143" s="497" t="s">
        <v>393</v>
      </c>
      <c r="E143" s="615">
        <f t="shared" si="97"/>
        <v>14.5</v>
      </c>
      <c r="F143" s="615">
        <f t="shared" si="98"/>
        <v>12.25</v>
      </c>
      <c r="G143" s="616">
        <v>8.5</v>
      </c>
      <c r="H143" s="616"/>
      <c r="I143" s="616">
        <v>3.75</v>
      </c>
      <c r="J143" s="616"/>
      <c r="K143" s="616"/>
      <c r="L143" s="616"/>
      <c r="M143" s="615">
        <f t="shared" si="99"/>
        <v>2.25</v>
      </c>
      <c r="N143" s="616">
        <v>2.25</v>
      </c>
      <c r="O143" s="616"/>
      <c r="P143" s="616"/>
      <c r="Q143" s="616"/>
      <c r="R143" s="616"/>
      <c r="S143" s="615">
        <f t="shared" si="111"/>
        <v>0.9</v>
      </c>
      <c r="T143" s="615">
        <f t="shared" si="112"/>
        <v>0.74</v>
      </c>
      <c r="U143" s="616">
        <v>0.34</v>
      </c>
      <c r="V143" s="616"/>
      <c r="W143" s="616">
        <v>0.27</v>
      </c>
      <c r="X143" s="616"/>
      <c r="Y143" s="616"/>
      <c r="Z143" s="616">
        <v>0.13</v>
      </c>
      <c r="AA143" s="615">
        <f t="shared" si="113"/>
        <v>0.16</v>
      </c>
      <c r="AB143" s="616">
        <v>0.16</v>
      </c>
      <c r="AC143" s="616"/>
      <c r="AD143" s="616"/>
      <c r="AE143" s="616"/>
      <c r="AF143" s="616"/>
      <c r="AG143" s="615">
        <f t="shared" si="114"/>
        <v>15.4</v>
      </c>
      <c r="AH143" s="615">
        <f t="shared" si="115"/>
        <v>12.99</v>
      </c>
      <c r="AI143" s="616">
        <f t="shared" si="116"/>
        <v>8.84</v>
      </c>
      <c r="AJ143" s="616">
        <f t="shared" si="117"/>
        <v>0</v>
      </c>
      <c r="AK143" s="616">
        <f t="shared" si="118"/>
        <v>4.02</v>
      </c>
      <c r="AL143" s="616">
        <f t="shared" si="119"/>
        <v>0</v>
      </c>
      <c r="AM143" s="616">
        <f t="shared" si="120"/>
        <v>0</v>
      </c>
      <c r="AN143" s="616">
        <f t="shared" si="121"/>
        <v>0.13</v>
      </c>
      <c r="AO143" s="615">
        <f t="shared" si="122"/>
        <v>2.41</v>
      </c>
      <c r="AP143" s="616">
        <f t="shared" si="123"/>
        <v>2.41</v>
      </c>
      <c r="AQ143" s="616">
        <f t="shared" si="124"/>
        <v>0</v>
      </c>
      <c r="AR143" s="616">
        <f t="shared" si="125"/>
        <v>0</v>
      </c>
      <c r="AS143" s="616">
        <f t="shared" si="126"/>
        <v>0</v>
      </c>
      <c r="AT143" s="637">
        <f t="shared" si="127"/>
        <v>0</v>
      </c>
      <c r="AU143" s="638">
        <f t="shared" si="100"/>
        <v>6.206</v>
      </c>
      <c r="AV143" s="616">
        <f t="shared" si="101"/>
        <v>2.32</v>
      </c>
      <c r="AW143" s="616">
        <f t="shared" si="102"/>
        <v>1.16</v>
      </c>
      <c r="AX143" s="616">
        <f t="shared" si="103"/>
        <v>0.87</v>
      </c>
      <c r="AY143" s="616">
        <f t="shared" si="104"/>
        <v>0.029</v>
      </c>
      <c r="AZ143" s="616">
        <f t="shared" si="105"/>
        <v>0.087</v>
      </c>
      <c r="BA143" s="616">
        <f t="shared" si="106"/>
        <v>1.74</v>
      </c>
      <c r="BB143" s="616"/>
      <c r="BC143" s="615">
        <f t="shared" si="128"/>
        <v>0.32956</v>
      </c>
      <c r="BD143" s="616">
        <f t="shared" si="129"/>
        <v>0.1232</v>
      </c>
      <c r="BE143" s="616">
        <f t="shared" si="130"/>
        <v>0.0616</v>
      </c>
      <c r="BF143" s="616">
        <f t="shared" si="131"/>
        <v>0.0462</v>
      </c>
      <c r="BG143" s="616">
        <f t="shared" si="132"/>
        <v>0.00154</v>
      </c>
      <c r="BH143" s="616">
        <f t="shared" si="133"/>
        <v>0.00462</v>
      </c>
      <c r="BI143" s="616">
        <f t="shared" si="134"/>
        <v>0.0924</v>
      </c>
      <c r="BJ143" s="616"/>
      <c r="BK143" s="615">
        <f t="shared" si="135"/>
        <v>6.53556</v>
      </c>
      <c r="BL143" s="616">
        <f t="shared" si="136"/>
        <v>2.4432</v>
      </c>
      <c r="BM143" s="616">
        <f t="shared" si="137"/>
        <v>1.2216</v>
      </c>
      <c r="BN143" s="616">
        <f t="shared" si="138"/>
        <v>0.9162</v>
      </c>
      <c r="BO143" s="616">
        <f t="shared" si="139"/>
        <v>0.03054</v>
      </c>
      <c r="BP143" s="616">
        <f t="shared" si="140"/>
        <v>0.09162</v>
      </c>
      <c r="BQ143" s="616">
        <f t="shared" si="141"/>
        <v>1.8324</v>
      </c>
      <c r="BR143" s="616">
        <f t="shared" si="142"/>
        <v>0</v>
      </c>
      <c r="BS143" s="304"/>
    </row>
    <row r="144" s="132" customFormat="1" ht="36" spans="1:71">
      <c r="A144" s="497" t="s">
        <v>202</v>
      </c>
      <c r="B144" s="497" t="s">
        <v>203</v>
      </c>
      <c r="C144" s="497" t="s">
        <v>396</v>
      </c>
      <c r="D144" s="497" t="s">
        <v>397</v>
      </c>
      <c r="E144" s="615">
        <f t="shared" si="97"/>
        <v>0</v>
      </c>
      <c r="F144" s="615">
        <f t="shared" si="98"/>
        <v>0</v>
      </c>
      <c r="G144" s="616"/>
      <c r="H144" s="616"/>
      <c r="I144" s="616"/>
      <c r="J144" s="616"/>
      <c r="K144" s="616"/>
      <c r="L144" s="616"/>
      <c r="M144" s="615">
        <f t="shared" si="99"/>
        <v>0</v>
      </c>
      <c r="N144" s="616"/>
      <c r="O144" s="616"/>
      <c r="P144" s="616"/>
      <c r="Q144" s="616"/>
      <c r="R144" s="616"/>
      <c r="S144" s="615">
        <f t="shared" si="111"/>
        <v>0</v>
      </c>
      <c r="T144" s="615">
        <f t="shared" si="112"/>
        <v>0</v>
      </c>
      <c r="U144" s="616"/>
      <c r="V144" s="616"/>
      <c r="W144" s="616"/>
      <c r="X144" s="616"/>
      <c r="Y144" s="616"/>
      <c r="Z144" s="616"/>
      <c r="AA144" s="615">
        <f t="shared" si="113"/>
        <v>0</v>
      </c>
      <c r="AB144" s="616"/>
      <c r="AC144" s="616"/>
      <c r="AD144" s="616"/>
      <c r="AE144" s="616"/>
      <c r="AF144" s="616"/>
      <c r="AG144" s="615">
        <f t="shared" si="114"/>
        <v>0</v>
      </c>
      <c r="AH144" s="615">
        <f t="shared" si="115"/>
        <v>0</v>
      </c>
      <c r="AI144" s="616">
        <f t="shared" si="116"/>
        <v>0</v>
      </c>
      <c r="AJ144" s="616">
        <f t="shared" si="117"/>
        <v>0</v>
      </c>
      <c r="AK144" s="616">
        <f t="shared" si="118"/>
        <v>0</v>
      </c>
      <c r="AL144" s="616">
        <f t="shared" si="119"/>
        <v>0</v>
      </c>
      <c r="AM144" s="616">
        <f t="shared" si="120"/>
        <v>0</v>
      </c>
      <c r="AN144" s="616">
        <f t="shared" si="121"/>
        <v>0</v>
      </c>
      <c r="AO144" s="615">
        <f t="shared" si="122"/>
        <v>0</v>
      </c>
      <c r="AP144" s="616">
        <f t="shared" si="123"/>
        <v>0</v>
      </c>
      <c r="AQ144" s="616">
        <f t="shared" si="124"/>
        <v>0</v>
      </c>
      <c r="AR144" s="616">
        <f t="shared" si="125"/>
        <v>0</v>
      </c>
      <c r="AS144" s="616">
        <f t="shared" si="126"/>
        <v>0</v>
      </c>
      <c r="AT144" s="637">
        <f t="shared" si="127"/>
        <v>0</v>
      </c>
      <c r="AU144" s="638">
        <f t="shared" si="100"/>
        <v>0</v>
      </c>
      <c r="AV144" s="616">
        <f t="shared" si="101"/>
        <v>0</v>
      </c>
      <c r="AW144" s="616">
        <f t="shared" si="102"/>
        <v>0</v>
      </c>
      <c r="AX144" s="616">
        <f t="shared" si="103"/>
        <v>0</v>
      </c>
      <c r="AY144" s="616">
        <f t="shared" si="104"/>
        <v>0</v>
      </c>
      <c r="AZ144" s="616">
        <f t="shared" si="105"/>
        <v>0</v>
      </c>
      <c r="BA144" s="616">
        <f t="shared" si="106"/>
        <v>0</v>
      </c>
      <c r="BB144" s="616"/>
      <c r="BC144" s="615">
        <f t="shared" si="128"/>
        <v>0</v>
      </c>
      <c r="BD144" s="616">
        <f t="shared" si="129"/>
        <v>0</v>
      </c>
      <c r="BE144" s="616">
        <f t="shared" si="130"/>
        <v>0</v>
      </c>
      <c r="BF144" s="616">
        <f t="shared" si="131"/>
        <v>0</v>
      </c>
      <c r="BG144" s="616">
        <f t="shared" si="132"/>
        <v>0</v>
      </c>
      <c r="BH144" s="616">
        <f t="shared" si="133"/>
        <v>0</v>
      </c>
      <c r="BI144" s="616">
        <f t="shared" si="134"/>
        <v>0</v>
      </c>
      <c r="BJ144" s="616"/>
      <c r="BK144" s="615">
        <f t="shared" si="135"/>
        <v>0</v>
      </c>
      <c r="BL144" s="616">
        <f t="shared" si="136"/>
        <v>0</v>
      </c>
      <c r="BM144" s="616">
        <f t="shared" si="137"/>
        <v>0</v>
      </c>
      <c r="BN144" s="616">
        <f t="shared" si="138"/>
        <v>0</v>
      </c>
      <c r="BO144" s="616">
        <f t="shared" si="139"/>
        <v>0</v>
      </c>
      <c r="BP144" s="616">
        <f t="shared" si="140"/>
        <v>0</v>
      </c>
      <c r="BQ144" s="616">
        <f t="shared" si="141"/>
        <v>0</v>
      </c>
      <c r="BR144" s="616">
        <f t="shared" si="142"/>
        <v>0</v>
      </c>
      <c r="BS144" s="304"/>
    </row>
    <row r="145" s="508" customFormat="1" ht="21" customHeight="1" spans="1:72">
      <c r="A145" s="647"/>
      <c r="B145" s="647"/>
      <c r="C145" s="647" t="s">
        <v>129</v>
      </c>
      <c r="D145" s="648">
        <v>205</v>
      </c>
      <c r="E145" s="612">
        <f t="shared" ref="E145:Z145" si="143">SUM(E146:E206)</f>
        <v>47398.8737</v>
      </c>
      <c r="F145" s="612">
        <f t="shared" si="143"/>
        <v>39823.948</v>
      </c>
      <c r="G145" s="612">
        <f t="shared" si="143"/>
        <v>20709.6528</v>
      </c>
      <c r="H145" s="612">
        <f t="shared" si="143"/>
        <v>57.4492</v>
      </c>
      <c r="I145" s="612">
        <f t="shared" si="143"/>
        <v>6159.526</v>
      </c>
      <c r="J145" s="612">
        <f t="shared" si="143"/>
        <v>570.47</v>
      </c>
      <c r="K145" s="612">
        <f t="shared" si="143"/>
        <v>0</v>
      </c>
      <c r="L145" s="612">
        <f t="shared" si="143"/>
        <v>12326.85</v>
      </c>
      <c r="M145" s="612">
        <f t="shared" si="143"/>
        <v>7574.9257</v>
      </c>
      <c r="N145" s="612">
        <f t="shared" si="143"/>
        <v>3696.0417</v>
      </c>
      <c r="O145" s="612">
        <f t="shared" si="143"/>
        <v>0</v>
      </c>
      <c r="P145" s="612">
        <f t="shared" si="143"/>
        <v>0</v>
      </c>
      <c r="Q145" s="612">
        <f t="shared" si="143"/>
        <v>2126.634</v>
      </c>
      <c r="R145" s="612">
        <f t="shared" si="143"/>
        <v>1752.25</v>
      </c>
      <c r="S145" s="612">
        <f t="shared" ref="S145:AF145" si="144">SUM(S146:S206)</f>
        <v>-7465.77</v>
      </c>
      <c r="T145" s="612">
        <f t="shared" si="144"/>
        <v>-6136.41</v>
      </c>
      <c r="U145" s="612">
        <f t="shared" si="144"/>
        <v>140.38</v>
      </c>
      <c r="V145" s="612">
        <f t="shared" si="144"/>
        <v>0</v>
      </c>
      <c r="W145" s="612">
        <f t="shared" si="144"/>
        <v>0.27</v>
      </c>
      <c r="X145" s="612">
        <f t="shared" si="144"/>
        <v>-24.67</v>
      </c>
      <c r="Y145" s="612">
        <f t="shared" si="144"/>
        <v>0</v>
      </c>
      <c r="Z145" s="612">
        <f t="shared" si="144"/>
        <v>-6252.39</v>
      </c>
      <c r="AA145" s="612">
        <f t="shared" si="144"/>
        <v>-1329.36</v>
      </c>
      <c r="AB145" s="612">
        <f t="shared" si="144"/>
        <v>32.41</v>
      </c>
      <c r="AC145" s="612">
        <f t="shared" si="144"/>
        <v>0</v>
      </c>
      <c r="AD145" s="612">
        <f t="shared" si="144"/>
        <v>0</v>
      </c>
      <c r="AE145" s="612">
        <f t="shared" si="144"/>
        <v>378.27</v>
      </c>
      <c r="AF145" s="612">
        <f t="shared" si="144"/>
        <v>-1740.04</v>
      </c>
      <c r="AG145" s="612">
        <f t="shared" ref="AG145:BB145" si="145">SUM(AG146:AG206)</f>
        <v>39933.1037</v>
      </c>
      <c r="AH145" s="612">
        <f t="shared" si="145"/>
        <v>33687.538</v>
      </c>
      <c r="AI145" s="612">
        <f t="shared" si="145"/>
        <v>20850.0328</v>
      </c>
      <c r="AJ145" s="612">
        <f t="shared" si="145"/>
        <v>57.4492</v>
      </c>
      <c r="AK145" s="612">
        <f t="shared" si="145"/>
        <v>6159.796</v>
      </c>
      <c r="AL145" s="612">
        <f t="shared" si="145"/>
        <v>545.8</v>
      </c>
      <c r="AM145" s="612">
        <f t="shared" si="145"/>
        <v>0</v>
      </c>
      <c r="AN145" s="612">
        <f t="shared" si="145"/>
        <v>6074.46</v>
      </c>
      <c r="AO145" s="612">
        <f t="shared" si="145"/>
        <v>6245.5657</v>
      </c>
      <c r="AP145" s="612">
        <f t="shared" si="145"/>
        <v>3728.4517</v>
      </c>
      <c r="AQ145" s="612">
        <f t="shared" si="145"/>
        <v>0</v>
      </c>
      <c r="AR145" s="612">
        <f t="shared" si="145"/>
        <v>0</v>
      </c>
      <c r="AS145" s="612">
        <f t="shared" si="145"/>
        <v>2504.904</v>
      </c>
      <c r="AT145" s="635">
        <f t="shared" si="145"/>
        <v>12.21</v>
      </c>
      <c r="AU145" s="636">
        <f t="shared" si="145"/>
        <v>13106.5026316</v>
      </c>
      <c r="AV145" s="612">
        <f t="shared" si="145"/>
        <v>4899.627152</v>
      </c>
      <c r="AW145" s="612">
        <f t="shared" si="145"/>
        <v>2449.813576</v>
      </c>
      <c r="AX145" s="612">
        <f t="shared" si="145"/>
        <v>1837.360182</v>
      </c>
      <c r="AY145" s="612">
        <f t="shared" si="145"/>
        <v>61.2453394</v>
      </c>
      <c r="AZ145" s="612">
        <f t="shared" si="145"/>
        <v>183.7360182</v>
      </c>
      <c r="BA145" s="612">
        <f t="shared" si="145"/>
        <v>3674.720364</v>
      </c>
      <c r="BB145" s="612">
        <f t="shared" si="145"/>
        <v>0</v>
      </c>
      <c r="BC145" s="612">
        <f t="shared" ref="BC145:BR145" si="146">SUM(BC146:BC206)</f>
        <v>74.06968</v>
      </c>
      <c r="BD145" s="612">
        <f t="shared" si="146"/>
        <v>27.6896</v>
      </c>
      <c r="BE145" s="612">
        <f t="shared" si="146"/>
        <v>13.8448</v>
      </c>
      <c r="BF145" s="612">
        <f t="shared" si="146"/>
        <v>10.3836</v>
      </c>
      <c r="BG145" s="612">
        <f t="shared" si="146"/>
        <v>0.34612</v>
      </c>
      <c r="BH145" s="612">
        <f t="shared" si="146"/>
        <v>1.03836</v>
      </c>
      <c r="BI145" s="612">
        <f t="shared" si="146"/>
        <v>20.7672</v>
      </c>
      <c r="BJ145" s="612">
        <f t="shared" si="146"/>
        <v>0</v>
      </c>
      <c r="BK145" s="612">
        <f t="shared" si="146"/>
        <v>13180.5723116</v>
      </c>
      <c r="BL145" s="612">
        <f t="shared" si="146"/>
        <v>4927.316752</v>
      </c>
      <c r="BM145" s="612">
        <f t="shared" si="146"/>
        <v>2463.658376</v>
      </c>
      <c r="BN145" s="612">
        <f t="shared" si="146"/>
        <v>1847.743782</v>
      </c>
      <c r="BO145" s="612">
        <f t="shared" si="146"/>
        <v>61.5914594</v>
      </c>
      <c r="BP145" s="612">
        <f t="shared" si="146"/>
        <v>184.7743782</v>
      </c>
      <c r="BQ145" s="612">
        <f t="shared" si="146"/>
        <v>3695.487564</v>
      </c>
      <c r="BR145" s="612">
        <f t="shared" si="146"/>
        <v>0</v>
      </c>
      <c r="BS145" s="334"/>
      <c r="BT145" s="653"/>
    </row>
    <row r="146" s="132" customFormat="1" ht="72" spans="1:71">
      <c r="A146" s="497" t="s">
        <v>202</v>
      </c>
      <c r="B146" s="497" t="s">
        <v>203</v>
      </c>
      <c r="C146" s="497" t="s">
        <v>398</v>
      </c>
      <c r="D146" s="497" t="s">
        <v>399</v>
      </c>
      <c r="E146" s="615">
        <f t="shared" ref="E146:E206" si="147">F146+M146</f>
        <v>16144.314</v>
      </c>
      <c r="F146" s="615">
        <f t="shared" ref="F146:F206" si="148">SUM(G146:L146)</f>
        <v>12290.6</v>
      </c>
      <c r="G146" s="649"/>
      <c r="H146" s="649"/>
      <c r="I146" s="649"/>
      <c r="J146" s="616"/>
      <c r="K146" s="616"/>
      <c r="L146" s="616">
        <v>12290.6</v>
      </c>
      <c r="M146" s="615">
        <f t="shared" ref="M146:M206" si="149">SUM(N146:R146)</f>
        <v>3853.714</v>
      </c>
      <c r="N146" s="616"/>
      <c r="O146" s="616"/>
      <c r="P146" s="616"/>
      <c r="Q146" s="649">
        <f>5963.89+149.574-4000</f>
        <v>2113.464</v>
      </c>
      <c r="R146" s="616">
        <v>1740.25</v>
      </c>
      <c r="S146" s="615">
        <f t="shared" si="111"/>
        <v>-7990.25</v>
      </c>
      <c r="T146" s="615">
        <f t="shared" si="112"/>
        <v>-6250</v>
      </c>
      <c r="U146" s="616"/>
      <c r="V146" s="616"/>
      <c r="W146" s="616"/>
      <c r="X146" s="616"/>
      <c r="Y146" s="616"/>
      <c r="Z146" s="618">
        <f>6800-12000-1050</f>
        <v>-6250</v>
      </c>
      <c r="AA146" s="617">
        <f t="shared" si="113"/>
        <v>-1740.25</v>
      </c>
      <c r="AB146" s="618"/>
      <c r="AC146" s="618"/>
      <c r="AD146" s="618"/>
      <c r="AE146" s="618"/>
      <c r="AF146" s="618">
        <v>-1740.25</v>
      </c>
      <c r="AG146" s="615">
        <f t="shared" si="114"/>
        <v>8154.064</v>
      </c>
      <c r="AH146" s="615">
        <f t="shared" si="115"/>
        <v>6040.6</v>
      </c>
      <c r="AI146" s="616">
        <f t="shared" si="116"/>
        <v>0</v>
      </c>
      <c r="AJ146" s="616">
        <f t="shared" si="117"/>
        <v>0</v>
      </c>
      <c r="AK146" s="616">
        <f t="shared" si="118"/>
        <v>0</v>
      </c>
      <c r="AL146" s="616">
        <f t="shared" si="119"/>
        <v>0</v>
      </c>
      <c r="AM146" s="616">
        <f t="shared" si="120"/>
        <v>0</v>
      </c>
      <c r="AN146" s="616">
        <f t="shared" si="121"/>
        <v>6040.6</v>
      </c>
      <c r="AO146" s="615">
        <f t="shared" si="122"/>
        <v>2113.464</v>
      </c>
      <c r="AP146" s="616">
        <f t="shared" si="123"/>
        <v>0</v>
      </c>
      <c r="AQ146" s="616">
        <f t="shared" si="124"/>
        <v>0</v>
      </c>
      <c r="AR146" s="616">
        <f t="shared" si="125"/>
        <v>0</v>
      </c>
      <c r="AS146" s="616">
        <f t="shared" si="126"/>
        <v>2113.464</v>
      </c>
      <c r="AT146" s="637">
        <f t="shared" si="127"/>
        <v>0</v>
      </c>
      <c r="AU146" s="638">
        <f t="shared" ref="AU146:AU206" si="150">SUM(AV146:BB146)</f>
        <v>0</v>
      </c>
      <c r="AV146" s="616">
        <f t="shared" ref="AV146:AV206" si="151">(G146+H146+I146+N146)*0.16</f>
        <v>0</v>
      </c>
      <c r="AW146" s="616">
        <f t="shared" ref="AW146:AW206" si="152">(G146+H146+I146+N146)*0.08</f>
        <v>0</v>
      </c>
      <c r="AX146" s="616">
        <f t="shared" ref="AX146:AX206" si="153">(G146+H146+I146+N146)*0.06</f>
        <v>0</v>
      </c>
      <c r="AY146" s="616">
        <f t="shared" ref="AY146:AY206" si="154">(G146+H146+I146+N146)*0.002</f>
        <v>0</v>
      </c>
      <c r="AZ146" s="616">
        <f t="shared" ref="AZ146:AZ206" si="155">(G146+H146+I146+N146)*0.006</f>
        <v>0</v>
      </c>
      <c r="BA146" s="616">
        <f t="shared" ref="BA146:BA206" si="156">(G146+H146+I146+N146)*0.12</f>
        <v>0</v>
      </c>
      <c r="BB146" s="616"/>
      <c r="BC146" s="615">
        <f t="shared" si="128"/>
        <v>0</v>
      </c>
      <c r="BD146" s="616">
        <f t="shared" si="129"/>
        <v>0</v>
      </c>
      <c r="BE146" s="616">
        <f t="shared" si="130"/>
        <v>0</v>
      </c>
      <c r="BF146" s="616">
        <f t="shared" si="131"/>
        <v>0</v>
      </c>
      <c r="BG146" s="616">
        <f t="shared" si="132"/>
        <v>0</v>
      </c>
      <c r="BH146" s="616">
        <f t="shared" si="133"/>
        <v>0</v>
      </c>
      <c r="BI146" s="616">
        <f t="shared" si="134"/>
        <v>0</v>
      </c>
      <c r="BJ146" s="616"/>
      <c r="BK146" s="615">
        <f t="shared" si="135"/>
        <v>0</v>
      </c>
      <c r="BL146" s="616">
        <f t="shared" si="136"/>
        <v>0</v>
      </c>
      <c r="BM146" s="616">
        <f t="shared" si="137"/>
        <v>0</v>
      </c>
      <c r="BN146" s="616">
        <f t="shared" si="138"/>
        <v>0</v>
      </c>
      <c r="BO146" s="616">
        <f t="shared" si="139"/>
        <v>0</v>
      </c>
      <c r="BP146" s="616">
        <f t="shared" si="140"/>
        <v>0</v>
      </c>
      <c r="BQ146" s="616">
        <f t="shared" si="141"/>
        <v>0</v>
      </c>
      <c r="BR146" s="616">
        <f t="shared" si="142"/>
        <v>0</v>
      </c>
      <c r="BS146" s="654" t="s">
        <v>657</v>
      </c>
    </row>
    <row r="147" s="132" customFormat="1" ht="31" customHeight="1" spans="1:71">
      <c r="A147" s="497" t="s">
        <v>202</v>
      </c>
      <c r="B147" s="497" t="s">
        <v>400</v>
      </c>
      <c r="C147" s="497" t="s">
        <v>401</v>
      </c>
      <c r="D147" s="497" t="s">
        <v>402</v>
      </c>
      <c r="E147" s="615">
        <f t="shared" si="147"/>
        <v>2231.24</v>
      </c>
      <c r="F147" s="615">
        <f t="shared" si="148"/>
        <v>1968.29</v>
      </c>
      <c r="G147" s="616">
        <v>1527.24</v>
      </c>
      <c r="H147" s="616">
        <v>2.8</v>
      </c>
      <c r="I147" s="616">
        <v>438.25</v>
      </c>
      <c r="J147" s="616"/>
      <c r="K147" s="616"/>
      <c r="L147" s="616"/>
      <c r="M147" s="615">
        <f t="shared" si="149"/>
        <v>262.95</v>
      </c>
      <c r="N147" s="616">
        <v>262.95</v>
      </c>
      <c r="O147" s="616"/>
      <c r="P147" s="616"/>
      <c r="Q147" s="616"/>
      <c r="R147" s="616"/>
      <c r="S147" s="615">
        <f t="shared" si="111"/>
        <v>-13.93</v>
      </c>
      <c r="T147" s="615">
        <f t="shared" si="112"/>
        <v>-19.93</v>
      </c>
      <c r="U147" s="616">
        <v>-19.93</v>
      </c>
      <c r="V147" s="616"/>
      <c r="W147" s="616"/>
      <c r="X147" s="616"/>
      <c r="Y147" s="616"/>
      <c r="Z147" s="616"/>
      <c r="AA147" s="615">
        <f t="shared" si="113"/>
        <v>6</v>
      </c>
      <c r="AB147" s="616">
        <v>-6.01</v>
      </c>
      <c r="AC147" s="616"/>
      <c r="AD147" s="616"/>
      <c r="AE147" s="616">
        <v>12.01</v>
      </c>
      <c r="AF147" s="616"/>
      <c r="AG147" s="615">
        <f t="shared" si="114"/>
        <v>2217.31</v>
      </c>
      <c r="AH147" s="615">
        <f t="shared" si="115"/>
        <v>1948.36</v>
      </c>
      <c r="AI147" s="616">
        <f t="shared" si="116"/>
        <v>1507.31</v>
      </c>
      <c r="AJ147" s="616">
        <f t="shared" si="117"/>
        <v>2.8</v>
      </c>
      <c r="AK147" s="616">
        <f t="shared" si="118"/>
        <v>438.25</v>
      </c>
      <c r="AL147" s="616">
        <f t="shared" si="119"/>
        <v>0</v>
      </c>
      <c r="AM147" s="616">
        <f t="shared" si="120"/>
        <v>0</v>
      </c>
      <c r="AN147" s="616">
        <f t="shared" si="121"/>
        <v>0</v>
      </c>
      <c r="AO147" s="615">
        <f t="shared" si="122"/>
        <v>268.95</v>
      </c>
      <c r="AP147" s="616">
        <f t="shared" si="123"/>
        <v>256.94</v>
      </c>
      <c r="AQ147" s="616">
        <f t="shared" si="124"/>
        <v>0</v>
      </c>
      <c r="AR147" s="616">
        <f t="shared" si="125"/>
        <v>0</v>
      </c>
      <c r="AS147" s="616">
        <f t="shared" si="126"/>
        <v>12.01</v>
      </c>
      <c r="AT147" s="637">
        <f t="shared" si="127"/>
        <v>0</v>
      </c>
      <c r="AU147" s="638">
        <f t="shared" si="150"/>
        <v>954.97072</v>
      </c>
      <c r="AV147" s="616">
        <f t="shared" si="151"/>
        <v>356.9984</v>
      </c>
      <c r="AW147" s="616">
        <f t="shared" si="152"/>
        <v>178.4992</v>
      </c>
      <c r="AX147" s="616">
        <f t="shared" si="153"/>
        <v>133.8744</v>
      </c>
      <c r="AY147" s="616">
        <f t="shared" si="154"/>
        <v>4.46248</v>
      </c>
      <c r="AZ147" s="616">
        <f t="shared" si="155"/>
        <v>13.38744</v>
      </c>
      <c r="BA147" s="616">
        <f t="shared" si="156"/>
        <v>267.7488</v>
      </c>
      <c r="BB147" s="616"/>
      <c r="BC147" s="615">
        <f t="shared" si="128"/>
        <v>-11.10232</v>
      </c>
      <c r="BD147" s="616">
        <f t="shared" si="129"/>
        <v>-4.1504</v>
      </c>
      <c r="BE147" s="616">
        <f t="shared" si="130"/>
        <v>-2.0752</v>
      </c>
      <c r="BF147" s="616">
        <f t="shared" si="131"/>
        <v>-1.5564</v>
      </c>
      <c r="BG147" s="616">
        <f t="shared" si="132"/>
        <v>-0.05188</v>
      </c>
      <c r="BH147" s="616">
        <f t="shared" si="133"/>
        <v>-0.15564</v>
      </c>
      <c r="BI147" s="616">
        <f t="shared" si="134"/>
        <v>-3.1128</v>
      </c>
      <c r="BJ147" s="616"/>
      <c r="BK147" s="615">
        <f t="shared" si="135"/>
        <v>943.8684</v>
      </c>
      <c r="BL147" s="616">
        <f t="shared" si="136"/>
        <v>352.848</v>
      </c>
      <c r="BM147" s="616">
        <f t="shared" si="137"/>
        <v>176.424</v>
      </c>
      <c r="BN147" s="616">
        <f t="shared" si="138"/>
        <v>132.318</v>
      </c>
      <c r="BO147" s="616">
        <f t="shared" si="139"/>
        <v>4.4106</v>
      </c>
      <c r="BP147" s="616">
        <f t="shared" si="140"/>
        <v>13.2318</v>
      </c>
      <c r="BQ147" s="616">
        <f t="shared" si="141"/>
        <v>264.636</v>
      </c>
      <c r="BR147" s="616">
        <f t="shared" si="142"/>
        <v>0</v>
      </c>
      <c r="BS147" s="304" t="s">
        <v>658</v>
      </c>
    </row>
    <row r="148" s="132" customFormat="1" ht="24" spans="1:71">
      <c r="A148" s="497" t="s">
        <v>202</v>
      </c>
      <c r="B148" s="497" t="s">
        <v>400</v>
      </c>
      <c r="C148" s="497" t="s">
        <v>403</v>
      </c>
      <c r="D148" s="497" t="s">
        <v>402</v>
      </c>
      <c r="E148" s="615">
        <f t="shared" si="147"/>
        <v>1615.18</v>
      </c>
      <c r="F148" s="615">
        <f t="shared" si="148"/>
        <v>1424.78</v>
      </c>
      <c r="G148" s="616">
        <v>1105.56</v>
      </c>
      <c r="H148" s="616">
        <v>1.89</v>
      </c>
      <c r="I148" s="616">
        <v>317.33</v>
      </c>
      <c r="J148" s="616"/>
      <c r="K148" s="616"/>
      <c r="L148" s="616"/>
      <c r="M148" s="615">
        <f t="shared" si="149"/>
        <v>190.4</v>
      </c>
      <c r="N148" s="616">
        <v>190.4</v>
      </c>
      <c r="O148" s="616"/>
      <c r="P148" s="616"/>
      <c r="Q148" s="616"/>
      <c r="R148" s="616"/>
      <c r="S148" s="615">
        <f t="shared" si="111"/>
        <v>-10.94</v>
      </c>
      <c r="T148" s="615">
        <f t="shared" si="112"/>
        <v>-18.28</v>
      </c>
      <c r="U148" s="616">
        <v>-18.28</v>
      </c>
      <c r="V148" s="616"/>
      <c r="W148" s="616"/>
      <c r="X148" s="616"/>
      <c r="Y148" s="616"/>
      <c r="Z148" s="616"/>
      <c r="AA148" s="615">
        <f t="shared" si="113"/>
        <v>7.34</v>
      </c>
      <c r="AB148" s="616">
        <v>-3.65</v>
      </c>
      <c r="AC148" s="616"/>
      <c r="AD148" s="616"/>
      <c r="AE148" s="616">
        <v>10.99</v>
      </c>
      <c r="AF148" s="616"/>
      <c r="AG148" s="615">
        <f t="shared" si="114"/>
        <v>1604.24</v>
      </c>
      <c r="AH148" s="615">
        <f t="shared" si="115"/>
        <v>1406.5</v>
      </c>
      <c r="AI148" s="616">
        <f t="shared" si="116"/>
        <v>1087.28</v>
      </c>
      <c r="AJ148" s="616">
        <f t="shared" si="117"/>
        <v>1.89</v>
      </c>
      <c r="AK148" s="616">
        <f t="shared" si="118"/>
        <v>317.33</v>
      </c>
      <c r="AL148" s="616">
        <f t="shared" si="119"/>
        <v>0</v>
      </c>
      <c r="AM148" s="616">
        <f t="shared" si="120"/>
        <v>0</v>
      </c>
      <c r="AN148" s="616">
        <f t="shared" si="121"/>
        <v>0</v>
      </c>
      <c r="AO148" s="615">
        <f t="shared" si="122"/>
        <v>197.74</v>
      </c>
      <c r="AP148" s="616">
        <f t="shared" si="123"/>
        <v>186.75</v>
      </c>
      <c r="AQ148" s="616">
        <f t="shared" si="124"/>
        <v>0</v>
      </c>
      <c r="AR148" s="616">
        <f t="shared" si="125"/>
        <v>0</v>
      </c>
      <c r="AS148" s="616">
        <f t="shared" si="126"/>
        <v>10.99</v>
      </c>
      <c r="AT148" s="637">
        <f t="shared" si="127"/>
        <v>0</v>
      </c>
      <c r="AU148" s="638">
        <f t="shared" si="150"/>
        <v>691.29704</v>
      </c>
      <c r="AV148" s="616">
        <f t="shared" si="151"/>
        <v>258.4288</v>
      </c>
      <c r="AW148" s="616">
        <f t="shared" si="152"/>
        <v>129.2144</v>
      </c>
      <c r="AX148" s="616">
        <f t="shared" si="153"/>
        <v>96.9108</v>
      </c>
      <c r="AY148" s="616">
        <f t="shared" si="154"/>
        <v>3.23036</v>
      </c>
      <c r="AZ148" s="616">
        <f t="shared" si="155"/>
        <v>9.69108</v>
      </c>
      <c r="BA148" s="616">
        <f t="shared" si="156"/>
        <v>193.8216</v>
      </c>
      <c r="BB148" s="616"/>
      <c r="BC148" s="615">
        <f t="shared" si="128"/>
        <v>-9.38604</v>
      </c>
      <c r="BD148" s="616">
        <f t="shared" si="129"/>
        <v>-3.5088</v>
      </c>
      <c r="BE148" s="616">
        <f t="shared" si="130"/>
        <v>-1.7544</v>
      </c>
      <c r="BF148" s="616">
        <f t="shared" si="131"/>
        <v>-1.3158</v>
      </c>
      <c r="BG148" s="616">
        <f t="shared" si="132"/>
        <v>-0.04386</v>
      </c>
      <c r="BH148" s="616">
        <f t="shared" si="133"/>
        <v>-0.13158</v>
      </c>
      <c r="BI148" s="616">
        <f t="shared" si="134"/>
        <v>-2.6316</v>
      </c>
      <c r="BJ148" s="616"/>
      <c r="BK148" s="615">
        <f t="shared" si="135"/>
        <v>681.911</v>
      </c>
      <c r="BL148" s="616">
        <f t="shared" si="136"/>
        <v>254.92</v>
      </c>
      <c r="BM148" s="616">
        <f t="shared" si="137"/>
        <v>127.46</v>
      </c>
      <c r="BN148" s="616">
        <f t="shared" si="138"/>
        <v>95.595</v>
      </c>
      <c r="BO148" s="616">
        <f t="shared" si="139"/>
        <v>3.1865</v>
      </c>
      <c r="BP148" s="616">
        <f t="shared" si="140"/>
        <v>9.5595</v>
      </c>
      <c r="BQ148" s="616">
        <f t="shared" si="141"/>
        <v>191.19</v>
      </c>
      <c r="BR148" s="616">
        <f t="shared" si="142"/>
        <v>0</v>
      </c>
      <c r="BS148" s="304" t="s">
        <v>659</v>
      </c>
    </row>
    <row r="149" s="132" customFormat="1" ht="24" spans="1:71">
      <c r="A149" s="497" t="s">
        <v>202</v>
      </c>
      <c r="B149" s="497" t="s">
        <v>404</v>
      </c>
      <c r="C149" s="497" t="s">
        <v>405</v>
      </c>
      <c r="D149" s="497" t="s">
        <v>406</v>
      </c>
      <c r="E149" s="615">
        <f t="shared" si="147"/>
        <v>1465.9493</v>
      </c>
      <c r="F149" s="615">
        <f t="shared" si="148"/>
        <v>1287.102</v>
      </c>
      <c r="G149" s="616">
        <v>986.694</v>
      </c>
      <c r="H149" s="616">
        <v>2.3292</v>
      </c>
      <c r="I149" s="616">
        <v>298.0788</v>
      </c>
      <c r="J149" s="616"/>
      <c r="K149" s="616"/>
      <c r="L149" s="616"/>
      <c r="M149" s="615">
        <f t="shared" si="149"/>
        <v>178.8473</v>
      </c>
      <c r="N149" s="616">
        <v>178.8473</v>
      </c>
      <c r="O149" s="616"/>
      <c r="P149" s="616"/>
      <c r="Q149" s="616"/>
      <c r="R149" s="616"/>
      <c r="S149" s="615">
        <f t="shared" si="111"/>
        <v>171.06</v>
      </c>
      <c r="T149" s="615">
        <f t="shared" si="112"/>
        <v>133.11</v>
      </c>
      <c r="U149" s="616">
        <v>133.11</v>
      </c>
      <c r="V149" s="616"/>
      <c r="W149" s="616"/>
      <c r="X149" s="616"/>
      <c r="Y149" s="616"/>
      <c r="Z149" s="616"/>
      <c r="AA149" s="615">
        <f t="shared" si="113"/>
        <v>37.95</v>
      </c>
      <c r="AB149" s="616">
        <v>20.34</v>
      </c>
      <c r="AC149" s="616"/>
      <c r="AD149" s="616"/>
      <c r="AE149" s="616">
        <v>17.61</v>
      </c>
      <c r="AF149" s="616"/>
      <c r="AG149" s="615">
        <f t="shared" si="114"/>
        <v>1637.0093</v>
      </c>
      <c r="AH149" s="615">
        <f t="shared" si="115"/>
        <v>1420.212</v>
      </c>
      <c r="AI149" s="616">
        <f t="shared" si="116"/>
        <v>1119.804</v>
      </c>
      <c r="AJ149" s="616">
        <f t="shared" si="117"/>
        <v>2.3292</v>
      </c>
      <c r="AK149" s="616">
        <f t="shared" si="118"/>
        <v>298.0788</v>
      </c>
      <c r="AL149" s="616">
        <f t="shared" si="119"/>
        <v>0</v>
      </c>
      <c r="AM149" s="616">
        <f t="shared" si="120"/>
        <v>0</v>
      </c>
      <c r="AN149" s="616">
        <f t="shared" si="121"/>
        <v>0</v>
      </c>
      <c r="AO149" s="615">
        <f t="shared" si="122"/>
        <v>216.7973</v>
      </c>
      <c r="AP149" s="616">
        <f t="shared" si="123"/>
        <v>199.1873</v>
      </c>
      <c r="AQ149" s="616">
        <f t="shared" si="124"/>
        <v>0</v>
      </c>
      <c r="AR149" s="616">
        <f t="shared" si="125"/>
        <v>0</v>
      </c>
      <c r="AS149" s="616">
        <f t="shared" si="126"/>
        <v>17.61</v>
      </c>
      <c r="AT149" s="637">
        <f t="shared" si="127"/>
        <v>0</v>
      </c>
      <c r="AU149" s="638">
        <f t="shared" si="150"/>
        <v>627.4263004</v>
      </c>
      <c r="AV149" s="616">
        <f t="shared" si="151"/>
        <v>234.551888</v>
      </c>
      <c r="AW149" s="616">
        <f t="shared" si="152"/>
        <v>117.275944</v>
      </c>
      <c r="AX149" s="616">
        <f t="shared" si="153"/>
        <v>87.956958</v>
      </c>
      <c r="AY149" s="616">
        <f t="shared" si="154"/>
        <v>2.9318986</v>
      </c>
      <c r="AZ149" s="616">
        <f t="shared" si="155"/>
        <v>8.7956958</v>
      </c>
      <c r="BA149" s="616">
        <f t="shared" si="156"/>
        <v>175.913916</v>
      </c>
      <c r="BB149" s="616"/>
      <c r="BC149" s="615">
        <f t="shared" si="128"/>
        <v>65.6766</v>
      </c>
      <c r="BD149" s="616">
        <f t="shared" si="129"/>
        <v>24.552</v>
      </c>
      <c r="BE149" s="616">
        <f t="shared" si="130"/>
        <v>12.276</v>
      </c>
      <c r="BF149" s="616">
        <f t="shared" si="131"/>
        <v>9.207</v>
      </c>
      <c r="BG149" s="616">
        <f t="shared" si="132"/>
        <v>0.3069</v>
      </c>
      <c r="BH149" s="616">
        <f t="shared" si="133"/>
        <v>0.9207</v>
      </c>
      <c r="BI149" s="616">
        <f t="shared" si="134"/>
        <v>18.414</v>
      </c>
      <c r="BJ149" s="616"/>
      <c r="BK149" s="615">
        <f t="shared" si="135"/>
        <v>693.1029004</v>
      </c>
      <c r="BL149" s="616">
        <f t="shared" si="136"/>
        <v>259.103888</v>
      </c>
      <c r="BM149" s="616">
        <f t="shared" si="137"/>
        <v>129.551944</v>
      </c>
      <c r="BN149" s="616">
        <f t="shared" si="138"/>
        <v>97.163958</v>
      </c>
      <c r="BO149" s="616">
        <f t="shared" si="139"/>
        <v>3.2387986</v>
      </c>
      <c r="BP149" s="616">
        <f t="shared" si="140"/>
        <v>9.7163958</v>
      </c>
      <c r="BQ149" s="616">
        <f t="shared" si="141"/>
        <v>194.327916</v>
      </c>
      <c r="BR149" s="616">
        <f t="shared" si="142"/>
        <v>0</v>
      </c>
      <c r="BS149" s="304" t="s">
        <v>660</v>
      </c>
    </row>
    <row r="150" s="132" customFormat="1" ht="24" spans="1:71">
      <c r="A150" s="497" t="s">
        <v>202</v>
      </c>
      <c r="B150" s="497" t="s">
        <v>404</v>
      </c>
      <c r="C150" s="497" t="s">
        <v>407</v>
      </c>
      <c r="D150" s="497" t="s">
        <v>406</v>
      </c>
      <c r="E150" s="615">
        <f t="shared" si="147"/>
        <v>833.23</v>
      </c>
      <c r="F150" s="615">
        <f t="shared" si="148"/>
        <v>734.25</v>
      </c>
      <c r="G150" s="616">
        <v>568.13</v>
      </c>
      <c r="H150" s="616">
        <v>1.15</v>
      </c>
      <c r="I150" s="616">
        <v>164.97</v>
      </c>
      <c r="J150" s="616"/>
      <c r="K150" s="616"/>
      <c r="L150" s="616"/>
      <c r="M150" s="615">
        <f t="shared" si="149"/>
        <v>98.98</v>
      </c>
      <c r="N150" s="616">
        <v>98.98</v>
      </c>
      <c r="O150" s="616"/>
      <c r="P150" s="616"/>
      <c r="Q150" s="616"/>
      <c r="R150" s="616"/>
      <c r="S150" s="615">
        <f t="shared" si="111"/>
        <v>-0.52</v>
      </c>
      <c r="T150" s="615">
        <f t="shared" si="112"/>
        <v>-5.9</v>
      </c>
      <c r="U150" s="616">
        <v>-5.9</v>
      </c>
      <c r="V150" s="616"/>
      <c r="W150" s="616"/>
      <c r="X150" s="616"/>
      <c r="Y150" s="616"/>
      <c r="Z150" s="616"/>
      <c r="AA150" s="615">
        <f t="shared" si="113"/>
        <v>5.38</v>
      </c>
      <c r="AB150" s="616">
        <v>-0.58</v>
      </c>
      <c r="AC150" s="616"/>
      <c r="AD150" s="616"/>
      <c r="AE150" s="616">
        <v>5.96</v>
      </c>
      <c r="AF150" s="616"/>
      <c r="AG150" s="615">
        <f t="shared" si="114"/>
        <v>832.71</v>
      </c>
      <c r="AH150" s="615">
        <f t="shared" si="115"/>
        <v>728.35</v>
      </c>
      <c r="AI150" s="616">
        <f t="shared" si="116"/>
        <v>562.23</v>
      </c>
      <c r="AJ150" s="616">
        <f t="shared" si="117"/>
        <v>1.15</v>
      </c>
      <c r="AK150" s="616">
        <f t="shared" si="118"/>
        <v>164.97</v>
      </c>
      <c r="AL150" s="616">
        <f t="shared" si="119"/>
        <v>0</v>
      </c>
      <c r="AM150" s="616">
        <f t="shared" si="120"/>
        <v>0</v>
      </c>
      <c r="AN150" s="616">
        <f t="shared" si="121"/>
        <v>0</v>
      </c>
      <c r="AO150" s="615">
        <f t="shared" si="122"/>
        <v>104.36</v>
      </c>
      <c r="AP150" s="616">
        <f t="shared" si="123"/>
        <v>98.4</v>
      </c>
      <c r="AQ150" s="616">
        <f t="shared" si="124"/>
        <v>0</v>
      </c>
      <c r="AR150" s="616">
        <f t="shared" si="125"/>
        <v>0</v>
      </c>
      <c r="AS150" s="616">
        <f t="shared" si="126"/>
        <v>5.96</v>
      </c>
      <c r="AT150" s="637">
        <f t="shared" si="127"/>
        <v>0</v>
      </c>
      <c r="AU150" s="638">
        <f t="shared" si="150"/>
        <v>356.62244</v>
      </c>
      <c r="AV150" s="616">
        <f t="shared" si="151"/>
        <v>133.3168</v>
      </c>
      <c r="AW150" s="616">
        <f t="shared" si="152"/>
        <v>66.6584</v>
      </c>
      <c r="AX150" s="616">
        <f t="shared" si="153"/>
        <v>49.9938</v>
      </c>
      <c r="AY150" s="616">
        <f t="shared" si="154"/>
        <v>1.66646</v>
      </c>
      <c r="AZ150" s="616">
        <f t="shared" si="155"/>
        <v>4.99938</v>
      </c>
      <c r="BA150" s="616">
        <f t="shared" si="156"/>
        <v>99.9876</v>
      </c>
      <c r="BB150" s="616"/>
      <c r="BC150" s="615">
        <f t="shared" si="128"/>
        <v>-2.77344</v>
      </c>
      <c r="BD150" s="616">
        <f t="shared" si="129"/>
        <v>-1.0368</v>
      </c>
      <c r="BE150" s="616">
        <f t="shared" si="130"/>
        <v>-0.5184</v>
      </c>
      <c r="BF150" s="616">
        <f t="shared" si="131"/>
        <v>-0.3888</v>
      </c>
      <c r="BG150" s="616">
        <f t="shared" si="132"/>
        <v>-0.01296</v>
      </c>
      <c r="BH150" s="616">
        <f t="shared" si="133"/>
        <v>-0.03888</v>
      </c>
      <c r="BI150" s="616">
        <f t="shared" si="134"/>
        <v>-0.7776</v>
      </c>
      <c r="BJ150" s="616"/>
      <c r="BK150" s="615">
        <f t="shared" si="135"/>
        <v>353.849</v>
      </c>
      <c r="BL150" s="616">
        <f t="shared" si="136"/>
        <v>132.28</v>
      </c>
      <c r="BM150" s="616">
        <f t="shared" si="137"/>
        <v>66.14</v>
      </c>
      <c r="BN150" s="616">
        <f t="shared" si="138"/>
        <v>49.605</v>
      </c>
      <c r="BO150" s="616">
        <f t="shared" si="139"/>
        <v>1.6535</v>
      </c>
      <c r="BP150" s="616">
        <f t="shared" si="140"/>
        <v>4.9605</v>
      </c>
      <c r="BQ150" s="616">
        <f t="shared" si="141"/>
        <v>99.21</v>
      </c>
      <c r="BR150" s="616">
        <f t="shared" si="142"/>
        <v>0</v>
      </c>
      <c r="BS150" s="304" t="s">
        <v>661</v>
      </c>
    </row>
    <row r="151" s="132" customFormat="1" ht="24" spans="1:71">
      <c r="A151" s="497" t="s">
        <v>202</v>
      </c>
      <c r="B151" s="497" t="s">
        <v>206</v>
      </c>
      <c r="C151" s="497" t="s">
        <v>408</v>
      </c>
      <c r="D151" s="497" t="s">
        <v>409</v>
      </c>
      <c r="E151" s="615">
        <f t="shared" si="147"/>
        <v>465.92</v>
      </c>
      <c r="F151" s="615">
        <f t="shared" si="148"/>
        <v>413.22</v>
      </c>
      <c r="G151" s="616">
        <v>324.53</v>
      </c>
      <c r="H151" s="616">
        <v>0.86</v>
      </c>
      <c r="I151" s="616">
        <v>87.83</v>
      </c>
      <c r="J151" s="616"/>
      <c r="K151" s="616"/>
      <c r="L151" s="616"/>
      <c r="M151" s="615">
        <f t="shared" si="149"/>
        <v>52.7</v>
      </c>
      <c r="N151" s="616">
        <v>52.7</v>
      </c>
      <c r="O151" s="616"/>
      <c r="P151" s="616"/>
      <c r="Q151" s="616"/>
      <c r="R151" s="616"/>
      <c r="S151" s="615">
        <f t="shared" si="111"/>
        <v>2.64</v>
      </c>
      <c r="T151" s="615">
        <f t="shared" si="112"/>
        <v>0.83</v>
      </c>
      <c r="U151" s="616">
        <v>0.83</v>
      </c>
      <c r="V151" s="616"/>
      <c r="W151" s="616"/>
      <c r="X151" s="616"/>
      <c r="Y151" s="616"/>
      <c r="Z151" s="616"/>
      <c r="AA151" s="615">
        <f t="shared" si="113"/>
        <v>1.81</v>
      </c>
      <c r="AB151" s="616">
        <v>-0.32</v>
      </c>
      <c r="AC151" s="616"/>
      <c r="AD151" s="616"/>
      <c r="AE151" s="616">
        <v>2.13</v>
      </c>
      <c r="AF151" s="616"/>
      <c r="AG151" s="615">
        <f t="shared" si="114"/>
        <v>468.56</v>
      </c>
      <c r="AH151" s="615">
        <f t="shared" si="115"/>
        <v>414.05</v>
      </c>
      <c r="AI151" s="616">
        <f t="shared" si="116"/>
        <v>325.36</v>
      </c>
      <c r="AJ151" s="616">
        <f t="shared" si="117"/>
        <v>0.86</v>
      </c>
      <c r="AK151" s="616">
        <f t="shared" si="118"/>
        <v>87.83</v>
      </c>
      <c r="AL151" s="616">
        <f t="shared" si="119"/>
        <v>0</v>
      </c>
      <c r="AM151" s="616">
        <f t="shared" si="120"/>
        <v>0</v>
      </c>
      <c r="AN151" s="616">
        <f t="shared" si="121"/>
        <v>0</v>
      </c>
      <c r="AO151" s="615">
        <f t="shared" si="122"/>
        <v>54.51</v>
      </c>
      <c r="AP151" s="616">
        <f t="shared" si="123"/>
        <v>52.38</v>
      </c>
      <c r="AQ151" s="616">
        <f t="shared" si="124"/>
        <v>0</v>
      </c>
      <c r="AR151" s="616">
        <f t="shared" si="125"/>
        <v>0</v>
      </c>
      <c r="AS151" s="616">
        <f t="shared" si="126"/>
        <v>2.13</v>
      </c>
      <c r="AT151" s="637">
        <f t="shared" si="127"/>
        <v>0</v>
      </c>
      <c r="AU151" s="638">
        <f t="shared" si="150"/>
        <v>199.41376</v>
      </c>
      <c r="AV151" s="616">
        <f t="shared" si="151"/>
        <v>74.5472</v>
      </c>
      <c r="AW151" s="616">
        <f t="shared" si="152"/>
        <v>37.2736</v>
      </c>
      <c r="AX151" s="616">
        <f t="shared" si="153"/>
        <v>27.9552</v>
      </c>
      <c r="AY151" s="616">
        <f t="shared" si="154"/>
        <v>0.93184</v>
      </c>
      <c r="AZ151" s="616">
        <f t="shared" si="155"/>
        <v>2.79552</v>
      </c>
      <c r="BA151" s="616">
        <f t="shared" si="156"/>
        <v>55.9104</v>
      </c>
      <c r="BB151" s="616"/>
      <c r="BC151" s="615">
        <f t="shared" si="128"/>
        <v>0.21828</v>
      </c>
      <c r="BD151" s="616">
        <f t="shared" si="129"/>
        <v>0.0816</v>
      </c>
      <c r="BE151" s="616">
        <f t="shared" si="130"/>
        <v>0.0408</v>
      </c>
      <c r="BF151" s="616">
        <f t="shared" si="131"/>
        <v>0.0306</v>
      </c>
      <c r="BG151" s="616">
        <f t="shared" si="132"/>
        <v>0.00102</v>
      </c>
      <c r="BH151" s="616">
        <f t="shared" si="133"/>
        <v>0.00306</v>
      </c>
      <c r="BI151" s="616">
        <f t="shared" si="134"/>
        <v>0.0612</v>
      </c>
      <c r="BJ151" s="616"/>
      <c r="BK151" s="615">
        <f t="shared" si="135"/>
        <v>199.63204</v>
      </c>
      <c r="BL151" s="616">
        <f t="shared" si="136"/>
        <v>74.6288</v>
      </c>
      <c r="BM151" s="616">
        <f t="shared" si="137"/>
        <v>37.3144</v>
      </c>
      <c r="BN151" s="616">
        <f t="shared" si="138"/>
        <v>27.9858</v>
      </c>
      <c r="BO151" s="616">
        <f t="shared" si="139"/>
        <v>0.93286</v>
      </c>
      <c r="BP151" s="616">
        <f t="shared" si="140"/>
        <v>2.79858</v>
      </c>
      <c r="BQ151" s="616">
        <f t="shared" si="141"/>
        <v>55.9716</v>
      </c>
      <c r="BR151" s="616">
        <f t="shared" si="142"/>
        <v>0</v>
      </c>
      <c r="BS151" s="304" t="s">
        <v>662</v>
      </c>
    </row>
    <row r="152" s="132" customFormat="1" ht="24" spans="1:71">
      <c r="A152" s="497" t="s">
        <v>202</v>
      </c>
      <c r="B152" s="497" t="s">
        <v>400</v>
      </c>
      <c r="C152" s="497" t="s">
        <v>410</v>
      </c>
      <c r="D152" s="497" t="s">
        <v>411</v>
      </c>
      <c r="E152" s="615">
        <f t="shared" si="147"/>
        <v>234.56</v>
      </c>
      <c r="F152" s="615">
        <f t="shared" si="148"/>
        <v>196.7</v>
      </c>
      <c r="G152" s="616">
        <v>135.02</v>
      </c>
      <c r="H152" s="616">
        <v>20.53</v>
      </c>
      <c r="I152" s="616">
        <v>41.15</v>
      </c>
      <c r="J152" s="616"/>
      <c r="K152" s="616"/>
      <c r="L152" s="616"/>
      <c r="M152" s="615">
        <f t="shared" si="149"/>
        <v>37.86</v>
      </c>
      <c r="N152" s="616">
        <v>24.69</v>
      </c>
      <c r="O152" s="616"/>
      <c r="P152" s="616"/>
      <c r="Q152" s="616">
        <v>13.17</v>
      </c>
      <c r="R152" s="616"/>
      <c r="S152" s="615">
        <f t="shared" si="111"/>
        <v>20.63</v>
      </c>
      <c r="T152" s="615">
        <f t="shared" si="112"/>
        <v>14.67</v>
      </c>
      <c r="U152" s="616">
        <v>14.67</v>
      </c>
      <c r="V152" s="616"/>
      <c r="W152" s="616"/>
      <c r="X152" s="616"/>
      <c r="Y152" s="616"/>
      <c r="Z152" s="616"/>
      <c r="AA152" s="615">
        <f t="shared" si="113"/>
        <v>5.96</v>
      </c>
      <c r="AB152" s="616">
        <v>1.72</v>
      </c>
      <c r="AC152" s="616"/>
      <c r="AD152" s="616"/>
      <c r="AE152" s="616">
        <v>4.24</v>
      </c>
      <c r="AF152" s="616"/>
      <c r="AG152" s="615">
        <f t="shared" si="114"/>
        <v>255.19</v>
      </c>
      <c r="AH152" s="615">
        <f t="shared" si="115"/>
        <v>211.37</v>
      </c>
      <c r="AI152" s="616">
        <f t="shared" si="116"/>
        <v>149.69</v>
      </c>
      <c r="AJ152" s="616">
        <f t="shared" si="117"/>
        <v>20.53</v>
      </c>
      <c r="AK152" s="616">
        <f t="shared" si="118"/>
        <v>41.15</v>
      </c>
      <c r="AL152" s="616">
        <f t="shared" si="119"/>
        <v>0</v>
      </c>
      <c r="AM152" s="616">
        <f t="shared" si="120"/>
        <v>0</v>
      </c>
      <c r="AN152" s="616">
        <f t="shared" si="121"/>
        <v>0</v>
      </c>
      <c r="AO152" s="615">
        <f t="shared" si="122"/>
        <v>43.82</v>
      </c>
      <c r="AP152" s="616">
        <f t="shared" si="123"/>
        <v>26.41</v>
      </c>
      <c r="AQ152" s="616">
        <f t="shared" si="124"/>
        <v>0</v>
      </c>
      <c r="AR152" s="616">
        <f t="shared" si="125"/>
        <v>0</v>
      </c>
      <c r="AS152" s="616">
        <f t="shared" si="126"/>
        <v>17.41</v>
      </c>
      <c r="AT152" s="637">
        <f t="shared" si="127"/>
        <v>0</v>
      </c>
      <c r="AU152" s="638">
        <f t="shared" si="150"/>
        <v>94.75492</v>
      </c>
      <c r="AV152" s="616">
        <f t="shared" si="151"/>
        <v>35.4224</v>
      </c>
      <c r="AW152" s="616">
        <f t="shared" si="152"/>
        <v>17.7112</v>
      </c>
      <c r="AX152" s="616">
        <f t="shared" si="153"/>
        <v>13.2834</v>
      </c>
      <c r="AY152" s="616">
        <f t="shared" si="154"/>
        <v>0.44278</v>
      </c>
      <c r="AZ152" s="616">
        <f t="shared" si="155"/>
        <v>1.32834</v>
      </c>
      <c r="BA152" s="616">
        <f t="shared" si="156"/>
        <v>26.5668</v>
      </c>
      <c r="BB152" s="616"/>
      <c r="BC152" s="615">
        <f t="shared" si="128"/>
        <v>7.01492</v>
      </c>
      <c r="BD152" s="616">
        <f t="shared" si="129"/>
        <v>2.6224</v>
      </c>
      <c r="BE152" s="616">
        <f t="shared" si="130"/>
        <v>1.3112</v>
      </c>
      <c r="BF152" s="616">
        <f t="shared" si="131"/>
        <v>0.9834</v>
      </c>
      <c r="BG152" s="616">
        <f t="shared" si="132"/>
        <v>0.03278</v>
      </c>
      <c r="BH152" s="616">
        <f t="shared" si="133"/>
        <v>0.09834</v>
      </c>
      <c r="BI152" s="616">
        <f t="shared" si="134"/>
        <v>1.9668</v>
      </c>
      <c r="BJ152" s="616"/>
      <c r="BK152" s="615">
        <f t="shared" si="135"/>
        <v>101.76984</v>
      </c>
      <c r="BL152" s="616">
        <f t="shared" si="136"/>
        <v>38.0448</v>
      </c>
      <c r="BM152" s="616">
        <f t="shared" si="137"/>
        <v>19.0224</v>
      </c>
      <c r="BN152" s="616">
        <f t="shared" si="138"/>
        <v>14.2668</v>
      </c>
      <c r="BO152" s="616">
        <f t="shared" si="139"/>
        <v>0.47556</v>
      </c>
      <c r="BP152" s="616">
        <f t="shared" si="140"/>
        <v>1.42668</v>
      </c>
      <c r="BQ152" s="616">
        <f t="shared" si="141"/>
        <v>28.5336</v>
      </c>
      <c r="BR152" s="616">
        <f t="shared" si="142"/>
        <v>0</v>
      </c>
      <c r="BS152" s="304" t="s">
        <v>663</v>
      </c>
    </row>
    <row r="153" s="132" customFormat="1" ht="24" spans="1:71">
      <c r="A153" s="497" t="s">
        <v>202</v>
      </c>
      <c r="B153" s="497" t="s">
        <v>404</v>
      </c>
      <c r="C153" s="497" t="s">
        <v>412</v>
      </c>
      <c r="D153" s="497" t="s">
        <v>406</v>
      </c>
      <c r="E153" s="615">
        <f t="shared" si="147"/>
        <v>184.84</v>
      </c>
      <c r="F153" s="615">
        <f t="shared" si="148"/>
        <v>161.66</v>
      </c>
      <c r="G153" s="616">
        <v>110.64</v>
      </c>
      <c r="H153" s="616">
        <v>0.13</v>
      </c>
      <c r="I153" s="616">
        <v>38.65</v>
      </c>
      <c r="J153" s="616">
        <v>12.24</v>
      </c>
      <c r="K153" s="616"/>
      <c r="L153" s="616"/>
      <c r="M153" s="615">
        <f t="shared" si="149"/>
        <v>23.18</v>
      </c>
      <c r="N153" s="616">
        <v>23.18</v>
      </c>
      <c r="O153" s="616"/>
      <c r="P153" s="616"/>
      <c r="Q153" s="616"/>
      <c r="R153" s="616"/>
      <c r="S153" s="615">
        <f t="shared" si="111"/>
        <v>11.36</v>
      </c>
      <c r="T153" s="615">
        <f t="shared" si="112"/>
        <v>5.06</v>
      </c>
      <c r="U153" s="616">
        <v>4.98</v>
      </c>
      <c r="V153" s="616"/>
      <c r="W153" s="616"/>
      <c r="X153" s="616">
        <v>0.08</v>
      </c>
      <c r="Y153" s="616"/>
      <c r="Z153" s="616"/>
      <c r="AA153" s="615">
        <f t="shared" si="113"/>
        <v>6.3</v>
      </c>
      <c r="AB153" s="616">
        <v>0.89</v>
      </c>
      <c r="AC153" s="616"/>
      <c r="AD153" s="616"/>
      <c r="AE153" s="616">
        <f>1.5+3.91</f>
        <v>5.41</v>
      </c>
      <c r="AF153" s="616"/>
      <c r="AG153" s="615">
        <f t="shared" si="114"/>
        <v>196.2</v>
      </c>
      <c r="AH153" s="615">
        <f t="shared" si="115"/>
        <v>166.72</v>
      </c>
      <c r="AI153" s="616">
        <f t="shared" si="116"/>
        <v>115.62</v>
      </c>
      <c r="AJ153" s="616">
        <f t="shared" si="117"/>
        <v>0.13</v>
      </c>
      <c r="AK153" s="616">
        <f t="shared" si="118"/>
        <v>38.65</v>
      </c>
      <c r="AL153" s="616">
        <f t="shared" si="119"/>
        <v>12.32</v>
      </c>
      <c r="AM153" s="616">
        <f t="shared" si="120"/>
        <v>0</v>
      </c>
      <c r="AN153" s="616">
        <f t="shared" si="121"/>
        <v>0</v>
      </c>
      <c r="AO153" s="615">
        <f t="shared" si="122"/>
        <v>29.48</v>
      </c>
      <c r="AP153" s="616">
        <f t="shared" si="123"/>
        <v>24.07</v>
      </c>
      <c r="AQ153" s="616">
        <f t="shared" si="124"/>
        <v>0</v>
      </c>
      <c r="AR153" s="616">
        <f t="shared" si="125"/>
        <v>0</v>
      </c>
      <c r="AS153" s="616">
        <f t="shared" si="126"/>
        <v>5.41</v>
      </c>
      <c r="AT153" s="637">
        <f t="shared" si="127"/>
        <v>0</v>
      </c>
      <c r="AU153" s="638">
        <f t="shared" si="150"/>
        <v>73.8728</v>
      </c>
      <c r="AV153" s="616">
        <f t="shared" si="151"/>
        <v>27.616</v>
      </c>
      <c r="AW153" s="616">
        <f t="shared" si="152"/>
        <v>13.808</v>
      </c>
      <c r="AX153" s="616">
        <f t="shared" si="153"/>
        <v>10.356</v>
      </c>
      <c r="AY153" s="616">
        <f t="shared" si="154"/>
        <v>0.3452</v>
      </c>
      <c r="AZ153" s="616">
        <f t="shared" si="155"/>
        <v>1.0356</v>
      </c>
      <c r="BA153" s="616">
        <f t="shared" si="156"/>
        <v>20.712</v>
      </c>
      <c r="BB153" s="616"/>
      <c r="BC153" s="615">
        <f t="shared" si="128"/>
        <v>2.51236</v>
      </c>
      <c r="BD153" s="616">
        <f t="shared" si="129"/>
        <v>0.9392</v>
      </c>
      <c r="BE153" s="616">
        <f t="shared" si="130"/>
        <v>0.4696</v>
      </c>
      <c r="BF153" s="616">
        <f t="shared" si="131"/>
        <v>0.3522</v>
      </c>
      <c r="BG153" s="616">
        <f t="shared" si="132"/>
        <v>0.01174</v>
      </c>
      <c r="BH153" s="616">
        <f t="shared" si="133"/>
        <v>0.03522</v>
      </c>
      <c r="BI153" s="616">
        <f t="shared" si="134"/>
        <v>0.7044</v>
      </c>
      <c r="BJ153" s="616"/>
      <c r="BK153" s="615">
        <f t="shared" si="135"/>
        <v>76.38516</v>
      </c>
      <c r="BL153" s="616">
        <f t="shared" si="136"/>
        <v>28.5552</v>
      </c>
      <c r="BM153" s="616">
        <f t="shared" si="137"/>
        <v>14.2776</v>
      </c>
      <c r="BN153" s="616">
        <f t="shared" si="138"/>
        <v>10.7082</v>
      </c>
      <c r="BO153" s="616">
        <f t="shared" si="139"/>
        <v>0.35694</v>
      </c>
      <c r="BP153" s="616">
        <f t="shared" si="140"/>
        <v>1.07082</v>
      </c>
      <c r="BQ153" s="616">
        <f t="shared" si="141"/>
        <v>21.4164</v>
      </c>
      <c r="BR153" s="616">
        <f t="shared" si="142"/>
        <v>0</v>
      </c>
      <c r="BS153" s="304" t="s">
        <v>664</v>
      </c>
    </row>
    <row r="154" s="132" customFormat="1" ht="24" spans="1:71">
      <c r="A154" s="497" t="s">
        <v>202</v>
      </c>
      <c r="B154" s="497" t="s">
        <v>400</v>
      </c>
      <c r="C154" s="497" t="s">
        <v>413</v>
      </c>
      <c r="D154" s="497" t="s">
        <v>414</v>
      </c>
      <c r="E154" s="615">
        <f t="shared" si="147"/>
        <v>1251.1792</v>
      </c>
      <c r="F154" s="615">
        <f t="shared" si="148"/>
        <v>1103.4192</v>
      </c>
      <c r="G154" s="616">
        <v>855.6408</v>
      </c>
      <c r="H154" s="616">
        <v>1.5084</v>
      </c>
      <c r="I154" s="616">
        <v>246.27</v>
      </c>
      <c r="J154" s="616"/>
      <c r="K154" s="616"/>
      <c r="L154" s="616"/>
      <c r="M154" s="615">
        <f t="shared" si="149"/>
        <v>147.76</v>
      </c>
      <c r="N154" s="616">
        <v>147.76</v>
      </c>
      <c r="O154" s="616"/>
      <c r="P154" s="616"/>
      <c r="Q154" s="616"/>
      <c r="R154" s="616"/>
      <c r="S154" s="615">
        <f t="shared" si="111"/>
        <v>17.87</v>
      </c>
      <c r="T154" s="615">
        <f t="shared" si="112"/>
        <v>9.52</v>
      </c>
      <c r="U154" s="616">
        <v>9.52</v>
      </c>
      <c r="V154" s="616"/>
      <c r="W154" s="616"/>
      <c r="X154" s="616"/>
      <c r="Y154" s="616"/>
      <c r="Z154" s="616"/>
      <c r="AA154" s="615">
        <f t="shared" si="113"/>
        <v>8.35</v>
      </c>
      <c r="AB154" s="616">
        <v>0.5</v>
      </c>
      <c r="AC154" s="616"/>
      <c r="AD154" s="616"/>
      <c r="AE154" s="616">
        <v>7.85</v>
      </c>
      <c r="AF154" s="616"/>
      <c r="AG154" s="615">
        <f t="shared" si="114"/>
        <v>1269.0492</v>
      </c>
      <c r="AH154" s="615">
        <f t="shared" si="115"/>
        <v>1112.9392</v>
      </c>
      <c r="AI154" s="616">
        <f t="shared" si="116"/>
        <v>865.1608</v>
      </c>
      <c r="AJ154" s="616">
        <f t="shared" si="117"/>
        <v>1.5084</v>
      </c>
      <c r="AK154" s="616">
        <f t="shared" si="118"/>
        <v>246.27</v>
      </c>
      <c r="AL154" s="616">
        <f t="shared" si="119"/>
        <v>0</v>
      </c>
      <c r="AM154" s="616">
        <f t="shared" si="120"/>
        <v>0</v>
      </c>
      <c r="AN154" s="616">
        <f t="shared" si="121"/>
        <v>0</v>
      </c>
      <c r="AO154" s="615">
        <f t="shared" si="122"/>
        <v>156.11</v>
      </c>
      <c r="AP154" s="616">
        <f t="shared" si="123"/>
        <v>148.26</v>
      </c>
      <c r="AQ154" s="616">
        <f t="shared" si="124"/>
        <v>0</v>
      </c>
      <c r="AR154" s="616">
        <f t="shared" si="125"/>
        <v>0</v>
      </c>
      <c r="AS154" s="616">
        <f t="shared" si="126"/>
        <v>7.85</v>
      </c>
      <c r="AT154" s="637">
        <f t="shared" si="127"/>
        <v>0</v>
      </c>
      <c r="AU154" s="638">
        <f t="shared" si="150"/>
        <v>535.5046976</v>
      </c>
      <c r="AV154" s="616">
        <f t="shared" si="151"/>
        <v>200.188672</v>
      </c>
      <c r="AW154" s="616">
        <f t="shared" si="152"/>
        <v>100.094336</v>
      </c>
      <c r="AX154" s="616">
        <f t="shared" si="153"/>
        <v>75.070752</v>
      </c>
      <c r="AY154" s="616">
        <f t="shared" si="154"/>
        <v>2.5023584</v>
      </c>
      <c r="AZ154" s="616">
        <f t="shared" si="155"/>
        <v>7.5070752</v>
      </c>
      <c r="BA154" s="616">
        <f t="shared" si="156"/>
        <v>150.141504</v>
      </c>
      <c r="BB154" s="616"/>
      <c r="BC154" s="615">
        <f t="shared" si="128"/>
        <v>4.28856</v>
      </c>
      <c r="BD154" s="616">
        <f t="shared" si="129"/>
        <v>1.6032</v>
      </c>
      <c r="BE154" s="616">
        <f t="shared" si="130"/>
        <v>0.8016</v>
      </c>
      <c r="BF154" s="616">
        <f t="shared" si="131"/>
        <v>0.6012</v>
      </c>
      <c r="BG154" s="616">
        <f t="shared" si="132"/>
        <v>0.02004</v>
      </c>
      <c r="BH154" s="616">
        <f t="shared" si="133"/>
        <v>0.06012</v>
      </c>
      <c r="BI154" s="616">
        <f t="shared" si="134"/>
        <v>1.2024</v>
      </c>
      <c r="BJ154" s="616"/>
      <c r="BK154" s="615">
        <f t="shared" si="135"/>
        <v>539.7932576</v>
      </c>
      <c r="BL154" s="616">
        <f t="shared" si="136"/>
        <v>201.791872</v>
      </c>
      <c r="BM154" s="616">
        <f t="shared" si="137"/>
        <v>100.895936</v>
      </c>
      <c r="BN154" s="616">
        <f t="shared" si="138"/>
        <v>75.671952</v>
      </c>
      <c r="BO154" s="616">
        <f t="shared" si="139"/>
        <v>2.5223984</v>
      </c>
      <c r="BP154" s="616">
        <f t="shared" si="140"/>
        <v>7.5671952</v>
      </c>
      <c r="BQ154" s="616">
        <f t="shared" si="141"/>
        <v>151.343904</v>
      </c>
      <c r="BR154" s="616">
        <f t="shared" si="142"/>
        <v>0</v>
      </c>
      <c r="BS154" s="304" t="s">
        <v>665</v>
      </c>
    </row>
    <row r="155" s="132" customFormat="1" ht="24" spans="1:71">
      <c r="A155" s="497" t="s">
        <v>202</v>
      </c>
      <c r="B155" s="497" t="s">
        <v>404</v>
      </c>
      <c r="C155" s="497" t="s">
        <v>415</v>
      </c>
      <c r="D155" s="497" t="s">
        <v>416</v>
      </c>
      <c r="E155" s="615">
        <f t="shared" si="147"/>
        <v>259.93</v>
      </c>
      <c r="F155" s="615">
        <f t="shared" si="148"/>
        <v>230.4</v>
      </c>
      <c r="G155" s="616">
        <v>166.97</v>
      </c>
      <c r="H155" s="616">
        <v>0.29</v>
      </c>
      <c r="I155" s="616">
        <v>49.22</v>
      </c>
      <c r="J155" s="616">
        <v>13.92</v>
      </c>
      <c r="K155" s="616"/>
      <c r="L155" s="616"/>
      <c r="M155" s="615">
        <f t="shared" si="149"/>
        <v>29.53</v>
      </c>
      <c r="N155" s="616">
        <v>29.53</v>
      </c>
      <c r="O155" s="616"/>
      <c r="P155" s="616"/>
      <c r="Q155" s="616"/>
      <c r="R155" s="616"/>
      <c r="S155" s="615">
        <f t="shared" si="111"/>
        <v>16.8</v>
      </c>
      <c r="T155" s="615">
        <f t="shared" si="112"/>
        <v>10.28</v>
      </c>
      <c r="U155" s="616">
        <v>9.52</v>
      </c>
      <c r="V155" s="616"/>
      <c r="W155" s="616"/>
      <c r="X155" s="616">
        <v>0.76</v>
      </c>
      <c r="Y155" s="616"/>
      <c r="Z155" s="616"/>
      <c r="AA155" s="615">
        <f t="shared" si="113"/>
        <v>6.52</v>
      </c>
      <c r="AB155" s="616">
        <v>1.33</v>
      </c>
      <c r="AC155" s="616"/>
      <c r="AD155" s="616"/>
      <c r="AE155" s="616">
        <f>3+2.19</f>
        <v>5.19</v>
      </c>
      <c r="AF155" s="616"/>
      <c r="AG155" s="615">
        <f t="shared" si="114"/>
        <v>276.73</v>
      </c>
      <c r="AH155" s="615">
        <f t="shared" si="115"/>
        <v>240.68</v>
      </c>
      <c r="AI155" s="616">
        <f t="shared" si="116"/>
        <v>176.49</v>
      </c>
      <c r="AJ155" s="616">
        <f t="shared" si="117"/>
        <v>0.29</v>
      </c>
      <c r="AK155" s="616">
        <f t="shared" si="118"/>
        <v>49.22</v>
      </c>
      <c r="AL155" s="616">
        <f t="shared" si="119"/>
        <v>14.68</v>
      </c>
      <c r="AM155" s="616">
        <f t="shared" si="120"/>
        <v>0</v>
      </c>
      <c r="AN155" s="616">
        <f t="shared" si="121"/>
        <v>0</v>
      </c>
      <c r="AO155" s="615">
        <f t="shared" si="122"/>
        <v>36.05</v>
      </c>
      <c r="AP155" s="616">
        <f t="shared" si="123"/>
        <v>30.86</v>
      </c>
      <c r="AQ155" s="616">
        <f t="shared" si="124"/>
        <v>0</v>
      </c>
      <c r="AR155" s="616">
        <f t="shared" si="125"/>
        <v>0</v>
      </c>
      <c r="AS155" s="616">
        <f t="shared" si="126"/>
        <v>5.19</v>
      </c>
      <c r="AT155" s="637">
        <f t="shared" si="127"/>
        <v>0</v>
      </c>
      <c r="AU155" s="638">
        <f t="shared" si="150"/>
        <v>105.29228</v>
      </c>
      <c r="AV155" s="616">
        <f t="shared" si="151"/>
        <v>39.3616</v>
      </c>
      <c r="AW155" s="616">
        <f t="shared" si="152"/>
        <v>19.6808</v>
      </c>
      <c r="AX155" s="616">
        <f t="shared" si="153"/>
        <v>14.7606</v>
      </c>
      <c r="AY155" s="616">
        <f t="shared" si="154"/>
        <v>0.49202</v>
      </c>
      <c r="AZ155" s="616">
        <f t="shared" si="155"/>
        <v>1.47606</v>
      </c>
      <c r="BA155" s="616">
        <f t="shared" si="156"/>
        <v>29.5212</v>
      </c>
      <c r="BB155" s="616"/>
      <c r="BC155" s="615">
        <f t="shared" si="128"/>
        <v>4.6438</v>
      </c>
      <c r="BD155" s="616">
        <f t="shared" si="129"/>
        <v>1.736</v>
      </c>
      <c r="BE155" s="616">
        <f t="shared" si="130"/>
        <v>0.868</v>
      </c>
      <c r="BF155" s="616">
        <f t="shared" si="131"/>
        <v>0.651</v>
      </c>
      <c r="BG155" s="616">
        <f t="shared" si="132"/>
        <v>0.0217</v>
      </c>
      <c r="BH155" s="616">
        <f t="shared" si="133"/>
        <v>0.0651</v>
      </c>
      <c r="BI155" s="616">
        <f t="shared" si="134"/>
        <v>1.302</v>
      </c>
      <c r="BJ155" s="616"/>
      <c r="BK155" s="615">
        <f t="shared" si="135"/>
        <v>109.93608</v>
      </c>
      <c r="BL155" s="616">
        <f t="shared" si="136"/>
        <v>41.0976</v>
      </c>
      <c r="BM155" s="616">
        <f t="shared" si="137"/>
        <v>20.5488</v>
      </c>
      <c r="BN155" s="616">
        <f t="shared" si="138"/>
        <v>15.4116</v>
      </c>
      <c r="BO155" s="616">
        <f t="shared" si="139"/>
        <v>0.51372</v>
      </c>
      <c r="BP155" s="616">
        <f t="shared" si="140"/>
        <v>1.54116</v>
      </c>
      <c r="BQ155" s="616">
        <f t="shared" si="141"/>
        <v>30.8232</v>
      </c>
      <c r="BR155" s="616">
        <f t="shared" si="142"/>
        <v>0</v>
      </c>
      <c r="BS155" s="304" t="s">
        <v>666</v>
      </c>
    </row>
    <row r="156" s="132" customFormat="1" ht="24" spans="1:71">
      <c r="A156" s="497" t="s">
        <v>202</v>
      </c>
      <c r="B156" s="497" t="s">
        <v>404</v>
      </c>
      <c r="C156" s="497" t="s">
        <v>417</v>
      </c>
      <c r="D156" s="497" t="s">
        <v>406</v>
      </c>
      <c r="E156" s="615">
        <f t="shared" si="147"/>
        <v>300.46</v>
      </c>
      <c r="F156" s="615">
        <f t="shared" si="148"/>
        <v>265.82</v>
      </c>
      <c r="G156" s="616">
        <v>190.62</v>
      </c>
      <c r="H156" s="616">
        <v>0.65</v>
      </c>
      <c r="I156" s="616">
        <v>57.75</v>
      </c>
      <c r="J156" s="616">
        <v>16.8</v>
      </c>
      <c r="K156" s="616"/>
      <c r="L156" s="616"/>
      <c r="M156" s="615">
        <f t="shared" si="149"/>
        <v>34.64</v>
      </c>
      <c r="N156" s="616">
        <v>34.64</v>
      </c>
      <c r="O156" s="616"/>
      <c r="P156" s="616"/>
      <c r="Q156" s="616"/>
      <c r="R156" s="616"/>
      <c r="S156" s="615">
        <f t="shared" si="111"/>
        <v>31.54</v>
      </c>
      <c r="T156" s="615">
        <f t="shared" si="112"/>
        <v>19.8</v>
      </c>
      <c r="U156" s="616">
        <v>18.04</v>
      </c>
      <c r="V156" s="616"/>
      <c r="W156" s="616"/>
      <c r="X156" s="616">
        <v>1.76</v>
      </c>
      <c r="Y156" s="616"/>
      <c r="Z156" s="616"/>
      <c r="AA156" s="615">
        <f t="shared" si="113"/>
        <v>11.74</v>
      </c>
      <c r="AB156" s="616">
        <v>2.37</v>
      </c>
      <c r="AC156" s="616"/>
      <c r="AD156" s="616"/>
      <c r="AE156" s="616">
        <f>3+6.37</f>
        <v>9.37</v>
      </c>
      <c r="AF156" s="616"/>
      <c r="AG156" s="615">
        <f t="shared" si="114"/>
        <v>332</v>
      </c>
      <c r="AH156" s="615">
        <f t="shared" si="115"/>
        <v>285.62</v>
      </c>
      <c r="AI156" s="616">
        <f t="shared" si="116"/>
        <v>208.66</v>
      </c>
      <c r="AJ156" s="616">
        <f t="shared" si="117"/>
        <v>0.65</v>
      </c>
      <c r="AK156" s="616">
        <f t="shared" si="118"/>
        <v>57.75</v>
      </c>
      <c r="AL156" s="616">
        <f t="shared" si="119"/>
        <v>18.56</v>
      </c>
      <c r="AM156" s="616">
        <f t="shared" si="120"/>
        <v>0</v>
      </c>
      <c r="AN156" s="616">
        <f t="shared" si="121"/>
        <v>0</v>
      </c>
      <c r="AO156" s="615">
        <f t="shared" si="122"/>
        <v>46.38</v>
      </c>
      <c r="AP156" s="616">
        <f t="shared" si="123"/>
        <v>37.01</v>
      </c>
      <c r="AQ156" s="616">
        <f t="shared" si="124"/>
        <v>0</v>
      </c>
      <c r="AR156" s="616">
        <f t="shared" si="125"/>
        <v>0</v>
      </c>
      <c r="AS156" s="616">
        <f t="shared" si="126"/>
        <v>9.37</v>
      </c>
      <c r="AT156" s="637">
        <f t="shared" si="127"/>
        <v>0</v>
      </c>
      <c r="AU156" s="638">
        <f t="shared" si="150"/>
        <v>121.40648</v>
      </c>
      <c r="AV156" s="616">
        <f t="shared" si="151"/>
        <v>45.3856</v>
      </c>
      <c r="AW156" s="616">
        <f t="shared" si="152"/>
        <v>22.6928</v>
      </c>
      <c r="AX156" s="616">
        <f t="shared" si="153"/>
        <v>17.0196</v>
      </c>
      <c r="AY156" s="616">
        <f t="shared" si="154"/>
        <v>0.56732</v>
      </c>
      <c r="AZ156" s="616">
        <f t="shared" si="155"/>
        <v>1.70196</v>
      </c>
      <c r="BA156" s="616">
        <f t="shared" si="156"/>
        <v>34.0392</v>
      </c>
      <c r="BB156" s="616"/>
      <c r="BC156" s="615">
        <f t="shared" si="128"/>
        <v>8.73548</v>
      </c>
      <c r="BD156" s="616">
        <f t="shared" si="129"/>
        <v>3.2656</v>
      </c>
      <c r="BE156" s="616">
        <f t="shared" si="130"/>
        <v>1.6328</v>
      </c>
      <c r="BF156" s="616">
        <f t="shared" si="131"/>
        <v>1.2246</v>
      </c>
      <c r="BG156" s="616">
        <f t="shared" si="132"/>
        <v>0.04082</v>
      </c>
      <c r="BH156" s="616">
        <f t="shared" si="133"/>
        <v>0.12246</v>
      </c>
      <c r="BI156" s="616">
        <f t="shared" si="134"/>
        <v>2.4492</v>
      </c>
      <c r="BJ156" s="616"/>
      <c r="BK156" s="615">
        <f t="shared" si="135"/>
        <v>130.14196</v>
      </c>
      <c r="BL156" s="616">
        <f t="shared" si="136"/>
        <v>48.6512</v>
      </c>
      <c r="BM156" s="616">
        <f t="shared" si="137"/>
        <v>24.3256</v>
      </c>
      <c r="BN156" s="616">
        <f t="shared" si="138"/>
        <v>18.2442</v>
      </c>
      <c r="BO156" s="616">
        <f t="shared" si="139"/>
        <v>0.60814</v>
      </c>
      <c r="BP156" s="616">
        <f t="shared" si="140"/>
        <v>1.82442</v>
      </c>
      <c r="BQ156" s="616">
        <f t="shared" si="141"/>
        <v>36.4884</v>
      </c>
      <c r="BR156" s="616">
        <f t="shared" si="142"/>
        <v>0</v>
      </c>
      <c r="BS156" s="304" t="s">
        <v>667</v>
      </c>
    </row>
    <row r="157" s="132" customFormat="1" ht="24" spans="1:71">
      <c r="A157" s="497" t="s">
        <v>202</v>
      </c>
      <c r="B157" s="497" t="s">
        <v>206</v>
      </c>
      <c r="C157" s="497" t="s">
        <v>418</v>
      </c>
      <c r="D157" s="497" t="s">
        <v>419</v>
      </c>
      <c r="E157" s="615">
        <f t="shared" si="147"/>
        <v>111.31</v>
      </c>
      <c r="F157" s="615">
        <f t="shared" si="148"/>
        <v>98.68</v>
      </c>
      <c r="G157" s="616">
        <v>77.49</v>
      </c>
      <c r="H157" s="616">
        <v>0.13</v>
      </c>
      <c r="I157" s="616">
        <v>21.06</v>
      </c>
      <c r="J157" s="616"/>
      <c r="K157" s="616"/>
      <c r="L157" s="616"/>
      <c r="M157" s="615">
        <f t="shared" si="149"/>
        <v>12.63</v>
      </c>
      <c r="N157" s="616">
        <v>12.63</v>
      </c>
      <c r="O157" s="616"/>
      <c r="P157" s="616"/>
      <c r="Q157" s="616"/>
      <c r="R157" s="616"/>
      <c r="S157" s="615">
        <f t="shared" si="111"/>
        <v>1.5</v>
      </c>
      <c r="T157" s="615">
        <f t="shared" si="112"/>
        <v>0.95</v>
      </c>
      <c r="U157" s="616">
        <v>0.95</v>
      </c>
      <c r="V157" s="616"/>
      <c r="W157" s="616"/>
      <c r="X157" s="616"/>
      <c r="Y157" s="616"/>
      <c r="Z157" s="616"/>
      <c r="AA157" s="615">
        <f t="shared" si="113"/>
        <v>0.55</v>
      </c>
      <c r="AB157" s="616">
        <v>0.03</v>
      </c>
      <c r="AC157" s="616"/>
      <c r="AD157" s="616"/>
      <c r="AE157" s="616">
        <v>0.52</v>
      </c>
      <c r="AF157" s="616"/>
      <c r="AG157" s="615">
        <f t="shared" si="114"/>
        <v>112.81</v>
      </c>
      <c r="AH157" s="615">
        <f t="shared" si="115"/>
        <v>99.63</v>
      </c>
      <c r="AI157" s="616">
        <f t="shared" si="116"/>
        <v>78.44</v>
      </c>
      <c r="AJ157" s="616">
        <f t="shared" si="117"/>
        <v>0.13</v>
      </c>
      <c r="AK157" s="616">
        <f t="shared" si="118"/>
        <v>21.06</v>
      </c>
      <c r="AL157" s="616">
        <f t="shared" si="119"/>
        <v>0</v>
      </c>
      <c r="AM157" s="616">
        <f t="shared" si="120"/>
        <v>0</v>
      </c>
      <c r="AN157" s="616">
        <f t="shared" si="121"/>
        <v>0</v>
      </c>
      <c r="AO157" s="615">
        <f t="shared" si="122"/>
        <v>13.18</v>
      </c>
      <c r="AP157" s="616">
        <f t="shared" si="123"/>
        <v>12.66</v>
      </c>
      <c r="AQ157" s="616">
        <f t="shared" si="124"/>
        <v>0</v>
      </c>
      <c r="AR157" s="616">
        <f t="shared" si="125"/>
        <v>0</v>
      </c>
      <c r="AS157" s="616">
        <f t="shared" si="126"/>
        <v>0.52</v>
      </c>
      <c r="AT157" s="637">
        <f t="shared" si="127"/>
        <v>0</v>
      </c>
      <c r="AU157" s="638">
        <f t="shared" si="150"/>
        <v>47.64068</v>
      </c>
      <c r="AV157" s="616">
        <f t="shared" si="151"/>
        <v>17.8096</v>
      </c>
      <c r="AW157" s="616">
        <f t="shared" si="152"/>
        <v>8.9048</v>
      </c>
      <c r="AX157" s="616">
        <f t="shared" si="153"/>
        <v>6.6786</v>
      </c>
      <c r="AY157" s="616">
        <f t="shared" si="154"/>
        <v>0.22262</v>
      </c>
      <c r="AZ157" s="616">
        <f t="shared" si="155"/>
        <v>0.66786</v>
      </c>
      <c r="BA157" s="616">
        <f t="shared" si="156"/>
        <v>13.3572</v>
      </c>
      <c r="BB157" s="616"/>
      <c r="BC157" s="615">
        <f t="shared" si="128"/>
        <v>0.41944</v>
      </c>
      <c r="BD157" s="616">
        <f t="shared" si="129"/>
        <v>0.1568</v>
      </c>
      <c r="BE157" s="616">
        <f t="shared" si="130"/>
        <v>0.0784</v>
      </c>
      <c r="BF157" s="616">
        <f t="shared" si="131"/>
        <v>0.0588</v>
      </c>
      <c r="BG157" s="616">
        <f t="shared" si="132"/>
        <v>0.00196</v>
      </c>
      <c r="BH157" s="616">
        <f t="shared" si="133"/>
        <v>0.00588</v>
      </c>
      <c r="BI157" s="616">
        <f t="shared" si="134"/>
        <v>0.1176</v>
      </c>
      <c r="BJ157" s="616"/>
      <c r="BK157" s="615">
        <f t="shared" si="135"/>
        <v>48.06012</v>
      </c>
      <c r="BL157" s="616">
        <f t="shared" si="136"/>
        <v>17.9664</v>
      </c>
      <c r="BM157" s="616">
        <f t="shared" si="137"/>
        <v>8.9832</v>
      </c>
      <c r="BN157" s="616">
        <f t="shared" si="138"/>
        <v>6.7374</v>
      </c>
      <c r="BO157" s="616">
        <f t="shared" si="139"/>
        <v>0.22458</v>
      </c>
      <c r="BP157" s="616">
        <f t="shared" si="140"/>
        <v>0.67374</v>
      </c>
      <c r="BQ157" s="616">
        <f t="shared" si="141"/>
        <v>13.4748</v>
      </c>
      <c r="BR157" s="616">
        <f t="shared" si="142"/>
        <v>0</v>
      </c>
      <c r="BS157" s="304" t="s">
        <v>668</v>
      </c>
    </row>
    <row r="158" s="132" customFormat="1" ht="24" spans="1:71">
      <c r="A158" s="497" t="s">
        <v>202</v>
      </c>
      <c r="B158" s="497" t="s">
        <v>404</v>
      </c>
      <c r="C158" s="497" t="s">
        <v>420</v>
      </c>
      <c r="D158" s="497" t="s">
        <v>416</v>
      </c>
      <c r="E158" s="615">
        <f t="shared" si="147"/>
        <v>264.49</v>
      </c>
      <c r="F158" s="615">
        <f t="shared" si="148"/>
        <v>235.33</v>
      </c>
      <c r="G158" s="616">
        <v>172.99</v>
      </c>
      <c r="H158" s="616">
        <v>0.3</v>
      </c>
      <c r="I158" s="616">
        <v>48.6</v>
      </c>
      <c r="J158" s="616">
        <v>13.44</v>
      </c>
      <c r="K158" s="616"/>
      <c r="L158" s="616"/>
      <c r="M158" s="615">
        <f t="shared" si="149"/>
        <v>29.16</v>
      </c>
      <c r="N158" s="616">
        <v>29.16</v>
      </c>
      <c r="O158" s="616"/>
      <c r="P158" s="616"/>
      <c r="Q158" s="616"/>
      <c r="R158" s="616"/>
      <c r="S158" s="615">
        <f t="shared" si="111"/>
        <v>-1.2</v>
      </c>
      <c r="T158" s="615">
        <f t="shared" si="112"/>
        <v>-4.26</v>
      </c>
      <c r="U158" s="616">
        <v>-3.58</v>
      </c>
      <c r="V158" s="616"/>
      <c r="W158" s="616"/>
      <c r="X158" s="616">
        <v>-0.68</v>
      </c>
      <c r="Y158" s="616"/>
      <c r="Z158" s="616"/>
      <c r="AA158" s="615">
        <f t="shared" si="113"/>
        <v>3.06</v>
      </c>
      <c r="AB158" s="616">
        <v>-0.71</v>
      </c>
      <c r="AC158" s="616"/>
      <c r="AD158" s="616"/>
      <c r="AE158" s="618">
        <f>0.77+3</f>
        <v>3.77</v>
      </c>
      <c r="AF158" s="616"/>
      <c r="AG158" s="615">
        <f t="shared" si="114"/>
        <v>263.29</v>
      </c>
      <c r="AH158" s="615">
        <f t="shared" si="115"/>
        <v>231.07</v>
      </c>
      <c r="AI158" s="616">
        <f t="shared" si="116"/>
        <v>169.41</v>
      </c>
      <c r="AJ158" s="616">
        <f t="shared" si="117"/>
        <v>0.3</v>
      </c>
      <c r="AK158" s="616">
        <f t="shared" si="118"/>
        <v>48.6</v>
      </c>
      <c r="AL158" s="616">
        <f t="shared" si="119"/>
        <v>12.76</v>
      </c>
      <c r="AM158" s="616">
        <f t="shared" si="120"/>
        <v>0</v>
      </c>
      <c r="AN158" s="616">
        <f t="shared" si="121"/>
        <v>0</v>
      </c>
      <c r="AO158" s="615">
        <f t="shared" si="122"/>
        <v>32.22</v>
      </c>
      <c r="AP158" s="616">
        <f t="shared" si="123"/>
        <v>28.45</v>
      </c>
      <c r="AQ158" s="616">
        <f t="shared" si="124"/>
        <v>0</v>
      </c>
      <c r="AR158" s="616">
        <f t="shared" si="125"/>
        <v>0</v>
      </c>
      <c r="AS158" s="616">
        <f t="shared" si="126"/>
        <v>3.77</v>
      </c>
      <c r="AT158" s="637">
        <f t="shared" si="127"/>
        <v>0</v>
      </c>
      <c r="AU158" s="638">
        <f t="shared" si="150"/>
        <v>107.4494</v>
      </c>
      <c r="AV158" s="616">
        <f t="shared" si="151"/>
        <v>40.168</v>
      </c>
      <c r="AW158" s="616">
        <f t="shared" si="152"/>
        <v>20.084</v>
      </c>
      <c r="AX158" s="616">
        <f t="shared" si="153"/>
        <v>15.063</v>
      </c>
      <c r="AY158" s="616">
        <f t="shared" si="154"/>
        <v>0.5021</v>
      </c>
      <c r="AZ158" s="616">
        <f t="shared" si="155"/>
        <v>1.5063</v>
      </c>
      <c r="BA158" s="616">
        <f t="shared" si="156"/>
        <v>30.126</v>
      </c>
      <c r="BB158" s="616"/>
      <c r="BC158" s="615">
        <f t="shared" si="128"/>
        <v>-1.83612</v>
      </c>
      <c r="BD158" s="616">
        <f t="shared" si="129"/>
        <v>-0.6864</v>
      </c>
      <c r="BE158" s="616">
        <f t="shared" si="130"/>
        <v>-0.3432</v>
      </c>
      <c r="BF158" s="616">
        <f t="shared" si="131"/>
        <v>-0.2574</v>
      </c>
      <c r="BG158" s="616">
        <f t="shared" si="132"/>
        <v>-0.00858</v>
      </c>
      <c r="BH158" s="616">
        <f t="shared" si="133"/>
        <v>-0.02574</v>
      </c>
      <c r="BI158" s="616">
        <f t="shared" si="134"/>
        <v>-0.5148</v>
      </c>
      <c r="BJ158" s="616"/>
      <c r="BK158" s="615">
        <f t="shared" si="135"/>
        <v>105.61328</v>
      </c>
      <c r="BL158" s="616">
        <f t="shared" si="136"/>
        <v>39.4816</v>
      </c>
      <c r="BM158" s="616">
        <f t="shared" si="137"/>
        <v>19.7408</v>
      </c>
      <c r="BN158" s="616">
        <f t="shared" si="138"/>
        <v>14.8056</v>
      </c>
      <c r="BO158" s="616">
        <f t="shared" si="139"/>
        <v>0.49352</v>
      </c>
      <c r="BP158" s="616">
        <f t="shared" si="140"/>
        <v>1.48056</v>
      </c>
      <c r="BQ158" s="616">
        <f t="shared" si="141"/>
        <v>29.6112</v>
      </c>
      <c r="BR158" s="616">
        <f t="shared" si="142"/>
        <v>0</v>
      </c>
      <c r="BS158" s="304" t="s">
        <v>669</v>
      </c>
    </row>
    <row r="159" s="132" customFormat="1" ht="24" spans="1:71">
      <c r="A159" s="497" t="s">
        <v>202</v>
      </c>
      <c r="B159" s="497" t="s">
        <v>404</v>
      </c>
      <c r="C159" s="497" t="s">
        <v>421</v>
      </c>
      <c r="D159" s="497" t="s">
        <v>406</v>
      </c>
      <c r="E159" s="615">
        <f t="shared" si="147"/>
        <v>204.894</v>
      </c>
      <c r="F159" s="615">
        <f t="shared" si="148"/>
        <v>180.744</v>
      </c>
      <c r="G159" s="616">
        <v>128.79</v>
      </c>
      <c r="H159" s="616">
        <v>0.174</v>
      </c>
      <c r="I159" s="616">
        <v>40.26</v>
      </c>
      <c r="J159" s="616">
        <v>11.52</v>
      </c>
      <c r="K159" s="616"/>
      <c r="L159" s="616"/>
      <c r="M159" s="615">
        <f t="shared" si="149"/>
        <v>24.15</v>
      </c>
      <c r="N159" s="616">
        <v>24.15</v>
      </c>
      <c r="O159" s="616"/>
      <c r="P159" s="616"/>
      <c r="Q159" s="650"/>
      <c r="R159" s="616"/>
      <c r="S159" s="615">
        <f t="shared" si="111"/>
        <v>-5.96</v>
      </c>
      <c r="T159" s="615">
        <f t="shared" si="112"/>
        <v>-11.44</v>
      </c>
      <c r="U159" s="616">
        <v>-11.24</v>
      </c>
      <c r="V159" s="616"/>
      <c r="W159" s="616"/>
      <c r="X159" s="616">
        <v>-0.2</v>
      </c>
      <c r="Y159" s="616"/>
      <c r="Z159" s="616"/>
      <c r="AA159" s="615">
        <f t="shared" si="113"/>
        <v>5.48</v>
      </c>
      <c r="AB159" s="616">
        <v>-1.06</v>
      </c>
      <c r="AC159" s="616"/>
      <c r="AD159" s="616"/>
      <c r="AE159" s="618">
        <f>0.15+1.35+5.04</f>
        <v>6.54</v>
      </c>
      <c r="AF159" s="616"/>
      <c r="AG159" s="615">
        <f t="shared" si="114"/>
        <v>198.934</v>
      </c>
      <c r="AH159" s="615">
        <f t="shared" si="115"/>
        <v>169.304</v>
      </c>
      <c r="AI159" s="616">
        <f t="shared" si="116"/>
        <v>117.55</v>
      </c>
      <c r="AJ159" s="616">
        <f t="shared" si="117"/>
        <v>0.174</v>
      </c>
      <c r="AK159" s="616">
        <f t="shared" si="118"/>
        <v>40.26</v>
      </c>
      <c r="AL159" s="616">
        <f t="shared" si="119"/>
        <v>11.32</v>
      </c>
      <c r="AM159" s="616">
        <f t="shared" si="120"/>
        <v>0</v>
      </c>
      <c r="AN159" s="616">
        <f t="shared" si="121"/>
        <v>0</v>
      </c>
      <c r="AO159" s="615">
        <f t="shared" si="122"/>
        <v>29.63</v>
      </c>
      <c r="AP159" s="616">
        <f t="shared" si="123"/>
        <v>23.09</v>
      </c>
      <c r="AQ159" s="616">
        <f t="shared" si="124"/>
        <v>0</v>
      </c>
      <c r="AR159" s="616">
        <f t="shared" si="125"/>
        <v>0</v>
      </c>
      <c r="AS159" s="616">
        <f t="shared" si="126"/>
        <v>6.54</v>
      </c>
      <c r="AT159" s="637">
        <f t="shared" si="127"/>
        <v>0</v>
      </c>
      <c r="AU159" s="638">
        <f t="shared" si="150"/>
        <v>82.764072</v>
      </c>
      <c r="AV159" s="616">
        <f t="shared" si="151"/>
        <v>30.93984</v>
      </c>
      <c r="AW159" s="616">
        <f t="shared" si="152"/>
        <v>15.46992</v>
      </c>
      <c r="AX159" s="616">
        <f t="shared" si="153"/>
        <v>11.60244</v>
      </c>
      <c r="AY159" s="616">
        <f t="shared" si="154"/>
        <v>0.386748</v>
      </c>
      <c r="AZ159" s="616">
        <f t="shared" si="155"/>
        <v>1.160244</v>
      </c>
      <c r="BA159" s="616">
        <f t="shared" si="156"/>
        <v>23.20488</v>
      </c>
      <c r="BB159" s="616"/>
      <c r="BC159" s="615">
        <f t="shared" si="128"/>
        <v>-5.2644</v>
      </c>
      <c r="BD159" s="616">
        <f t="shared" si="129"/>
        <v>-1.968</v>
      </c>
      <c r="BE159" s="616">
        <f t="shared" si="130"/>
        <v>-0.984</v>
      </c>
      <c r="BF159" s="616">
        <f t="shared" si="131"/>
        <v>-0.738</v>
      </c>
      <c r="BG159" s="616">
        <f t="shared" si="132"/>
        <v>-0.0246</v>
      </c>
      <c r="BH159" s="616">
        <f t="shared" si="133"/>
        <v>-0.0738</v>
      </c>
      <c r="BI159" s="616">
        <f t="shared" si="134"/>
        <v>-1.476</v>
      </c>
      <c r="BJ159" s="616"/>
      <c r="BK159" s="615">
        <f t="shared" si="135"/>
        <v>77.499672</v>
      </c>
      <c r="BL159" s="616">
        <f t="shared" si="136"/>
        <v>28.97184</v>
      </c>
      <c r="BM159" s="616">
        <f t="shared" si="137"/>
        <v>14.48592</v>
      </c>
      <c r="BN159" s="616">
        <f t="shared" si="138"/>
        <v>10.86444</v>
      </c>
      <c r="BO159" s="616">
        <f t="shared" si="139"/>
        <v>0.362148</v>
      </c>
      <c r="BP159" s="616">
        <f t="shared" si="140"/>
        <v>1.086444</v>
      </c>
      <c r="BQ159" s="616">
        <f t="shared" si="141"/>
        <v>21.72888</v>
      </c>
      <c r="BR159" s="616">
        <f t="shared" si="142"/>
        <v>0</v>
      </c>
      <c r="BS159" s="304" t="s">
        <v>670</v>
      </c>
    </row>
    <row r="160" s="132" customFormat="1" ht="24" spans="1:71">
      <c r="A160" s="497" t="s">
        <v>202</v>
      </c>
      <c r="B160" s="497" t="s">
        <v>404</v>
      </c>
      <c r="C160" s="497" t="s">
        <v>422</v>
      </c>
      <c r="D160" s="497" t="s">
        <v>416</v>
      </c>
      <c r="E160" s="615">
        <f t="shared" si="147"/>
        <v>326.84</v>
      </c>
      <c r="F160" s="615">
        <f t="shared" si="148"/>
        <v>290.37</v>
      </c>
      <c r="G160" s="616">
        <v>216.59</v>
      </c>
      <c r="H160" s="616">
        <v>0.4</v>
      </c>
      <c r="I160" s="616">
        <v>60.78</v>
      </c>
      <c r="J160" s="616">
        <v>12.6</v>
      </c>
      <c r="K160" s="616"/>
      <c r="L160" s="616"/>
      <c r="M160" s="615">
        <f t="shared" si="149"/>
        <v>36.47</v>
      </c>
      <c r="N160" s="616">
        <v>36.47</v>
      </c>
      <c r="O160" s="616"/>
      <c r="P160" s="616"/>
      <c r="Q160" s="616"/>
      <c r="R160" s="616"/>
      <c r="S160" s="615">
        <f t="shared" si="111"/>
        <v>-11.1</v>
      </c>
      <c r="T160" s="615">
        <f t="shared" si="112"/>
        <v>-13.97</v>
      </c>
      <c r="U160" s="616">
        <v>-13.13</v>
      </c>
      <c r="V160" s="616"/>
      <c r="W160" s="616"/>
      <c r="X160" s="616">
        <v>-0.84</v>
      </c>
      <c r="Y160" s="616"/>
      <c r="Z160" s="616"/>
      <c r="AA160" s="615">
        <f t="shared" si="113"/>
        <v>2.87</v>
      </c>
      <c r="AB160" s="616">
        <v>-1.81</v>
      </c>
      <c r="AC160" s="616"/>
      <c r="AD160" s="616"/>
      <c r="AE160" s="618">
        <f>3+1.68</f>
        <v>4.68</v>
      </c>
      <c r="AF160" s="616"/>
      <c r="AG160" s="615">
        <f t="shared" si="114"/>
        <v>315.74</v>
      </c>
      <c r="AH160" s="615">
        <f t="shared" si="115"/>
        <v>276.4</v>
      </c>
      <c r="AI160" s="616">
        <f t="shared" si="116"/>
        <v>203.46</v>
      </c>
      <c r="AJ160" s="616">
        <f t="shared" si="117"/>
        <v>0.4</v>
      </c>
      <c r="AK160" s="616">
        <f t="shared" si="118"/>
        <v>60.78</v>
      </c>
      <c r="AL160" s="616">
        <f t="shared" si="119"/>
        <v>11.76</v>
      </c>
      <c r="AM160" s="616">
        <f t="shared" si="120"/>
        <v>0</v>
      </c>
      <c r="AN160" s="616">
        <f t="shared" si="121"/>
        <v>0</v>
      </c>
      <c r="AO160" s="615">
        <f t="shared" si="122"/>
        <v>39.34</v>
      </c>
      <c r="AP160" s="616">
        <f t="shared" si="123"/>
        <v>34.66</v>
      </c>
      <c r="AQ160" s="616">
        <f t="shared" si="124"/>
        <v>0</v>
      </c>
      <c r="AR160" s="616">
        <f t="shared" si="125"/>
        <v>0</v>
      </c>
      <c r="AS160" s="616">
        <f t="shared" si="126"/>
        <v>4.68</v>
      </c>
      <c r="AT160" s="637">
        <f t="shared" si="127"/>
        <v>0</v>
      </c>
      <c r="AU160" s="638">
        <f t="shared" si="150"/>
        <v>134.49472</v>
      </c>
      <c r="AV160" s="616">
        <f t="shared" si="151"/>
        <v>50.2784</v>
      </c>
      <c r="AW160" s="616">
        <f t="shared" si="152"/>
        <v>25.1392</v>
      </c>
      <c r="AX160" s="616">
        <f t="shared" si="153"/>
        <v>18.8544</v>
      </c>
      <c r="AY160" s="616">
        <f t="shared" si="154"/>
        <v>0.62848</v>
      </c>
      <c r="AZ160" s="616">
        <f t="shared" si="155"/>
        <v>1.88544</v>
      </c>
      <c r="BA160" s="616">
        <f t="shared" si="156"/>
        <v>37.7088</v>
      </c>
      <c r="BB160" s="616"/>
      <c r="BC160" s="615">
        <f t="shared" si="128"/>
        <v>-6.39432</v>
      </c>
      <c r="BD160" s="616">
        <f t="shared" si="129"/>
        <v>-2.3904</v>
      </c>
      <c r="BE160" s="616">
        <f t="shared" si="130"/>
        <v>-1.1952</v>
      </c>
      <c r="BF160" s="616">
        <f t="shared" si="131"/>
        <v>-0.8964</v>
      </c>
      <c r="BG160" s="616">
        <f t="shared" si="132"/>
        <v>-0.02988</v>
      </c>
      <c r="BH160" s="616">
        <f t="shared" si="133"/>
        <v>-0.08964</v>
      </c>
      <c r="BI160" s="616">
        <f t="shared" si="134"/>
        <v>-1.7928</v>
      </c>
      <c r="BJ160" s="616"/>
      <c r="BK160" s="615">
        <f t="shared" si="135"/>
        <v>128.1004</v>
      </c>
      <c r="BL160" s="616">
        <f t="shared" si="136"/>
        <v>47.888</v>
      </c>
      <c r="BM160" s="616">
        <f t="shared" si="137"/>
        <v>23.944</v>
      </c>
      <c r="BN160" s="616">
        <f t="shared" si="138"/>
        <v>17.958</v>
      </c>
      <c r="BO160" s="616">
        <f t="shared" si="139"/>
        <v>0.5986</v>
      </c>
      <c r="BP160" s="616">
        <f t="shared" si="140"/>
        <v>1.7958</v>
      </c>
      <c r="BQ160" s="616">
        <f t="shared" si="141"/>
        <v>35.916</v>
      </c>
      <c r="BR160" s="616">
        <f t="shared" si="142"/>
        <v>0</v>
      </c>
      <c r="BS160" s="304" t="s">
        <v>671</v>
      </c>
    </row>
    <row r="161" s="132" customFormat="1" ht="24" spans="1:71">
      <c r="A161" s="497" t="s">
        <v>202</v>
      </c>
      <c r="B161" s="497" t="s">
        <v>404</v>
      </c>
      <c r="C161" s="497" t="s">
        <v>423</v>
      </c>
      <c r="D161" s="497" t="s">
        <v>416</v>
      </c>
      <c r="E161" s="615">
        <f t="shared" si="147"/>
        <v>222.86</v>
      </c>
      <c r="F161" s="615">
        <f t="shared" si="148"/>
        <v>195.6</v>
      </c>
      <c r="G161" s="616">
        <v>136.56</v>
      </c>
      <c r="H161" s="616">
        <v>0.17</v>
      </c>
      <c r="I161" s="616">
        <v>45.43</v>
      </c>
      <c r="J161" s="616">
        <v>13.44</v>
      </c>
      <c r="K161" s="616"/>
      <c r="L161" s="616"/>
      <c r="M161" s="615">
        <f t="shared" si="149"/>
        <v>27.26</v>
      </c>
      <c r="N161" s="616">
        <v>27.26</v>
      </c>
      <c r="O161" s="616"/>
      <c r="P161" s="616"/>
      <c r="Q161" s="616"/>
      <c r="R161" s="616"/>
      <c r="S161" s="615">
        <f t="shared" si="111"/>
        <v>-7.03</v>
      </c>
      <c r="T161" s="615">
        <f t="shared" si="112"/>
        <v>-11.76</v>
      </c>
      <c r="U161" s="616">
        <v>-11.44</v>
      </c>
      <c r="V161" s="616"/>
      <c r="W161" s="616"/>
      <c r="X161" s="616">
        <v>-0.32</v>
      </c>
      <c r="Y161" s="616"/>
      <c r="Z161" s="616"/>
      <c r="AA161" s="615">
        <f t="shared" si="113"/>
        <v>4.73</v>
      </c>
      <c r="AB161" s="616">
        <v>-1.89</v>
      </c>
      <c r="AC161" s="616"/>
      <c r="AD161" s="616"/>
      <c r="AE161" s="618">
        <f>4.5+2.12</f>
        <v>6.62</v>
      </c>
      <c r="AF161" s="616"/>
      <c r="AG161" s="615">
        <f t="shared" si="114"/>
        <v>215.83</v>
      </c>
      <c r="AH161" s="615">
        <f t="shared" si="115"/>
        <v>183.84</v>
      </c>
      <c r="AI161" s="616">
        <f t="shared" si="116"/>
        <v>125.12</v>
      </c>
      <c r="AJ161" s="616">
        <f t="shared" si="117"/>
        <v>0.17</v>
      </c>
      <c r="AK161" s="616">
        <f t="shared" si="118"/>
        <v>45.43</v>
      </c>
      <c r="AL161" s="616">
        <f t="shared" si="119"/>
        <v>13.12</v>
      </c>
      <c r="AM161" s="616">
        <f t="shared" si="120"/>
        <v>0</v>
      </c>
      <c r="AN161" s="616">
        <f t="shared" si="121"/>
        <v>0</v>
      </c>
      <c r="AO161" s="615">
        <f t="shared" si="122"/>
        <v>31.99</v>
      </c>
      <c r="AP161" s="616">
        <f t="shared" si="123"/>
        <v>25.37</v>
      </c>
      <c r="AQ161" s="616">
        <f t="shared" si="124"/>
        <v>0</v>
      </c>
      <c r="AR161" s="616">
        <f t="shared" si="125"/>
        <v>0</v>
      </c>
      <c r="AS161" s="616">
        <f t="shared" si="126"/>
        <v>6.62</v>
      </c>
      <c r="AT161" s="637">
        <f t="shared" si="127"/>
        <v>0</v>
      </c>
      <c r="AU161" s="638">
        <f t="shared" si="150"/>
        <v>89.63176</v>
      </c>
      <c r="AV161" s="616">
        <f t="shared" si="151"/>
        <v>33.5072</v>
      </c>
      <c r="AW161" s="616">
        <f t="shared" si="152"/>
        <v>16.7536</v>
      </c>
      <c r="AX161" s="616">
        <f t="shared" si="153"/>
        <v>12.5652</v>
      </c>
      <c r="AY161" s="616">
        <f t="shared" si="154"/>
        <v>0.41884</v>
      </c>
      <c r="AZ161" s="616">
        <f t="shared" si="155"/>
        <v>1.25652</v>
      </c>
      <c r="BA161" s="616">
        <f t="shared" si="156"/>
        <v>25.1304</v>
      </c>
      <c r="BB161" s="616"/>
      <c r="BC161" s="615">
        <f t="shared" si="128"/>
        <v>-5.70524</v>
      </c>
      <c r="BD161" s="616">
        <f t="shared" si="129"/>
        <v>-2.1328</v>
      </c>
      <c r="BE161" s="616">
        <f t="shared" si="130"/>
        <v>-1.0664</v>
      </c>
      <c r="BF161" s="616">
        <f t="shared" si="131"/>
        <v>-0.7998</v>
      </c>
      <c r="BG161" s="616">
        <f t="shared" si="132"/>
        <v>-0.02666</v>
      </c>
      <c r="BH161" s="616">
        <f t="shared" si="133"/>
        <v>-0.07998</v>
      </c>
      <c r="BI161" s="616">
        <f t="shared" si="134"/>
        <v>-1.5996</v>
      </c>
      <c r="BJ161" s="616"/>
      <c r="BK161" s="615">
        <f t="shared" si="135"/>
        <v>83.92652</v>
      </c>
      <c r="BL161" s="616">
        <f t="shared" si="136"/>
        <v>31.3744</v>
      </c>
      <c r="BM161" s="616">
        <f t="shared" si="137"/>
        <v>15.6872</v>
      </c>
      <c r="BN161" s="616">
        <f t="shared" si="138"/>
        <v>11.7654</v>
      </c>
      <c r="BO161" s="616">
        <f t="shared" si="139"/>
        <v>0.39218</v>
      </c>
      <c r="BP161" s="616">
        <f t="shared" si="140"/>
        <v>1.17654</v>
      </c>
      <c r="BQ161" s="616">
        <f t="shared" si="141"/>
        <v>23.5308</v>
      </c>
      <c r="BR161" s="616">
        <f t="shared" si="142"/>
        <v>0</v>
      </c>
      <c r="BS161" s="304" t="s">
        <v>672</v>
      </c>
    </row>
    <row r="162" s="132" customFormat="1" ht="24" spans="1:71">
      <c r="A162" s="497" t="s">
        <v>202</v>
      </c>
      <c r="B162" s="497" t="s">
        <v>404</v>
      </c>
      <c r="C162" s="497" t="s">
        <v>424</v>
      </c>
      <c r="D162" s="497" t="s">
        <v>406</v>
      </c>
      <c r="E162" s="615">
        <f t="shared" si="147"/>
        <v>185.29</v>
      </c>
      <c r="F162" s="615">
        <f t="shared" si="148"/>
        <v>163.22</v>
      </c>
      <c r="G162" s="616">
        <v>115.74</v>
      </c>
      <c r="H162" s="616">
        <v>0.14</v>
      </c>
      <c r="I162" s="616">
        <v>36.78</v>
      </c>
      <c r="J162" s="616">
        <v>10.56</v>
      </c>
      <c r="K162" s="616"/>
      <c r="L162" s="616"/>
      <c r="M162" s="615">
        <f t="shared" si="149"/>
        <v>22.07</v>
      </c>
      <c r="N162" s="616">
        <v>22.07</v>
      </c>
      <c r="O162" s="616"/>
      <c r="P162" s="616"/>
      <c r="Q162" s="616"/>
      <c r="R162" s="616"/>
      <c r="S162" s="615">
        <f t="shared" si="111"/>
        <v>-4.2</v>
      </c>
      <c r="T162" s="615">
        <f t="shared" si="112"/>
        <v>-7.75</v>
      </c>
      <c r="U162" s="616">
        <v>-7.67</v>
      </c>
      <c r="V162" s="616"/>
      <c r="W162" s="616"/>
      <c r="X162" s="616">
        <v>-0.08</v>
      </c>
      <c r="Y162" s="616"/>
      <c r="Z162" s="616"/>
      <c r="AA162" s="615">
        <f t="shared" si="113"/>
        <v>3.55</v>
      </c>
      <c r="AB162" s="616">
        <v>-0.99</v>
      </c>
      <c r="AC162" s="616"/>
      <c r="AD162" s="616"/>
      <c r="AE162" s="618">
        <f>0.6+0.2+3.74</f>
        <v>4.54</v>
      </c>
      <c r="AF162" s="616"/>
      <c r="AG162" s="615">
        <f t="shared" si="114"/>
        <v>181.09</v>
      </c>
      <c r="AH162" s="615">
        <f t="shared" si="115"/>
        <v>155.47</v>
      </c>
      <c r="AI162" s="616">
        <f t="shared" si="116"/>
        <v>108.07</v>
      </c>
      <c r="AJ162" s="616">
        <f t="shared" si="117"/>
        <v>0.14</v>
      </c>
      <c r="AK162" s="616">
        <f t="shared" si="118"/>
        <v>36.78</v>
      </c>
      <c r="AL162" s="616">
        <f t="shared" si="119"/>
        <v>10.48</v>
      </c>
      <c r="AM162" s="616">
        <f t="shared" si="120"/>
        <v>0</v>
      </c>
      <c r="AN162" s="616">
        <f t="shared" si="121"/>
        <v>0</v>
      </c>
      <c r="AO162" s="615">
        <f t="shared" si="122"/>
        <v>25.62</v>
      </c>
      <c r="AP162" s="616">
        <f t="shared" si="123"/>
        <v>21.08</v>
      </c>
      <c r="AQ162" s="616">
        <f t="shared" si="124"/>
        <v>0</v>
      </c>
      <c r="AR162" s="616">
        <f t="shared" si="125"/>
        <v>0</v>
      </c>
      <c r="AS162" s="616">
        <f t="shared" si="126"/>
        <v>4.54</v>
      </c>
      <c r="AT162" s="637">
        <f t="shared" si="127"/>
        <v>0</v>
      </c>
      <c r="AU162" s="638">
        <f t="shared" si="150"/>
        <v>74.78444</v>
      </c>
      <c r="AV162" s="616">
        <f t="shared" si="151"/>
        <v>27.9568</v>
      </c>
      <c r="AW162" s="616">
        <f t="shared" si="152"/>
        <v>13.9784</v>
      </c>
      <c r="AX162" s="616">
        <f t="shared" si="153"/>
        <v>10.4838</v>
      </c>
      <c r="AY162" s="616">
        <f t="shared" si="154"/>
        <v>0.34946</v>
      </c>
      <c r="AZ162" s="616">
        <f t="shared" si="155"/>
        <v>1.04838</v>
      </c>
      <c r="BA162" s="616">
        <f t="shared" si="156"/>
        <v>20.9676</v>
      </c>
      <c r="BB162" s="616"/>
      <c r="BC162" s="615">
        <f t="shared" si="128"/>
        <v>-3.70648</v>
      </c>
      <c r="BD162" s="616">
        <f t="shared" si="129"/>
        <v>-1.3856</v>
      </c>
      <c r="BE162" s="616">
        <f t="shared" si="130"/>
        <v>-0.6928</v>
      </c>
      <c r="BF162" s="616">
        <f t="shared" si="131"/>
        <v>-0.5196</v>
      </c>
      <c r="BG162" s="616">
        <f t="shared" si="132"/>
        <v>-0.01732</v>
      </c>
      <c r="BH162" s="616">
        <f t="shared" si="133"/>
        <v>-0.05196</v>
      </c>
      <c r="BI162" s="616">
        <f t="shared" si="134"/>
        <v>-1.0392</v>
      </c>
      <c r="BJ162" s="616"/>
      <c r="BK162" s="615">
        <f t="shared" si="135"/>
        <v>71.07796</v>
      </c>
      <c r="BL162" s="616">
        <f t="shared" si="136"/>
        <v>26.5712</v>
      </c>
      <c r="BM162" s="616">
        <f t="shared" si="137"/>
        <v>13.2856</v>
      </c>
      <c r="BN162" s="616">
        <f t="shared" si="138"/>
        <v>9.9642</v>
      </c>
      <c r="BO162" s="616">
        <f t="shared" si="139"/>
        <v>0.33214</v>
      </c>
      <c r="BP162" s="616">
        <f t="shared" si="140"/>
        <v>0.99642</v>
      </c>
      <c r="BQ162" s="616">
        <f t="shared" si="141"/>
        <v>19.9284</v>
      </c>
      <c r="BR162" s="616">
        <f t="shared" si="142"/>
        <v>0</v>
      </c>
      <c r="BS162" s="304" t="s">
        <v>673</v>
      </c>
    </row>
    <row r="163" s="132" customFormat="1" ht="24" spans="1:71">
      <c r="A163" s="497" t="s">
        <v>202</v>
      </c>
      <c r="B163" s="497" t="s">
        <v>404</v>
      </c>
      <c r="C163" s="497" t="s">
        <v>425</v>
      </c>
      <c r="D163" s="497" t="s">
        <v>406</v>
      </c>
      <c r="E163" s="615">
        <f t="shared" si="147"/>
        <v>625</v>
      </c>
      <c r="F163" s="615">
        <f t="shared" si="148"/>
        <v>549.5</v>
      </c>
      <c r="G163" s="616">
        <v>393.9</v>
      </c>
      <c r="H163" s="616">
        <v>0.5</v>
      </c>
      <c r="I163" s="616">
        <v>125.94</v>
      </c>
      <c r="J163" s="616">
        <v>29.16</v>
      </c>
      <c r="K163" s="616"/>
      <c r="L163" s="616"/>
      <c r="M163" s="615">
        <f t="shared" si="149"/>
        <v>75.5</v>
      </c>
      <c r="N163" s="616">
        <v>75.5</v>
      </c>
      <c r="O163" s="616"/>
      <c r="P163" s="616"/>
      <c r="Q163" s="616"/>
      <c r="R163" s="616"/>
      <c r="S163" s="615">
        <f t="shared" si="111"/>
        <v>-55.83</v>
      </c>
      <c r="T163" s="615">
        <f t="shared" si="112"/>
        <v>-58.42</v>
      </c>
      <c r="U163" s="616">
        <v>-55.01</v>
      </c>
      <c r="V163" s="616"/>
      <c r="W163" s="616"/>
      <c r="X163" s="616">
        <v>-3.41</v>
      </c>
      <c r="Y163" s="616"/>
      <c r="Z163" s="616"/>
      <c r="AA163" s="615">
        <f t="shared" si="113"/>
        <v>2.59</v>
      </c>
      <c r="AB163" s="616">
        <v>-6.96</v>
      </c>
      <c r="AC163" s="616"/>
      <c r="AD163" s="616"/>
      <c r="AE163" s="618">
        <f>6.99+2.56</f>
        <v>9.55</v>
      </c>
      <c r="AF163" s="616"/>
      <c r="AG163" s="615">
        <f t="shared" si="114"/>
        <v>569.17</v>
      </c>
      <c r="AH163" s="615">
        <f t="shared" si="115"/>
        <v>491.08</v>
      </c>
      <c r="AI163" s="616">
        <f t="shared" si="116"/>
        <v>338.89</v>
      </c>
      <c r="AJ163" s="616">
        <f t="shared" si="117"/>
        <v>0.5</v>
      </c>
      <c r="AK163" s="616">
        <f t="shared" si="118"/>
        <v>125.94</v>
      </c>
      <c r="AL163" s="616">
        <f t="shared" si="119"/>
        <v>25.75</v>
      </c>
      <c r="AM163" s="616">
        <f t="shared" si="120"/>
        <v>0</v>
      </c>
      <c r="AN163" s="616">
        <f t="shared" si="121"/>
        <v>0</v>
      </c>
      <c r="AO163" s="615">
        <f t="shared" si="122"/>
        <v>78.09</v>
      </c>
      <c r="AP163" s="616">
        <f t="shared" si="123"/>
        <v>68.54</v>
      </c>
      <c r="AQ163" s="616">
        <f t="shared" si="124"/>
        <v>0</v>
      </c>
      <c r="AR163" s="616">
        <f t="shared" si="125"/>
        <v>0</v>
      </c>
      <c r="AS163" s="616">
        <f t="shared" si="126"/>
        <v>9.55</v>
      </c>
      <c r="AT163" s="637">
        <f t="shared" si="127"/>
        <v>0</v>
      </c>
      <c r="AU163" s="638">
        <f t="shared" si="150"/>
        <v>255.01952</v>
      </c>
      <c r="AV163" s="616">
        <f t="shared" si="151"/>
        <v>95.3344</v>
      </c>
      <c r="AW163" s="616">
        <f t="shared" si="152"/>
        <v>47.6672</v>
      </c>
      <c r="AX163" s="616">
        <f t="shared" si="153"/>
        <v>35.7504</v>
      </c>
      <c r="AY163" s="616">
        <f t="shared" si="154"/>
        <v>1.19168</v>
      </c>
      <c r="AZ163" s="616">
        <f t="shared" si="155"/>
        <v>3.57504</v>
      </c>
      <c r="BA163" s="616">
        <f t="shared" si="156"/>
        <v>71.5008</v>
      </c>
      <c r="BB163" s="616"/>
      <c r="BC163" s="615">
        <f t="shared" si="128"/>
        <v>-26.52316</v>
      </c>
      <c r="BD163" s="616">
        <f t="shared" si="129"/>
        <v>-9.9152</v>
      </c>
      <c r="BE163" s="616">
        <f t="shared" si="130"/>
        <v>-4.9576</v>
      </c>
      <c r="BF163" s="616">
        <f t="shared" si="131"/>
        <v>-3.7182</v>
      </c>
      <c r="BG163" s="616">
        <f t="shared" si="132"/>
        <v>-0.12394</v>
      </c>
      <c r="BH163" s="616">
        <f t="shared" si="133"/>
        <v>-0.37182</v>
      </c>
      <c r="BI163" s="616">
        <f t="shared" si="134"/>
        <v>-7.4364</v>
      </c>
      <c r="BJ163" s="616"/>
      <c r="BK163" s="615">
        <f t="shared" si="135"/>
        <v>228.49636</v>
      </c>
      <c r="BL163" s="616">
        <f t="shared" si="136"/>
        <v>85.4192</v>
      </c>
      <c r="BM163" s="616">
        <f t="shared" si="137"/>
        <v>42.7096</v>
      </c>
      <c r="BN163" s="616">
        <f t="shared" si="138"/>
        <v>32.0322</v>
      </c>
      <c r="BO163" s="616">
        <f t="shared" si="139"/>
        <v>1.06774</v>
      </c>
      <c r="BP163" s="616">
        <f t="shared" si="140"/>
        <v>3.20322</v>
      </c>
      <c r="BQ163" s="616">
        <f t="shared" si="141"/>
        <v>64.0644</v>
      </c>
      <c r="BR163" s="616">
        <f t="shared" si="142"/>
        <v>0</v>
      </c>
      <c r="BS163" s="304" t="s">
        <v>674</v>
      </c>
    </row>
    <row r="164" s="132" customFormat="1" ht="24" spans="1:71">
      <c r="A164" s="497" t="s">
        <v>202</v>
      </c>
      <c r="B164" s="497" t="s">
        <v>404</v>
      </c>
      <c r="C164" s="497" t="s">
        <v>426</v>
      </c>
      <c r="D164" s="497" t="s">
        <v>406</v>
      </c>
      <c r="E164" s="615">
        <f t="shared" si="147"/>
        <v>1091.24</v>
      </c>
      <c r="F164" s="615">
        <f t="shared" si="148"/>
        <v>962.49</v>
      </c>
      <c r="G164" s="616">
        <v>714.42</v>
      </c>
      <c r="H164" s="616">
        <v>1.09</v>
      </c>
      <c r="I164" s="616">
        <v>214.58</v>
      </c>
      <c r="J164" s="616">
        <v>32.4</v>
      </c>
      <c r="K164" s="616"/>
      <c r="L164" s="616"/>
      <c r="M164" s="615">
        <f t="shared" si="149"/>
        <v>128.75</v>
      </c>
      <c r="N164" s="616">
        <v>128.75</v>
      </c>
      <c r="O164" s="616"/>
      <c r="P164" s="616"/>
      <c r="Q164" s="616"/>
      <c r="R164" s="616"/>
      <c r="S164" s="615">
        <f t="shared" si="111"/>
        <v>5.79</v>
      </c>
      <c r="T164" s="615">
        <f t="shared" si="112"/>
        <v>-12.73</v>
      </c>
      <c r="U164" s="616">
        <v>-12.31</v>
      </c>
      <c r="V164" s="616"/>
      <c r="W164" s="616"/>
      <c r="X164" s="616">
        <v>-0.42</v>
      </c>
      <c r="Y164" s="616"/>
      <c r="Z164" s="616"/>
      <c r="AA164" s="615">
        <f t="shared" si="113"/>
        <v>18.52</v>
      </c>
      <c r="AB164" s="616">
        <v>1.58</v>
      </c>
      <c r="AC164" s="616"/>
      <c r="AD164" s="616"/>
      <c r="AE164" s="618">
        <v>16.94</v>
      </c>
      <c r="AF164" s="616"/>
      <c r="AG164" s="615">
        <f t="shared" si="114"/>
        <v>1097.03</v>
      </c>
      <c r="AH164" s="615">
        <f t="shared" si="115"/>
        <v>949.76</v>
      </c>
      <c r="AI164" s="616">
        <f t="shared" si="116"/>
        <v>702.11</v>
      </c>
      <c r="AJ164" s="616">
        <f t="shared" si="117"/>
        <v>1.09</v>
      </c>
      <c r="AK164" s="616">
        <f t="shared" si="118"/>
        <v>214.58</v>
      </c>
      <c r="AL164" s="616">
        <f t="shared" si="119"/>
        <v>31.98</v>
      </c>
      <c r="AM164" s="616">
        <f t="shared" si="120"/>
        <v>0</v>
      </c>
      <c r="AN164" s="616">
        <f t="shared" si="121"/>
        <v>0</v>
      </c>
      <c r="AO164" s="615">
        <f t="shared" si="122"/>
        <v>147.27</v>
      </c>
      <c r="AP164" s="616">
        <f t="shared" si="123"/>
        <v>130.33</v>
      </c>
      <c r="AQ164" s="616">
        <f t="shared" si="124"/>
        <v>0</v>
      </c>
      <c r="AR164" s="616">
        <f t="shared" si="125"/>
        <v>0</v>
      </c>
      <c r="AS164" s="616">
        <f t="shared" si="126"/>
        <v>16.94</v>
      </c>
      <c r="AT164" s="637">
        <f t="shared" si="127"/>
        <v>0</v>
      </c>
      <c r="AU164" s="638">
        <f t="shared" si="150"/>
        <v>453.18352</v>
      </c>
      <c r="AV164" s="616">
        <f t="shared" si="151"/>
        <v>169.4144</v>
      </c>
      <c r="AW164" s="616">
        <f t="shared" si="152"/>
        <v>84.7072</v>
      </c>
      <c r="AX164" s="616">
        <f t="shared" si="153"/>
        <v>63.5304</v>
      </c>
      <c r="AY164" s="616">
        <f t="shared" si="154"/>
        <v>2.11768</v>
      </c>
      <c r="AZ164" s="616">
        <f t="shared" si="155"/>
        <v>6.35304</v>
      </c>
      <c r="BA164" s="616">
        <f t="shared" si="156"/>
        <v>127.0608</v>
      </c>
      <c r="BB164" s="616"/>
      <c r="BC164" s="615">
        <f t="shared" si="128"/>
        <v>-4.59244</v>
      </c>
      <c r="BD164" s="616">
        <f t="shared" si="129"/>
        <v>-1.7168</v>
      </c>
      <c r="BE164" s="616">
        <f t="shared" si="130"/>
        <v>-0.8584</v>
      </c>
      <c r="BF164" s="616">
        <f t="shared" si="131"/>
        <v>-0.6438</v>
      </c>
      <c r="BG164" s="616">
        <f t="shared" si="132"/>
        <v>-0.02146</v>
      </c>
      <c r="BH164" s="616">
        <f t="shared" si="133"/>
        <v>-0.06438</v>
      </c>
      <c r="BI164" s="616">
        <f t="shared" si="134"/>
        <v>-1.2876</v>
      </c>
      <c r="BJ164" s="616"/>
      <c r="BK164" s="615">
        <f t="shared" si="135"/>
        <v>448.59108</v>
      </c>
      <c r="BL164" s="616">
        <f t="shared" si="136"/>
        <v>167.6976</v>
      </c>
      <c r="BM164" s="616">
        <f t="shared" si="137"/>
        <v>83.8488</v>
      </c>
      <c r="BN164" s="616">
        <f t="shared" si="138"/>
        <v>62.8866</v>
      </c>
      <c r="BO164" s="616">
        <f t="shared" si="139"/>
        <v>2.09622</v>
      </c>
      <c r="BP164" s="616">
        <f t="shared" si="140"/>
        <v>6.28866</v>
      </c>
      <c r="BQ164" s="616">
        <f t="shared" si="141"/>
        <v>125.7732</v>
      </c>
      <c r="BR164" s="616">
        <f t="shared" si="142"/>
        <v>0</v>
      </c>
      <c r="BS164" s="304" t="s">
        <v>675</v>
      </c>
    </row>
    <row r="165" s="132" customFormat="1" ht="24" spans="1:71">
      <c r="A165" s="497" t="s">
        <v>202</v>
      </c>
      <c r="B165" s="497" t="s">
        <v>404</v>
      </c>
      <c r="C165" s="497" t="s">
        <v>427</v>
      </c>
      <c r="D165" s="497" t="s">
        <v>416</v>
      </c>
      <c r="E165" s="615">
        <f t="shared" si="147"/>
        <v>1070.48</v>
      </c>
      <c r="F165" s="615">
        <f t="shared" si="148"/>
        <v>948.37</v>
      </c>
      <c r="G165" s="616">
        <v>714.95</v>
      </c>
      <c r="H165" s="616">
        <v>1.34</v>
      </c>
      <c r="I165" s="616">
        <v>203.52</v>
      </c>
      <c r="J165" s="616">
        <v>28.56</v>
      </c>
      <c r="K165" s="616"/>
      <c r="L165" s="616"/>
      <c r="M165" s="615">
        <f t="shared" si="149"/>
        <v>122.11</v>
      </c>
      <c r="N165" s="616">
        <v>122.11</v>
      </c>
      <c r="O165" s="616"/>
      <c r="P165" s="616"/>
      <c r="Q165" s="650"/>
      <c r="R165" s="616"/>
      <c r="S165" s="615">
        <f t="shared" si="111"/>
        <v>2.88</v>
      </c>
      <c r="T165" s="615">
        <f t="shared" si="112"/>
        <v>-6.89</v>
      </c>
      <c r="U165" s="616">
        <v>-6.6</v>
      </c>
      <c r="V165" s="616"/>
      <c r="W165" s="616"/>
      <c r="X165" s="616">
        <v>-0.29</v>
      </c>
      <c r="Y165" s="616"/>
      <c r="Z165" s="616"/>
      <c r="AA165" s="615">
        <f t="shared" si="113"/>
        <v>9.77</v>
      </c>
      <c r="AB165" s="616">
        <v>-1.19</v>
      </c>
      <c r="AC165" s="616"/>
      <c r="AD165" s="616"/>
      <c r="AE165" s="616">
        <f>4.5+6.46</f>
        <v>10.96</v>
      </c>
      <c r="AF165" s="616"/>
      <c r="AG165" s="615">
        <f t="shared" si="114"/>
        <v>1073.36</v>
      </c>
      <c r="AH165" s="615">
        <f t="shared" si="115"/>
        <v>941.48</v>
      </c>
      <c r="AI165" s="616">
        <f t="shared" si="116"/>
        <v>708.35</v>
      </c>
      <c r="AJ165" s="616">
        <f t="shared" si="117"/>
        <v>1.34</v>
      </c>
      <c r="AK165" s="616">
        <f t="shared" si="118"/>
        <v>203.52</v>
      </c>
      <c r="AL165" s="616">
        <f t="shared" si="119"/>
        <v>28.27</v>
      </c>
      <c r="AM165" s="616">
        <f t="shared" si="120"/>
        <v>0</v>
      </c>
      <c r="AN165" s="616">
        <f t="shared" si="121"/>
        <v>0</v>
      </c>
      <c r="AO165" s="615">
        <f t="shared" si="122"/>
        <v>131.88</v>
      </c>
      <c r="AP165" s="616">
        <f t="shared" si="123"/>
        <v>120.92</v>
      </c>
      <c r="AQ165" s="616">
        <f t="shared" si="124"/>
        <v>0</v>
      </c>
      <c r="AR165" s="616">
        <f t="shared" si="125"/>
        <v>0</v>
      </c>
      <c r="AS165" s="616">
        <f t="shared" si="126"/>
        <v>10.96</v>
      </c>
      <c r="AT165" s="637">
        <f t="shared" si="127"/>
        <v>0</v>
      </c>
      <c r="AU165" s="638">
        <f t="shared" si="150"/>
        <v>445.94176</v>
      </c>
      <c r="AV165" s="616">
        <f t="shared" si="151"/>
        <v>166.7072</v>
      </c>
      <c r="AW165" s="616">
        <f t="shared" si="152"/>
        <v>83.3536</v>
      </c>
      <c r="AX165" s="616">
        <f t="shared" si="153"/>
        <v>62.5152</v>
      </c>
      <c r="AY165" s="616">
        <f t="shared" si="154"/>
        <v>2.08384</v>
      </c>
      <c r="AZ165" s="616">
        <f t="shared" si="155"/>
        <v>6.25152</v>
      </c>
      <c r="BA165" s="616">
        <f t="shared" si="156"/>
        <v>125.0304</v>
      </c>
      <c r="BB165" s="616"/>
      <c r="BC165" s="615">
        <f t="shared" si="128"/>
        <v>-3.33412</v>
      </c>
      <c r="BD165" s="616">
        <f t="shared" si="129"/>
        <v>-1.2464</v>
      </c>
      <c r="BE165" s="616">
        <f t="shared" si="130"/>
        <v>-0.6232</v>
      </c>
      <c r="BF165" s="616">
        <f t="shared" si="131"/>
        <v>-0.4674</v>
      </c>
      <c r="BG165" s="616">
        <f t="shared" si="132"/>
        <v>-0.01558</v>
      </c>
      <c r="BH165" s="616">
        <f t="shared" si="133"/>
        <v>-0.04674</v>
      </c>
      <c r="BI165" s="616">
        <f t="shared" si="134"/>
        <v>-0.9348</v>
      </c>
      <c r="BJ165" s="616"/>
      <c r="BK165" s="615">
        <f t="shared" si="135"/>
        <v>442.60764</v>
      </c>
      <c r="BL165" s="616">
        <f t="shared" si="136"/>
        <v>165.4608</v>
      </c>
      <c r="BM165" s="616">
        <f t="shared" si="137"/>
        <v>82.7304</v>
      </c>
      <c r="BN165" s="616">
        <f t="shared" si="138"/>
        <v>62.0478</v>
      </c>
      <c r="BO165" s="616">
        <f t="shared" si="139"/>
        <v>2.06826</v>
      </c>
      <c r="BP165" s="616">
        <f t="shared" si="140"/>
        <v>6.20478</v>
      </c>
      <c r="BQ165" s="616">
        <f t="shared" si="141"/>
        <v>124.0956</v>
      </c>
      <c r="BR165" s="616">
        <f t="shared" si="142"/>
        <v>0</v>
      </c>
      <c r="BS165" s="304" t="s">
        <v>676</v>
      </c>
    </row>
    <row r="166" s="132" customFormat="1" ht="24" spans="1:71">
      <c r="A166" s="497" t="s">
        <v>202</v>
      </c>
      <c r="B166" s="497" t="s">
        <v>404</v>
      </c>
      <c r="C166" s="497" t="s">
        <v>428</v>
      </c>
      <c r="D166" s="497" t="s">
        <v>416</v>
      </c>
      <c r="E166" s="615">
        <f t="shared" si="147"/>
        <v>571.22</v>
      </c>
      <c r="F166" s="615">
        <f t="shared" si="148"/>
        <v>504.02</v>
      </c>
      <c r="G166" s="616">
        <v>391.28</v>
      </c>
      <c r="H166" s="616">
        <v>0.74</v>
      </c>
      <c r="I166" s="616">
        <v>112</v>
      </c>
      <c r="J166" s="616"/>
      <c r="K166" s="616"/>
      <c r="L166" s="616"/>
      <c r="M166" s="615">
        <f t="shared" si="149"/>
        <v>67.2</v>
      </c>
      <c r="N166" s="616">
        <v>67.2</v>
      </c>
      <c r="O166" s="616"/>
      <c r="P166" s="616"/>
      <c r="Q166" s="616"/>
      <c r="R166" s="616"/>
      <c r="S166" s="615">
        <f t="shared" si="111"/>
        <v>23.14</v>
      </c>
      <c r="T166" s="615">
        <f t="shared" si="112"/>
        <v>15.75</v>
      </c>
      <c r="U166" s="616">
        <v>15.75</v>
      </c>
      <c r="V166" s="616"/>
      <c r="W166" s="616"/>
      <c r="X166" s="616"/>
      <c r="Y166" s="616"/>
      <c r="Z166" s="616"/>
      <c r="AA166" s="615">
        <f t="shared" si="113"/>
        <v>7.39</v>
      </c>
      <c r="AB166" s="616">
        <v>1.6</v>
      </c>
      <c r="AC166" s="616"/>
      <c r="AD166" s="616"/>
      <c r="AE166" s="616">
        <f>3+2.79</f>
        <v>5.79</v>
      </c>
      <c r="AF166" s="616"/>
      <c r="AG166" s="615">
        <f t="shared" si="114"/>
        <v>594.36</v>
      </c>
      <c r="AH166" s="615">
        <f t="shared" si="115"/>
        <v>519.77</v>
      </c>
      <c r="AI166" s="616">
        <f t="shared" si="116"/>
        <v>407.03</v>
      </c>
      <c r="AJ166" s="616">
        <f t="shared" si="117"/>
        <v>0.74</v>
      </c>
      <c r="AK166" s="616">
        <f t="shared" si="118"/>
        <v>112</v>
      </c>
      <c r="AL166" s="616">
        <f t="shared" si="119"/>
        <v>0</v>
      </c>
      <c r="AM166" s="616">
        <f t="shared" si="120"/>
        <v>0</v>
      </c>
      <c r="AN166" s="616">
        <f t="shared" si="121"/>
        <v>0</v>
      </c>
      <c r="AO166" s="615">
        <f t="shared" si="122"/>
        <v>74.59</v>
      </c>
      <c r="AP166" s="616">
        <f t="shared" si="123"/>
        <v>68.8</v>
      </c>
      <c r="AQ166" s="616">
        <f t="shared" si="124"/>
        <v>0</v>
      </c>
      <c r="AR166" s="616">
        <f t="shared" si="125"/>
        <v>0</v>
      </c>
      <c r="AS166" s="616">
        <f t="shared" si="126"/>
        <v>5.79</v>
      </c>
      <c r="AT166" s="637">
        <f t="shared" si="127"/>
        <v>0</v>
      </c>
      <c r="AU166" s="638">
        <f t="shared" si="150"/>
        <v>244.48216</v>
      </c>
      <c r="AV166" s="616">
        <f t="shared" si="151"/>
        <v>91.3952</v>
      </c>
      <c r="AW166" s="616">
        <f t="shared" si="152"/>
        <v>45.6976</v>
      </c>
      <c r="AX166" s="616">
        <f t="shared" si="153"/>
        <v>34.2732</v>
      </c>
      <c r="AY166" s="616">
        <f t="shared" si="154"/>
        <v>1.14244</v>
      </c>
      <c r="AZ166" s="616">
        <f t="shared" si="155"/>
        <v>3.42732</v>
      </c>
      <c r="BA166" s="616">
        <f t="shared" si="156"/>
        <v>68.5464</v>
      </c>
      <c r="BB166" s="616"/>
      <c r="BC166" s="615">
        <f t="shared" si="128"/>
        <v>7.4258</v>
      </c>
      <c r="BD166" s="616">
        <f t="shared" si="129"/>
        <v>2.776</v>
      </c>
      <c r="BE166" s="616">
        <f t="shared" si="130"/>
        <v>1.388</v>
      </c>
      <c r="BF166" s="616">
        <f t="shared" si="131"/>
        <v>1.041</v>
      </c>
      <c r="BG166" s="616">
        <f t="shared" si="132"/>
        <v>0.0347</v>
      </c>
      <c r="BH166" s="616">
        <f t="shared" si="133"/>
        <v>0.1041</v>
      </c>
      <c r="BI166" s="616">
        <f t="shared" si="134"/>
        <v>2.082</v>
      </c>
      <c r="BJ166" s="616"/>
      <c r="BK166" s="615">
        <f t="shared" si="135"/>
        <v>251.90796</v>
      </c>
      <c r="BL166" s="616">
        <f t="shared" si="136"/>
        <v>94.1712</v>
      </c>
      <c r="BM166" s="616">
        <f t="shared" si="137"/>
        <v>47.0856</v>
      </c>
      <c r="BN166" s="616">
        <f t="shared" si="138"/>
        <v>35.3142</v>
      </c>
      <c r="BO166" s="616">
        <f t="shared" si="139"/>
        <v>1.17714</v>
      </c>
      <c r="BP166" s="616">
        <f t="shared" si="140"/>
        <v>3.53142</v>
      </c>
      <c r="BQ166" s="616">
        <f t="shared" si="141"/>
        <v>70.6284</v>
      </c>
      <c r="BR166" s="616">
        <f t="shared" si="142"/>
        <v>0</v>
      </c>
      <c r="BS166" s="304" t="s">
        <v>677</v>
      </c>
    </row>
    <row r="167" s="132" customFormat="1" ht="24" spans="1:71">
      <c r="A167" s="497" t="s">
        <v>202</v>
      </c>
      <c r="B167" s="497" t="s">
        <v>404</v>
      </c>
      <c r="C167" s="497" t="s">
        <v>429</v>
      </c>
      <c r="D167" s="497" t="s">
        <v>416</v>
      </c>
      <c r="E167" s="615">
        <f t="shared" si="147"/>
        <v>705.71</v>
      </c>
      <c r="F167" s="615">
        <f t="shared" si="148"/>
        <v>622.96</v>
      </c>
      <c r="G167" s="616">
        <v>484.17</v>
      </c>
      <c r="H167" s="616">
        <v>0.88</v>
      </c>
      <c r="I167" s="616">
        <v>137.91</v>
      </c>
      <c r="J167" s="616"/>
      <c r="K167" s="616"/>
      <c r="L167" s="616"/>
      <c r="M167" s="615">
        <f t="shared" si="149"/>
        <v>82.75</v>
      </c>
      <c r="N167" s="616">
        <v>82.75</v>
      </c>
      <c r="O167" s="616"/>
      <c r="P167" s="616"/>
      <c r="Q167" s="616"/>
      <c r="R167" s="616"/>
      <c r="S167" s="615">
        <f t="shared" si="111"/>
        <v>12.66</v>
      </c>
      <c r="T167" s="615">
        <f t="shared" si="112"/>
        <v>2.96</v>
      </c>
      <c r="U167" s="616">
        <v>2.96</v>
      </c>
      <c r="V167" s="616"/>
      <c r="W167" s="616"/>
      <c r="X167" s="616"/>
      <c r="Y167" s="616"/>
      <c r="Z167" s="616"/>
      <c r="AA167" s="615">
        <f t="shared" si="113"/>
        <v>9.7</v>
      </c>
      <c r="AB167" s="616">
        <v>-0.46</v>
      </c>
      <c r="AC167" s="616"/>
      <c r="AD167" s="616"/>
      <c r="AE167" s="616">
        <f>6+4.16</f>
        <v>10.16</v>
      </c>
      <c r="AF167" s="616"/>
      <c r="AG167" s="615">
        <f t="shared" si="114"/>
        <v>718.37</v>
      </c>
      <c r="AH167" s="615">
        <f t="shared" si="115"/>
        <v>625.92</v>
      </c>
      <c r="AI167" s="616">
        <f t="shared" si="116"/>
        <v>487.13</v>
      </c>
      <c r="AJ167" s="616">
        <f t="shared" si="117"/>
        <v>0.88</v>
      </c>
      <c r="AK167" s="616">
        <f t="shared" si="118"/>
        <v>137.91</v>
      </c>
      <c r="AL167" s="616">
        <f t="shared" si="119"/>
        <v>0</v>
      </c>
      <c r="AM167" s="616">
        <f t="shared" si="120"/>
        <v>0</v>
      </c>
      <c r="AN167" s="616">
        <f t="shared" si="121"/>
        <v>0</v>
      </c>
      <c r="AO167" s="615">
        <f t="shared" si="122"/>
        <v>92.45</v>
      </c>
      <c r="AP167" s="616">
        <f t="shared" si="123"/>
        <v>82.29</v>
      </c>
      <c r="AQ167" s="616">
        <f t="shared" si="124"/>
        <v>0</v>
      </c>
      <c r="AR167" s="616">
        <f t="shared" si="125"/>
        <v>0</v>
      </c>
      <c r="AS167" s="616">
        <f t="shared" si="126"/>
        <v>10.16</v>
      </c>
      <c r="AT167" s="637">
        <f t="shared" si="127"/>
        <v>0</v>
      </c>
      <c r="AU167" s="638">
        <f t="shared" si="150"/>
        <v>302.04388</v>
      </c>
      <c r="AV167" s="616">
        <f t="shared" si="151"/>
        <v>112.9136</v>
      </c>
      <c r="AW167" s="616">
        <f t="shared" si="152"/>
        <v>56.4568</v>
      </c>
      <c r="AX167" s="616">
        <f t="shared" si="153"/>
        <v>42.3426</v>
      </c>
      <c r="AY167" s="616">
        <f t="shared" si="154"/>
        <v>1.41142</v>
      </c>
      <c r="AZ167" s="616">
        <f t="shared" si="155"/>
        <v>4.23426</v>
      </c>
      <c r="BA167" s="616">
        <f t="shared" si="156"/>
        <v>84.6852</v>
      </c>
      <c r="BB167" s="616"/>
      <c r="BC167" s="615">
        <f t="shared" si="128"/>
        <v>1.07</v>
      </c>
      <c r="BD167" s="616">
        <f t="shared" si="129"/>
        <v>0.4</v>
      </c>
      <c r="BE167" s="616">
        <f t="shared" si="130"/>
        <v>0.2</v>
      </c>
      <c r="BF167" s="616">
        <f t="shared" si="131"/>
        <v>0.15</v>
      </c>
      <c r="BG167" s="616">
        <f t="shared" si="132"/>
        <v>0.005</v>
      </c>
      <c r="BH167" s="616">
        <f t="shared" si="133"/>
        <v>0.015</v>
      </c>
      <c r="BI167" s="616">
        <f t="shared" si="134"/>
        <v>0.3</v>
      </c>
      <c r="BJ167" s="616"/>
      <c r="BK167" s="615">
        <f t="shared" si="135"/>
        <v>303.11388</v>
      </c>
      <c r="BL167" s="616">
        <f t="shared" si="136"/>
        <v>113.3136</v>
      </c>
      <c r="BM167" s="616">
        <f t="shared" si="137"/>
        <v>56.6568</v>
      </c>
      <c r="BN167" s="616">
        <f t="shared" si="138"/>
        <v>42.4926</v>
      </c>
      <c r="BO167" s="616">
        <f t="shared" si="139"/>
        <v>1.41642</v>
      </c>
      <c r="BP167" s="616">
        <f t="shared" si="140"/>
        <v>4.24926</v>
      </c>
      <c r="BQ167" s="616">
        <f t="shared" si="141"/>
        <v>84.9852</v>
      </c>
      <c r="BR167" s="616">
        <f t="shared" si="142"/>
        <v>0</v>
      </c>
      <c r="BS167" s="304" t="s">
        <v>678</v>
      </c>
    </row>
    <row r="168" s="132" customFormat="1" ht="24" spans="1:71">
      <c r="A168" s="497" t="s">
        <v>202</v>
      </c>
      <c r="B168" s="497" t="s">
        <v>404</v>
      </c>
      <c r="C168" s="497" t="s">
        <v>430</v>
      </c>
      <c r="D168" s="497" t="s">
        <v>406</v>
      </c>
      <c r="E168" s="615">
        <f t="shared" si="147"/>
        <v>678.13</v>
      </c>
      <c r="F168" s="615">
        <f t="shared" si="148"/>
        <v>597.66</v>
      </c>
      <c r="G168" s="616">
        <v>431.71</v>
      </c>
      <c r="H168" s="616">
        <v>0.64</v>
      </c>
      <c r="I168" s="616">
        <v>134.11</v>
      </c>
      <c r="J168" s="616">
        <v>31.2</v>
      </c>
      <c r="K168" s="616"/>
      <c r="L168" s="616"/>
      <c r="M168" s="615">
        <f t="shared" si="149"/>
        <v>80.47</v>
      </c>
      <c r="N168" s="616">
        <v>80.47</v>
      </c>
      <c r="O168" s="616"/>
      <c r="P168" s="616"/>
      <c r="Q168" s="616"/>
      <c r="R168" s="616"/>
      <c r="S168" s="615">
        <f t="shared" si="111"/>
        <v>-62.3</v>
      </c>
      <c r="T168" s="615">
        <f t="shared" si="112"/>
        <v>-62.85</v>
      </c>
      <c r="U168" s="616">
        <v>-60.13</v>
      </c>
      <c r="V168" s="616"/>
      <c r="W168" s="616"/>
      <c r="X168" s="616">
        <v>-2.72</v>
      </c>
      <c r="Y168" s="616"/>
      <c r="Z168" s="616"/>
      <c r="AA168" s="615">
        <f t="shared" si="113"/>
        <v>0.550000000000001</v>
      </c>
      <c r="AB168" s="616">
        <v>-8.5</v>
      </c>
      <c r="AC168" s="616"/>
      <c r="AD168" s="616"/>
      <c r="AE168" s="616">
        <f>6+3.05</f>
        <v>9.05</v>
      </c>
      <c r="AF168" s="616"/>
      <c r="AG168" s="615">
        <f t="shared" si="114"/>
        <v>615.83</v>
      </c>
      <c r="AH168" s="615">
        <f t="shared" si="115"/>
        <v>534.81</v>
      </c>
      <c r="AI168" s="616">
        <f t="shared" si="116"/>
        <v>371.58</v>
      </c>
      <c r="AJ168" s="616">
        <f t="shared" si="117"/>
        <v>0.64</v>
      </c>
      <c r="AK168" s="616">
        <f t="shared" si="118"/>
        <v>134.11</v>
      </c>
      <c r="AL168" s="616">
        <f t="shared" si="119"/>
        <v>28.48</v>
      </c>
      <c r="AM168" s="616">
        <f t="shared" si="120"/>
        <v>0</v>
      </c>
      <c r="AN168" s="616">
        <f t="shared" si="121"/>
        <v>0</v>
      </c>
      <c r="AO168" s="615">
        <f t="shared" si="122"/>
        <v>81.02</v>
      </c>
      <c r="AP168" s="616">
        <f t="shared" si="123"/>
        <v>71.97</v>
      </c>
      <c r="AQ168" s="616">
        <f t="shared" si="124"/>
        <v>0</v>
      </c>
      <c r="AR168" s="616">
        <f t="shared" si="125"/>
        <v>0</v>
      </c>
      <c r="AS168" s="616">
        <f t="shared" si="126"/>
        <v>9.05</v>
      </c>
      <c r="AT168" s="637">
        <f t="shared" si="127"/>
        <v>0</v>
      </c>
      <c r="AU168" s="638">
        <f t="shared" si="150"/>
        <v>276.88604</v>
      </c>
      <c r="AV168" s="616">
        <f t="shared" si="151"/>
        <v>103.5088</v>
      </c>
      <c r="AW168" s="616">
        <f t="shared" si="152"/>
        <v>51.7544</v>
      </c>
      <c r="AX168" s="616">
        <f t="shared" si="153"/>
        <v>38.8158</v>
      </c>
      <c r="AY168" s="616">
        <f t="shared" si="154"/>
        <v>1.29386</v>
      </c>
      <c r="AZ168" s="616">
        <f t="shared" si="155"/>
        <v>3.88158</v>
      </c>
      <c r="BA168" s="616">
        <f t="shared" si="156"/>
        <v>77.6316</v>
      </c>
      <c r="BB168" s="616"/>
      <c r="BC168" s="615">
        <f t="shared" si="128"/>
        <v>-29.37364</v>
      </c>
      <c r="BD168" s="616">
        <f t="shared" si="129"/>
        <v>-10.9808</v>
      </c>
      <c r="BE168" s="616">
        <f t="shared" si="130"/>
        <v>-5.4904</v>
      </c>
      <c r="BF168" s="616">
        <f t="shared" si="131"/>
        <v>-4.1178</v>
      </c>
      <c r="BG168" s="616">
        <f t="shared" si="132"/>
        <v>-0.13726</v>
      </c>
      <c r="BH168" s="616">
        <f t="shared" si="133"/>
        <v>-0.41178</v>
      </c>
      <c r="BI168" s="616">
        <f t="shared" si="134"/>
        <v>-8.2356</v>
      </c>
      <c r="BJ168" s="616"/>
      <c r="BK168" s="615">
        <f t="shared" si="135"/>
        <v>247.5124</v>
      </c>
      <c r="BL168" s="616">
        <f t="shared" si="136"/>
        <v>92.528</v>
      </c>
      <c r="BM168" s="616">
        <f t="shared" si="137"/>
        <v>46.264</v>
      </c>
      <c r="BN168" s="616">
        <f t="shared" si="138"/>
        <v>34.698</v>
      </c>
      <c r="BO168" s="616">
        <f t="shared" si="139"/>
        <v>1.1566</v>
      </c>
      <c r="BP168" s="616">
        <f t="shared" si="140"/>
        <v>3.4698</v>
      </c>
      <c r="BQ168" s="616">
        <f t="shared" si="141"/>
        <v>69.396</v>
      </c>
      <c r="BR168" s="616">
        <f t="shared" si="142"/>
        <v>0</v>
      </c>
      <c r="BS168" s="304" t="s">
        <v>679</v>
      </c>
    </row>
    <row r="169" s="132" customFormat="1" ht="24" spans="1:71">
      <c r="A169" s="497" t="s">
        <v>202</v>
      </c>
      <c r="B169" s="497" t="s">
        <v>404</v>
      </c>
      <c r="C169" s="497" t="s">
        <v>431</v>
      </c>
      <c r="D169" s="497" t="s">
        <v>416</v>
      </c>
      <c r="E169" s="615">
        <f t="shared" si="147"/>
        <v>527.24</v>
      </c>
      <c r="F169" s="615">
        <f t="shared" si="148"/>
        <v>467.7</v>
      </c>
      <c r="G169" s="616">
        <v>347.42</v>
      </c>
      <c r="H169" s="616">
        <v>0.64</v>
      </c>
      <c r="I169" s="616">
        <v>99.24</v>
      </c>
      <c r="J169" s="616">
        <v>20.4</v>
      </c>
      <c r="K169" s="616"/>
      <c r="L169" s="616"/>
      <c r="M169" s="615">
        <f t="shared" si="149"/>
        <v>59.54</v>
      </c>
      <c r="N169" s="616">
        <v>59.54</v>
      </c>
      <c r="O169" s="616"/>
      <c r="P169" s="616"/>
      <c r="Q169" s="616"/>
      <c r="R169" s="616"/>
      <c r="S169" s="615">
        <f t="shared" si="111"/>
        <v>3.24</v>
      </c>
      <c r="T169" s="615">
        <f t="shared" si="112"/>
        <v>-4.26</v>
      </c>
      <c r="U169" s="616">
        <v>-3.86</v>
      </c>
      <c r="V169" s="616"/>
      <c r="W169" s="616"/>
      <c r="X169" s="616">
        <v>-0.4</v>
      </c>
      <c r="Y169" s="616"/>
      <c r="Z169" s="616"/>
      <c r="AA169" s="615">
        <f t="shared" si="113"/>
        <v>7.5</v>
      </c>
      <c r="AB169" s="616">
        <v>-1.16</v>
      </c>
      <c r="AC169" s="616"/>
      <c r="AD169" s="616"/>
      <c r="AE169" s="616">
        <f>1.75+4.25+2.66</f>
        <v>8.66</v>
      </c>
      <c r="AF169" s="616"/>
      <c r="AG169" s="615">
        <f t="shared" si="114"/>
        <v>530.48</v>
      </c>
      <c r="AH169" s="615">
        <f t="shared" si="115"/>
        <v>463.44</v>
      </c>
      <c r="AI169" s="616">
        <f t="shared" si="116"/>
        <v>343.56</v>
      </c>
      <c r="AJ169" s="616">
        <f t="shared" si="117"/>
        <v>0.64</v>
      </c>
      <c r="AK169" s="616">
        <f t="shared" si="118"/>
        <v>99.24</v>
      </c>
      <c r="AL169" s="616">
        <f t="shared" si="119"/>
        <v>20</v>
      </c>
      <c r="AM169" s="616">
        <f t="shared" si="120"/>
        <v>0</v>
      </c>
      <c r="AN169" s="616">
        <f t="shared" si="121"/>
        <v>0</v>
      </c>
      <c r="AO169" s="615">
        <f t="shared" si="122"/>
        <v>67.04</v>
      </c>
      <c r="AP169" s="616">
        <f t="shared" si="123"/>
        <v>58.38</v>
      </c>
      <c r="AQ169" s="616">
        <f t="shared" si="124"/>
        <v>0</v>
      </c>
      <c r="AR169" s="616">
        <f t="shared" si="125"/>
        <v>0</v>
      </c>
      <c r="AS169" s="616">
        <f t="shared" si="126"/>
        <v>8.66</v>
      </c>
      <c r="AT169" s="637">
        <f t="shared" si="127"/>
        <v>0</v>
      </c>
      <c r="AU169" s="638">
        <f t="shared" si="150"/>
        <v>216.92752</v>
      </c>
      <c r="AV169" s="616">
        <f t="shared" si="151"/>
        <v>81.0944</v>
      </c>
      <c r="AW169" s="616">
        <f t="shared" si="152"/>
        <v>40.5472</v>
      </c>
      <c r="AX169" s="616">
        <f t="shared" si="153"/>
        <v>30.4104</v>
      </c>
      <c r="AY169" s="616">
        <f t="shared" si="154"/>
        <v>1.01368</v>
      </c>
      <c r="AZ169" s="616">
        <f t="shared" si="155"/>
        <v>3.04104</v>
      </c>
      <c r="BA169" s="616">
        <f t="shared" si="156"/>
        <v>60.8208</v>
      </c>
      <c r="BB169" s="616"/>
      <c r="BC169" s="615">
        <f t="shared" si="128"/>
        <v>-2.14856</v>
      </c>
      <c r="BD169" s="616">
        <f t="shared" si="129"/>
        <v>-0.8032</v>
      </c>
      <c r="BE169" s="616">
        <f t="shared" si="130"/>
        <v>-0.4016</v>
      </c>
      <c r="BF169" s="616">
        <f t="shared" si="131"/>
        <v>-0.3012</v>
      </c>
      <c r="BG169" s="616">
        <f t="shared" si="132"/>
        <v>-0.01004</v>
      </c>
      <c r="BH169" s="616">
        <f t="shared" si="133"/>
        <v>-0.03012</v>
      </c>
      <c r="BI169" s="616">
        <f t="shared" si="134"/>
        <v>-0.6024</v>
      </c>
      <c r="BJ169" s="616"/>
      <c r="BK169" s="615">
        <f t="shared" si="135"/>
        <v>214.77896</v>
      </c>
      <c r="BL169" s="616">
        <f t="shared" si="136"/>
        <v>80.2912</v>
      </c>
      <c r="BM169" s="616">
        <f t="shared" si="137"/>
        <v>40.1456</v>
      </c>
      <c r="BN169" s="616">
        <f t="shared" si="138"/>
        <v>30.1092</v>
      </c>
      <c r="BO169" s="616">
        <f t="shared" si="139"/>
        <v>1.00364</v>
      </c>
      <c r="BP169" s="616">
        <f t="shared" si="140"/>
        <v>3.01092</v>
      </c>
      <c r="BQ169" s="616">
        <f t="shared" si="141"/>
        <v>60.2184</v>
      </c>
      <c r="BR169" s="616">
        <f t="shared" si="142"/>
        <v>0</v>
      </c>
      <c r="BS169" s="304" t="s">
        <v>680</v>
      </c>
    </row>
    <row r="170" s="132" customFormat="1" ht="24" spans="1:71">
      <c r="A170" s="497" t="s">
        <v>202</v>
      </c>
      <c r="B170" s="497" t="s">
        <v>404</v>
      </c>
      <c r="C170" s="497" t="s">
        <v>432</v>
      </c>
      <c r="D170" s="497" t="s">
        <v>416</v>
      </c>
      <c r="E170" s="615">
        <f t="shared" si="147"/>
        <v>413.34</v>
      </c>
      <c r="F170" s="615">
        <f t="shared" si="148"/>
        <v>366.35</v>
      </c>
      <c r="G170" s="616">
        <v>272.04</v>
      </c>
      <c r="H170" s="616">
        <v>0.52</v>
      </c>
      <c r="I170" s="616">
        <v>78.31</v>
      </c>
      <c r="J170" s="616">
        <v>15.48</v>
      </c>
      <c r="K170" s="616"/>
      <c r="L170" s="616"/>
      <c r="M170" s="615">
        <f t="shared" si="149"/>
        <v>46.99</v>
      </c>
      <c r="N170" s="616">
        <v>46.99</v>
      </c>
      <c r="O170" s="616"/>
      <c r="P170" s="616"/>
      <c r="Q170" s="616"/>
      <c r="R170" s="616"/>
      <c r="S170" s="615">
        <f t="shared" si="111"/>
        <v>0.899999999999999</v>
      </c>
      <c r="T170" s="615">
        <f t="shared" si="112"/>
        <v>-5.44</v>
      </c>
      <c r="U170" s="616">
        <v>-5.24</v>
      </c>
      <c r="V170" s="616"/>
      <c r="W170" s="616"/>
      <c r="X170" s="616">
        <v>-0.2</v>
      </c>
      <c r="Y170" s="616"/>
      <c r="Z170" s="616"/>
      <c r="AA170" s="615">
        <f t="shared" si="113"/>
        <v>6.34</v>
      </c>
      <c r="AB170" s="616">
        <v>-1.26</v>
      </c>
      <c r="AC170" s="616"/>
      <c r="AD170" s="616"/>
      <c r="AE170" s="616">
        <f>4.5+3.1</f>
        <v>7.6</v>
      </c>
      <c r="AF170" s="616"/>
      <c r="AG170" s="615">
        <f t="shared" si="114"/>
        <v>414.24</v>
      </c>
      <c r="AH170" s="615">
        <f t="shared" si="115"/>
        <v>360.91</v>
      </c>
      <c r="AI170" s="616">
        <f t="shared" si="116"/>
        <v>266.8</v>
      </c>
      <c r="AJ170" s="616">
        <f t="shared" si="117"/>
        <v>0.52</v>
      </c>
      <c r="AK170" s="616">
        <f t="shared" si="118"/>
        <v>78.31</v>
      </c>
      <c r="AL170" s="616">
        <f t="shared" si="119"/>
        <v>15.28</v>
      </c>
      <c r="AM170" s="616">
        <f t="shared" si="120"/>
        <v>0</v>
      </c>
      <c r="AN170" s="616">
        <f t="shared" si="121"/>
        <v>0</v>
      </c>
      <c r="AO170" s="615">
        <f t="shared" si="122"/>
        <v>53.33</v>
      </c>
      <c r="AP170" s="616">
        <f t="shared" si="123"/>
        <v>45.73</v>
      </c>
      <c r="AQ170" s="616">
        <f t="shared" si="124"/>
        <v>0</v>
      </c>
      <c r="AR170" s="616">
        <f t="shared" si="125"/>
        <v>0</v>
      </c>
      <c r="AS170" s="616">
        <f t="shared" si="126"/>
        <v>7.6</v>
      </c>
      <c r="AT170" s="637">
        <f t="shared" si="127"/>
        <v>0</v>
      </c>
      <c r="AU170" s="638">
        <f t="shared" si="150"/>
        <v>170.28408</v>
      </c>
      <c r="AV170" s="616">
        <f t="shared" si="151"/>
        <v>63.6576</v>
      </c>
      <c r="AW170" s="616">
        <f t="shared" si="152"/>
        <v>31.8288</v>
      </c>
      <c r="AX170" s="616">
        <f t="shared" si="153"/>
        <v>23.8716</v>
      </c>
      <c r="AY170" s="616">
        <f t="shared" si="154"/>
        <v>0.79572</v>
      </c>
      <c r="AZ170" s="616">
        <f t="shared" si="155"/>
        <v>2.38716</v>
      </c>
      <c r="BA170" s="616">
        <f t="shared" si="156"/>
        <v>47.7432</v>
      </c>
      <c r="BB170" s="616"/>
      <c r="BC170" s="615">
        <f t="shared" si="128"/>
        <v>-2.782</v>
      </c>
      <c r="BD170" s="616">
        <f t="shared" si="129"/>
        <v>-1.04</v>
      </c>
      <c r="BE170" s="616">
        <f t="shared" si="130"/>
        <v>-0.52</v>
      </c>
      <c r="BF170" s="616">
        <f t="shared" si="131"/>
        <v>-0.39</v>
      </c>
      <c r="BG170" s="616">
        <f t="shared" si="132"/>
        <v>-0.013</v>
      </c>
      <c r="BH170" s="616">
        <f t="shared" si="133"/>
        <v>-0.039</v>
      </c>
      <c r="BI170" s="616">
        <f t="shared" si="134"/>
        <v>-0.78</v>
      </c>
      <c r="BJ170" s="616"/>
      <c r="BK170" s="615">
        <f t="shared" si="135"/>
        <v>167.50208</v>
      </c>
      <c r="BL170" s="616">
        <f t="shared" si="136"/>
        <v>62.6176</v>
      </c>
      <c r="BM170" s="616">
        <f t="shared" si="137"/>
        <v>31.3088</v>
      </c>
      <c r="BN170" s="616">
        <f t="shared" si="138"/>
        <v>23.4816</v>
      </c>
      <c r="BO170" s="616">
        <f t="shared" si="139"/>
        <v>0.78272</v>
      </c>
      <c r="BP170" s="616">
        <f t="shared" si="140"/>
        <v>2.34816</v>
      </c>
      <c r="BQ170" s="616">
        <f t="shared" si="141"/>
        <v>46.9632</v>
      </c>
      <c r="BR170" s="616">
        <f t="shared" si="142"/>
        <v>0</v>
      </c>
      <c r="BS170" s="304" t="s">
        <v>681</v>
      </c>
    </row>
    <row r="171" s="132" customFormat="1" ht="24" spans="1:71">
      <c r="A171" s="497" t="s">
        <v>202</v>
      </c>
      <c r="B171" s="497" t="s">
        <v>404</v>
      </c>
      <c r="C171" s="497" t="s">
        <v>433</v>
      </c>
      <c r="D171" s="497" t="s">
        <v>406</v>
      </c>
      <c r="E171" s="615">
        <f t="shared" si="147"/>
        <v>535.52</v>
      </c>
      <c r="F171" s="615">
        <f t="shared" si="148"/>
        <v>475.05</v>
      </c>
      <c r="G171" s="616">
        <v>350.43</v>
      </c>
      <c r="H171" s="616">
        <v>0.56</v>
      </c>
      <c r="I171" s="616">
        <v>100.78</v>
      </c>
      <c r="J171" s="616">
        <v>23.28</v>
      </c>
      <c r="K171" s="616"/>
      <c r="L171" s="616"/>
      <c r="M171" s="615">
        <f t="shared" si="149"/>
        <v>60.47</v>
      </c>
      <c r="N171" s="616">
        <v>60.47</v>
      </c>
      <c r="O171" s="616"/>
      <c r="P171" s="616"/>
      <c r="Q171" s="616"/>
      <c r="R171" s="616"/>
      <c r="S171" s="615">
        <f t="shared" si="111"/>
        <v>-29.63</v>
      </c>
      <c r="T171" s="615">
        <f t="shared" si="112"/>
        <v>-35.52</v>
      </c>
      <c r="U171" s="616">
        <v>-34.61</v>
      </c>
      <c r="V171" s="616"/>
      <c r="W171" s="616"/>
      <c r="X171" s="616">
        <v>-0.91</v>
      </c>
      <c r="Y171" s="616"/>
      <c r="Z171" s="616"/>
      <c r="AA171" s="615">
        <f t="shared" si="113"/>
        <v>5.89</v>
      </c>
      <c r="AB171" s="616">
        <v>-3.6</v>
      </c>
      <c r="AC171" s="616"/>
      <c r="AD171" s="616"/>
      <c r="AE171" s="616">
        <f>3+6.49</f>
        <v>9.49</v>
      </c>
      <c r="AF171" s="616"/>
      <c r="AG171" s="615">
        <f t="shared" si="114"/>
        <v>505.89</v>
      </c>
      <c r="AH171" s="615">
        <f t="shared" si="115"/>
        <v>439.53</v>
      </c>
      <c r="AI171" s="616">
        <f t="shared" si="116"/>
        <v>315.82</v>
      </c>
      <c r="AJ171" s="616">
        <f t="shared" si="117"/>
        <v>0.56</v>
      </c>
      <c r="AK171" s="616">
        <f t="shared" si="118"/>
        <v>100.78</v>
      </c>
      <c r="AL171" s="616">
        <f t="shared" si="119"/>
        <v>22.37</v>
      </c>
      <c r="AM171" s="616">
        <f t="shared" si="120"/>
        <v>0</v>
      </c>
      <c r="AN171" s="616">
        <f t="shared" si="121"/>
        <v>0</v>
      </c>
      <c r="AO171" s="615">
        <f t="shared" si="122"/>
        <v>66.36</v>
      </c>
      <c r="AP171" s="616">
        <f t="shared" si="123"/>
        <v>56.87</v>
      </c>
      <c r="AQ171" s="616">
        <f t="shared" si="124"/>
        <v>0</v>
      </c>
      <c r="AR171" s="616">
        <f t="shared" si="125"/>
        <v>0</v>
      </c>
      <c r="AS171" s="616">
        <f t="shared" si="126"/>
        <v>9.49</v>
      </c>
      <c r="AT171" s="637">
        <f t="shared" si="127"/>
        <v>0</v>
      </c>
      <c r="AU171" s="638">
        <f t="shared" si="150"/>
        <v>219.23872</v>
      </c>
      <c r="AV171" s="616">
        <f t="shared" si="151"/>
        <v>81.9584</v>
      </c>
      <c r="AW171" s="616">
        <f t="shared" si="152"/>
        <v>40.9792</v>
      </c>
      <c r="AX171" s="616">
        <f t="shared" si="153"/>
        <v>30.7344</v>
      </c>
      <c r="AY171" s="616">
        <f t="shared" si="154"/>
        <v>1.02448</v>
      </c>
      <c r="AZ171" s="616">
        <f t="shared" si="155"/>
        <v>3.07344</v>
      </c>
      <c r="BA171" s="616">
        <f t="shared" si="156"/>
        <v>61.4688</v>
      </c>
      <c r="BB171" s="616"/>
      <c r="BC171" s="615">
        <f t="shared" si="128"/>
        <v>-16.35388</v>
      </c>
      <c r="BD171" s="616">
        <f t="shared" si="129"/>
        <v>-6.1136</v>
      </c>
      <c r="BE171" s="616">
        <f t="shared" si="130"/>
        <v>-3.0568</v>
      </c>
      <c r="BF171" s="616">
        <f t="shared" si="131"/>
        <v>-2.2926</v>
      </c>
      <c r="BG171" s="616">
        <f t="shared" si="132"/>
        <v>-0.07642</v>
      </c>
      <c r="BH171" s="616">
        <f t="shared" si="133"/>
        <v>-0.22926</v>
      </c>
      <c r="BI171" s="616">
        <f t="shared" si="134"/>
        <v>-4.5852</v>
      </c>
      <c r="BJ171" s="616"/>
      <c r="BK171" s="615">
        <f t="shared" si="135"/>
        <v>202.88484</v>
      </c>
      <c r="BL171" s="616">
        <f t="shared" si="136"/>
        <v>75.8448</v>
      </c>
      <c r="BM171" s="616">
        <f t="shared" si="137"/>
        <v>37.9224</v>
      </c>
      <c r="BN171" s="616">
        <f t="shared" si="138"/>
        <v>28.4418</v>
      </c>
      <c r="BO171" s="616">
        <f t="shared" si="139"/>
        <v>0.94806</v>
      </c>
      <c r="BP171" s="616">
        <f t="shared" si="140"/>
        <v>2.84418</v>
      </c>
      <c r="BQ171" s="616">
        <f t="shared" si="141"/>
        <v>56.8836</v>
      </c>
      <c r="BR171" s="616">
        <f t="shared" si="142"/>
        <v>0</v>
      </c>
      <c r="BS171" s="304" t="s">
        <v>682</v>
      </c>
    </row>
    <row r="172" s="132" customFormat="1" ht="24" spans="1:71">
      <c r="A172" s="497" t="s">
        <v>202</v>
      </c>
      <c r="B172" s="497" t="s">
        <v>404</v>
      </c>
      <c r="C172" s="497" t="s">
        <v>434</v>
      </c>
      <c r="D172" s="497" t="s">
        <v>406</v>
      </c>
      <c r="E172" s="615">
        <f t="shared" si="147"/>
        <v>792.77</v>
      </c>
      <c r="F172" s="615">
        <f t="shared" si="148"/>
        <v>702.2</v>
      </c>
      <c r="G172" s="616">
        <v>528</v>
      </c>
      <c r="H172" s="616">
        <v>1.41</v>
      </c>
      <c r="I172" s="616">
        <v>150.95</v>
      </c>
      <c r="J172" s="616">
        <v>21.84</v>
      </c>
      <c r="K172" s="616"/>
      <c r="L172" s="616"/>
      <c r="M172" s="615">
        <f t="shared" si="149"/>
        <v>90.57</v>
      </c>
      <c r="N172" s="616">
        <v>90.57</v>
      </c>
      <c r="O172" s="616"/>
      <c r="P172" s="616"/>
      <c r="Q172" s="616"/>
      <c r="R172" s="616"/>
      <c r="S172" s="615">
        <f t="shared" si="111"/>
        <v>-19.12</v>
      </c>
      <c r="T172" s="615">
        <f t="shared" si="112"/>
        <v>-23.61</v>
      </c>
      <c r="U172" s="616">
        <v>-17.03</v>
      </c>
      <c r="V172" s="616"/>
      <c r="W172" s="616"/>
      <c r="X172" s="616">
        <v>-6.58</v>
      </c>
      <c r="Y172" s="616"/>
      <c r="Z172" s="616"/>
      <c r="AA172" s="615">
        <f t="shared" si="113"/>
        <v>4.49</v>
      </c>
      <c r="AB172" s="616">
        <v>-1.92</v>
      </c>
      <c r="AC172" s="616"/>
      <c r="AD172" s="616"/>
      <c r="AE172" s="616">
        <v>6.41</v>
      </c>
      <c r="AF172" s="616"/>
      <c r="AG172" s="615">
        <f t="shared" si="114"/>
        <v>773.65</v>
      </c>
      <c r="AH172" s="615">
        <f t="shared" si="115"/>
        <v>678.59</v>
      </c>
      <c r="AI172" s="616">
        <f t="shared" si="116"/>
        <v>510.97</v>
      </c>
      <c r="AJ172" s="616">
        <f t="shared" si="117"/>
        <v>1.41</v>
      </c>
      <c r="AK172" s="616">
        <f t="shared" si="118"/>
        <v>150.95</v>
      </c>
      <c r="AL172" s="616">
        <f t="shared" si="119"/>
        <v>15.26</v>
      </c>
      <c r="AM172" s="616">
        <f t="shared" si="120"/>
        <v>0</v>
      </c>
      <c r="AN172" s="616">
        <f t="shared" si="121"/>
        <v>0</v>
      </c>
      <c r="AO172" s="615">
        <f t="shared" si="122"/>
        <v>95.06</v>
      </c>
      <c r="AP172" s="616">
        <f t="shared" si="123"/>
        <v>88.65</v>
      </c>
      <c r="AQ172" s="616">
        <f t="shared" si="124"/>
        <v>0</v>
      </c>
      <c r="AR172" s="616">
        <f t="shared" si="125"/>
        <v>0</v>
      </c>
      <c r="AS172" s="616">
        <f t="shared" si="126"/>
        <v>6.41</v>
      </c>
      <c r="AT172" s="637">
        <f t="shared" si="127"/>
        <v>0</v>
      </c>
      <c r="AU172" s="638">
        <f t="shared" si="150"/>
        <v>329.95804</v>
      </c>
      <c r="AV172" s="616">
        <f t="shared" si="151"/>
        <v>123.3488</v>
      </c>
      <c r="AW172" s="616">
        <f t="shared" si="152"/>
        <v>61.6744</v>
      </c>
      <c r="AX172" s="616">
        <f t="shared" si="153"/>
        <v>46.2558</v>
      </c>
      <c r="AY172" s="616">
        <f t="shared" si="154"/>
        <v>1.54186</v>
      </c>
      <c r="AZ172" s="616">
        <f t="shared" si="155"/>
        <v>4.62558</v>
      </c>
      <c r="BA172" s="616">
        <f t="shared" si="156"/>
        <v>92.5116</v>
      </c>
      <c r="BB172" s="616"/>
      <c r="BC172" s="615">
        <f t="shared" si="128"/>
        <v>-8.1106</v>
      </c>
      <c r="BD172" s="616">
        <f t="shared" si="129"/>
        <v>-3.032</v>
      </c>
      <c r="BE172" s="616">
        <f t="shared" si="130"/>
        <v>-1.516</v>
      </c>
      <c r="BF172" s="616">
        <f t="shared" si="131"/>
        <v>-1.137</v>
      </c>
      <c r="BG172" s="616">
        <f t="shared" si="132"/>
        <v>-0.0379</v>
      </c>
      <c r="BH172" s="616">
        <f t="shared" si="133"/>
        <v>-0.1137</v>
      </c>
      <c r="BI172" s="616">
        <f t="shared" si="134"/>
        <v>-2.274</v>
      </c>
      <c r="BJ172" s="616"/>
      <c r="BK172" s="615">
        <f t="shared" si="135"/>
        <v>321.84744</v>
      </c>
      <c r="BL172" s="616">
        <f t="shared" si="136"/>
        <v>120.3168</v>
      </c>
      <c r="BM172" s="616">
        <f t="shared" si="137"/>
        <v>60.1584</v>
      </c>
      <c r="BN172" s="616">
        <f t="shared" si="138"/>
        <v>45.1188</v>
      </c>
      <c r="BO172" s="616">
        <f t="shared" si="139"/>
        <v>1.50396</v>
      </c>
      <c r="BP172" s="616">
        <f t="shared" si="140"/>
        <v>4.51188</v>
      </c>
      <c r="BQ172" s="616">
        <f t="shared" si="141"/>
        <v>90.2376</v>
      </c>
      <c r="BR172" s="616">
        <f t="shared" si="142"/>
        <v>0</v>
      </c>
      <c r="BS172" s="304" t="s">
        <v>683</v>
      </c>
    </row>
    <row r="173" s="132" customFormat="1" ht="24" spans="1:71">
      <c r="A173" s="497" t="s">
        <v>202</v>
      </c>
      <c r="B173" s="497" t="s">
        <v>404</v>
      </c>
      <c r="C173" s="497" t="s">
        <v>435</v>
      </c>
      <c r="D173" s="497" t="s">
        <v>406</v>
      </c>
      <c r="E173" s="615">
        <f t="shared" si="147"/>
        <v>855.84</v>
      </c>
      <c r="F173" s="615">
        <f t="shared" si="148"/>
        <v>750.22</v>
      </c>
      <c r="G173" s="616">
        <v>573.08</v>
      </c>
      <c r="H173" s="616">
        <v>1.1</v>
      </c>
      <c r="I173" s="616">
        <v>176.04</v>
      </c>
      <c r="J173" s="616"/>
      <c r="K173" s="616"/>
      <c r="L173" s="616"/>
      <c r="M173" s="615">
        <f t="shared" si="149"/>
        <v>105.62</v>
      </c>
      <c r="N173" s="616">
        <v>105.62</v>
      </c>
      <c r="O173" s="616"/>
      <c r="P173" s="616"/>
      <c r="Q173" s="650"/>
      <c r="R173" s="616"/>
      <c r="S173" s="615">
        <f t="shared" si="111"/>
        <v>-2.32</v>
      </c>
      <c r="T173" s="615">
        <f t="shared" si="112"/>
        <v>-8.76</v>
      </c>
      <c r="U173" s="616">
        <v>-8.76</v>
      </c>
      <c r="V173" s="616"/>
      <c r="W173" s="616"/>
      <c r="X173" s="616"/>
      <c r="Y173" s="616"/>
      <c r="Z173" s="616"/>
      <c r="AA173" s="615">
        <f t="shared" si="113"/>
        <v>6.44</v>
      </c>
      <c r="AB173" s="616">
        <v>-1.41</v>
      </c>
      <c r="AC173" s="616"/>
      <c r="AD173" s="616"/>
      <c r="AE173" s="616">
        <v>7.85</v>
      </c>
      <c r="AF173" s="616"/>
      <c r="AG173" s="615">
        <f t="shared" si="114"/>
        <v>853.52</v>
      </c>
      <c r="AH173" s="615">
        <f t="shared" si="115"/>
        <v>741.46</v>
      </c>
      <c r="AI173" s="616">
        <f t="shared" si="116"/>
        <v>564.32</v>
      </c>
      <c r="AJ173" s="616">
        <f t="shared" si="117"/>
        <v>1.1</v>
      </c>
      <c r="AK173" s="616">
        <f t="shared" si="118"/>
        <v>176.04</v>
      </c>
      <c r="AL173" s="616">
        <f t="shared" si="119"/>
        <v>0</v>
      </c>
      <c r="AM173" s="616">
        <f t="shared" si="120"/>
        <v>0</v>
      </c>
      <c r="AN173" s="616">
        <f t="shared" si="121"/>
        <v>0</v>
      </c>
      <c r="AO173" s="615">
        <f t="shared" si="122"/>
        <v>112.06</v>
      </c>
      <c r="AP173" s="616">
        <f t="shared" si="123"/>
        <v>104.21</v>
      </c>
      <c r="AQ173" s="616">
        <f t="shared" si="124"/>
        <v>0</v>
      </c>
      <c r="AR173" s="616">
        <f t="shared" si="125"/>
        <v>0</v>
      </c>
      <c r="AS173" s="616">
        <f t="shared" si="126"/>
        <v>7.85</v>
      </c>
      <c r="AT173" s="637">
        <f t="shared" si="127"/>
        <v>0</v>
      </c>
      <c r="AU173" s="638">
        <f t="shared" si="150"/>
        <v>366.29952</v>
      </c>
      <c r="AV173" s="616">
        <f t="shared" si="151"/>
        <v>136.9344</v>
      </c>
      <c r="AW173" s="616">
        <f t="shared" si="152"/>
        <v>68.4672</v>
      </c>
      <c r="AX173" s="616">
        <f t="shared" si="153"/>
        <v>51.3504</v>
      </c>
      <c r="AY173" s="616">
        <f t="shared" si="154"/>
        <v>1.71168</v>
      </c>
      <c r="AZ173" s="616">
        <f t="shared" si="155"/>
        <v>5.13504</v>
      </c>
      <c r="BA173" s="616">
        <f t="shared" si="156"/>
        <v>102.7008</v>
      </c>
      <c r="BB173" s="616"/>
      <c r="BC173" s="615">
        <f t="shared" si="128"/>
        <v>-4.35276</v>
      </c>
      <c r="BD173" s="616">
        <f t="shared" si="129"/>
        <v>-1.6272</v>
      </c>
      <c r="BE173" s="616">
        <f t="shared" si="130"/>
        <v>-0.8136</v>
      </c>
      <c r="BF173" s="616">
        <f t="shared" si="131"/>
        <v>-0.6102</v>
      </c>
      <c r="BG173" s="616">
        <f t="shared" si="132"/>
        <v>-0.02034</v>
      </c>
      <c r="BH173" s="616">
        <f t="shared" si="133"/>
        <v>-0.06102</v>
      </c>
      <c r="BI173" s="616">
        <f t="shared" si="134"/>
        <v>-1.2204</v>
      </c>
      <c r="BJ173" s="616"/>
      <c r="BK173" s="615">
        <f t="shared" si="135"/>
        <v>361.94676</v>
      </c>
      <c r="BL173" s="616">
        <f t="shared" si="136"/>
        <v>135.3072</v>
      </c>
      <c r="BM173" s="616">
        <f t="shared" si="137"/>
        <v>67.6536</v>
      </c>
      <c r="BN173" s="616">
        <f t="shared" si="138"/>
        <v>50.7402</v>
      </c>
      <c r="BO173" s="616">
        <f t="shared" si="139"/>
        <v>1.69134</v>
      </c>
      <c r="BP173" s="616">
        <f t="shared" si="140"/>
        <v>5.07402</v>
      </c>
      <c r="BQ173" s="616">
        <f t="shared" si="141"/>
        <v>101.4804</v>
      </c>
      <c r="BR173" s="616">
        <f t="shared" si="142"/>
        <v>0</v>
      </c>
      <c r="BS173" s="304" t="s">
        <v>684</v>
      </c>
    </row>
    <row r="174" s="132" customFormat="1" ht="24" spans="1:71">
      <c r="A174" s="497" t="s">
        <v>202</v>
      </c>
      <c r="B174" s="497" t="s">
        <v>404</v>
      </c>
      <c r="C174" s="497" t="s">
        <v>436</v>
      </c>
      <c r="D174" s="497" t="s">
        <v>416</v>
      </c>
      <c r="E174" s="615">
        <f t="shared" si="147"/>
        <v>322.4707</v>
      </c>
      <c r="F174" s="615">
        <f t="shared" si="148"/>
        <v>285.7392</v>
      </c>
      <c r="G174" s="616">
        <v>215.982</v>
      </c>
      <c r="H174" s="616">
        <v>0.378</v>
      </c>
      <c r="I174" s="616">
        <v>61.2192</v>
      </c>
      <c r="J174" s="616">
        <v>8.16</v>
      </c>
      <c r="K174" s="616"/>
      <c r="L174" s="616"/>
      <c r="M174" s="615">
        <f t="shared" si="149"/>
        <v>36.7315</v>
      </c>
      <c r="N174" s="616">
        <v>36.7315</v>
      </c>
      <c r="O174" s="616"/>
      <c r="P174" s="616"/>
      <c r="Q174" s="616"/>
      <c r="R174" s="616"/>
      <c r="S174" s="615">
        <f t="shared" si="111"/>
        <v>11.44</v>
      </c>
      <c r="T174" s="615">
        <f t="shared" si="112"/>
        <v>5.12</v>
      </c>
      <c r="U174" s="616">
        <v>5.12</v>
      </c>
      <c r="V174" s="616"/>
      <c r="W174" s="616"/>
      <c r="X174" s="616"/>
      <c r="Y174" s="616"/>
      <c r="Z174" s="616"/>
      <c r="AA174" s="615">
        <f t="shared" si="113"/>
        <v>6.32</v>
      </c>
      <c r="AB174" s="616">
        <v>0.14</v>
      </c>
      <c r="AC174" s="616"/>
      <c r="AD174" s="616"/>
      <c r="AE174" s="616">
        <f>4.5+1.68</f>
        <v>6.18</v>
      </c>
      <c r="AF174" s="616"/>
      <c r="AG174" s="615">
        <f t="shared" si="114"/>
        <v>333.9107</v>
      </c>
      <c r="AH174" s="615">
        <f t="shared" si="115"/>
        <v>290.8592</v>
      </c>
      <c r="AI174" s="616">
        <f t="shared" si="116"/>
        <v>221.102</v>
      </c>
      <c r="AJ174" s="616">
        <f t="shared" si="117"/>
        <v>0.378</v>
      </c>
      <c r="AK174" s="616">
        <f t="shared" si="118"/>
        <v>61.2192</v>
      </c>
      <c r="AL174" s="616">
        <f t="shared" si="119"/>
        <v>8.16</v>
      </c>
      <c r="AM174" s="616">
        <f t="shared" si="120"/>
        <v>0</v>
      </c>
      <c r="AN174" s="616">
        <f t="shared" si="121"/>
        <v>0</v>
      </c>
      <c r="AO174" s="615">
        <f t="shared" si="122"/>
        <v>43.0515</v>
      </c>
      <c r="AP174" s="616">
        <f t="shared" si="123"/>
        <v>36.8715</v>
      </c>
      <c r="AQ174" s="616">
        <f t="shared" si="124"/>
        <v>0</v>
      </c>
      <c r="AR174" s="616">
        <f t="shared" si="125"/>
        <v>0</v>
      </c>
      <c r="AS174" s="616">
        <f t="shared" si="126"/>
        <v>6.18</v>
      </c>
      <c r="AT174" s="637">
        <f t="shared" si="127"/>
        <v>0</v>
      </c>
      <c r="AU174" s="638">
        <f t="shared" si="150"/>
        <v>134.5249796</v>
      </c>
      <c r="AV174" s="616">
        <f t="shared" si="151"/>
        <v>50.289712</v>
      </c>
      <c r="AW174" s="616">
        <f t="shared" si="152"/>
        <v>25.144856</v>
      </c>
      <c r="AX174" s="616">
        <f t="shared" si="153"/>
        <v>18.858642</v>
      </c>
      <c r="AY174" s="616">
        <f t="shared" si="154"/>
        <v>0.6286214</v>
      </c>
      <c r="AZ174" s="616">
        <f t="shared" si="155"/>
        <v>1.8858642</v>
      </c>
      <c r="BA174" s="616">
        <f t="shared" si="156"/>
        <v>37.717284</v>
      </c>
      <c r="BB174" s="616"/>
      <c r="BC174" s="615">
        <f t="shared" si="128"/>
        <v>2.25128</v>
      </c>
      <c r="BD174" s="616">
        <f t="shared" si="129"/>
        <v>0.8416</v>
      </c>
      <c r="BE174" s="616">
        <f t="shared" si="130"/>
        <v>0.4208</v>
      </c>
      <c r="BF174" s="616">
        <f t="shared" si="131"/>
        <v>0.3156</v>
      </c>
      <c r="BG174" s="616">
        <f t="shared" si="132"/>
        <v>0.01052</v>
      </c>
      <c r="BH174" s="616">
        <f t="shared" si="133"/>
        <v>0.03156</v>
      </c>
      <c r="BI174" s="616">
        <f t="shared" si="134"/>
        <v>0.6312</v>
      </c>
      <c r="BJ174" s="616"/>
      <c r="BK174" s="615">
        <f t="shared" si="135"/>
        <v>136.7762596</v>
      </c>
      <c r="BL174" s="616">
        <f t="shared" si="136"/>
        <v>51.131312</v>
      </c>
      <c r="BM174" s="616">
        <f t="shared" si="137"/>
        <v>25.565656</v>
      </c>
      <c r="BN174" s="616">
        <f t="shared" si="138"/>
        <v>19.174242</v>
      </c>
      <c r="BO174" s="616">
        <f t="shared" si="139"/>
        <v>0.6391414</v>
      </c>
      <c r="BP174" s="616">
        <f t="shared" si="140"/>
        <v>1.9174242</v>
      </c>
      <c r="BQ174" s="616">
        <f t="shared" si="141"/>
        <v>38.348484</v>
      </c>
      <c r="BR174" s="616">
        <f t="shared" si="142"/>
        <v>0</v>
      </c>
      <c r="BS174" s="304" t="s">
        <v>685</v>
      </c>
    </row>
    <row r="175" s="132" customFormat="1" ht="24" spans="1:71">
      <c r="A175" s="497" t="s">
        <v>202</v>
      </c>
      <c r="B175" s="497" t="s">
        <v>404</v>
      </c>
      <c r="C175" s="497" t="s">
        <v>437</v>
      </c>
      <c r="D175" s="497" t="s">
        <v>406</v>
      </c>
      <c r="E175" s="615">
        <f t="shared" si="147"/>
        <v>441.76</v>
      </c>
      <c r="F175" s="615">
        <f t="shared" si="148"/>
        <v>390.34</v>
      </c>
      <c r="G175" s="616">
        <v>291.11</v>
      </c>
      <c r="H175" s="616">
        <v>0.56</v>
      </c>
      <c r="I175" s="616">
        <v>85.71</v>
      </c>
      <c r="J175" s="616">
        <v>12.96</v>
      </c>
      <c r="K175" s="616"/>
      <c r="L175" s="616"/>
      <c r="M175" s="615">
        <f t="shared" si="149"/>
        <v>51.42</v>
      </c>
      <c r="N175" s="616">
        <v>51.42</v>
      </c>
      <c r="O175" s="616"/>
      <c r="P175" s="616"/>
      <c r="Q175" s="616"/>
      <c r="R175" s="616"/>
      <c r="S175" s="615">
        <f t="shared" si="111"/>
        <v>-18.21</v>
      </c>
      <c r="T175" s="615">
        <f t="shared" si="112"/>
        <v>-18.94</v>
      </c>
      <c r="U175" s="616">
        <v>-18.2</v>
      </c>
      <c r="V175" s="616"/>
      <c r="W175" s="616"/>
      <c r="X175" s="616">
        <v>-0.74</v>
      </c>
      <c r="Y175" s="616"/>
      <c r="Z175" s="616"/>
      <c r="AA175" s="615">
        <f t="shared" si="113"/>
        <v>0.73</v>
      </c>
      <c r="AB175" s="616">
        <v>-2.44</v>
      </c>
      <c r="AC175" s="616"/>
      <c r="AD175" s="616"/>
      <c r="AE175" s="616">
        <v>3.17</v>
      </c>
      <c r="AF175" s="616"/>
      <c r="AG175" s="615">
        <f t="shared" si="114"/>
        <v>423.55</v>
      </c>
      <c r="AH175" s="615">
        <f t="shared" si="115"/>
        <v>371.4</v>
      </c>
      <c r="AI175" s="616">
        <f t="shared" si="116"/>
        <v>272.91</v>
      </c>
      <c r="AJ175" s="616">
        <f t="shared" si="117"/>
        <v>0.56</v>
      </c>
      <c r="AK175" s="616">
        <f t="shared" si="118"/>
        <v>85.71</v>
      </c>
      <c r="AL175" s="616">
        <f t="shared" si="119"/>
        <v>12.22</v>
      </c>
      <c r="AM175" s="616">
        <f t="shared" si="120"/>
        <v>0</v>
      </c>
      <c r="AN175" s="616">
        <f t="shared" si="121"/>
        <v>0</v>
      </c>
      <c r="AO175" s="615">
        <f t="shared" si="122"/>
        <v>52.15</v>
      </c>
      <c r="AP175" s="616">
        <f t="shared" si="123"/>
        <v>48.98</v>
      </c>
      <c r="AQ175" s="616">
        <f t="shared" si="124"/>
        <v>0</v>
      </c>
      <c r="AR175" s="616">
        <f t="shared" si="125"/>
        <v>0</v>
      </c>
      <c r="AS175" s="616">
        <f t="shared" si="126"/>
        <v>3.17</v>
      </c>
      <c r="AT175" s="637">
        <f t="shared" si="127"/>
        <v>0</v>
      </c>
      <c r="AU175" s="638">
        <f t="shared" si="150"/>
        <v>183.5264</v>
      </c>
      <c r="AV175" s="616">
        <f t="shared" si="151"/>
        <v>68.608</v>
      </c>
      <c r="AW175" s="616">
        <f t="shared" si="152"/>
        <v>34.304</v>
      </c>
      <c r="AX175" s="616">
        <f t="shared" si="153"/>
        <v>25.728</v>
      </c>
      <c r="AY175" s="616">
        <f t="shared" si="154"/>
        <v>0.8576</v>
      </c>
      <c r="AZ175" s="616">
        <f t="shared" si="155"/>
        <v>2.5728</v>
      </c>
      <c r="BA175" s="616">
        <f t="shared" si="156"/>
        <v>51.456</v>
      </c>
      <c r="BB175" s="616"/>
      <c r="BC175" s="615">
        <f t="shared" si="128"/>
        <v>-8.83392</v>
      </c>
      <c r="BD175" s="616">
        <f t="shared" si="129"/>
        <v>-3.3024</v>
      </c>
      <c r="BE175" s="616">
        <f t="shared" si="130"/>
        <v>-1.6512</v>
      </c>
      <c r="BF175" s="616">
        <f t="shared" si="131"/>
        <v>-1.2384</v>
      </c>
      <c r="BG175" s="616">
        <f t="shared" si="132"/>
        <v>-0.04128</v>
      </c>
      <c r="BH175" s="616">
        <f t="shared" si="133"/>
        <v>-0.12384</v>
      </c>
      <c r="BI175" s="616">
        <f t="shared" si="134"/>
        <v>-2.4768</v>
      </c>
      <c r="BJ175" s="616"/>
      <c r="BK175" s="615">
        <f t="shared" si="135"/>
        <v>174.69248</v>
      </c>
      <c r="BL175" s="616">
        <f t="shared" si="136"/>
        <v>65.3056</v>
      </c>
      <c r="BM175" s="616">
        <f t="shared" si="137"/>
        <v>32.6528</v>
      </c>
      <c r="BN175" s="616">
        <f t="shared" si="138"/>
        <v>24.4896</v>
      </c>
      <c r="BO175" s="616">
        <f t="shared" si="139"/>
        <v>0.81632</v>
      </c>
      <c r="BP175" s="616">
        <f t="shared" si="140"/>
        <v>2.44896</v>
      </c>
      <c r="BQ175" s="616">
        <f t="shared" si="141"/>
        <v>48.9792</v>
      </c>
      <c r="BR175" s="616">
        <f t="shared" si="142"/>
        <v>0</v>
      </c>
      <c r="BS175" s="304" t="s">
        <v>686</v>
      </c>
    </row>
    <row r="176" s="132" customFormat="1" ht="24" spans="1:71">
      <c r="A176" s="497" t="s">
        <v>202</v>
      </c>
      <c r="B176" s="497" t="s">
        <v>404</v>
      </c>
      <c r="C176" s="497" t="s">
        <v>438</v>
      </c>
      <c r="D176" s="497" t="s">
        <v>416</v>
      </c>
      <c r="E176" s="615">
        <f t="shared" si="147"/>
        <v>458.25</v>
      </c>
      <c r="F176" s="615">
        <f t="shared" si="148"/>
        <v>405.63</v>
      </c>
      <c r="G176" s="616">
        <v>298.88</v>
      </c>
      <c r="H176" s="616">
        <v>0.57</v>
      </c>
      <c r="I176" s="616">
        <v>87.7</v>
      </c>
      <c r="J176" s="616">
        <v>18.48</v>
      </c>
      <c r="K176" s="616">
        <v>0</v>
      </c>
      <c r="L176" s="616"/>
      <c r="M176" s="615">
        <f t="shared" si="149"/>
        <v>52.62</v>
      </c>
      <c r="N176" s="616">
        <v>52.62</v>
      </c>
      <c r="O176" s="616"/>
      <c r="P176" s="616"/>
      <c r="Q176" s="616"/>
      <c r="R176" s="616"/>
      <c r="S176" s="615">
        <f t="shared" si="111"/>
        <v>28.2</v>
      </c>
      <c r="T176" s="615">
        <f t="shared" si="112"/>
        <v>4.37</v>
      </c>
      <c r="U176" s="616">
        <v>4.27</v>
      </c>
      <c r="V176" s="616"/>
      <c r="W176" s="616"/>
      <c r="X176" s="616">
        <v>0.1</v>
      </c>
      <c r="Y176" s="616"/>
      <c r="Z176" s="616"/>
      <c r="AA176" s="615">
        <f t="shared" si="113"/>
        <v>23.83</v>
      </c>
      <c r="AB176" s="616">
        <v>14</v>
      </c>
      <c r="AC176" s="616"/>
      <c r="AD176" s="616"/>
      <c r="AE176" s="616">
        <f>6+3.83</f>
        <v>9.83</v>
      </c>
      <c r="AF176" s="616"/>
      <c r="AG176" s="615">
        <f t="shared" si="114"/>
        <v>486.45</v>
      </c>
      <c r="AH176" s="615">
        <f t="shared" si="115"/>
        <v>410</v>
      </c>
      <c r="AI176" s="616">
        <f t="shared" si="116"/>
        <v>303.15</v>
      </c>
      <c r="AJ176" s="616">
        <f t="shared" si="117"/>
        <v>0.57</v>
      </c>
      <c r="AK176" s="616">
        <f t="shared" si="118"/>
        <v>87.7</v>
      </c>
      <c r="AL176" s="616">
        <f t="shared" si="119"/>
        <v>18.58</v>
      </c>
      <c r="AM176" s="616">
        <f t="shared" si="120"/>
        <v>0</v>
      </c>
      <c r="AN176" s="616">
        <f t="shared" si="121"/>
        <v>0</v>
      </c>
      <c r="AO176" s="615">
        <f t="shared" si="122"/>
        <v>76.45</v>
      </c>
      <c r="AP176" s="616">
        <f t="shared" si="123"/>
        <v>66.62</v>
      </c>
      <c r="AQ176" s="616">
        <f t="shared" si="124"/>
        <v>0</v>
      </c>
      <c r="AR176" s="616">
        <f t="shared" si="125"/>
        <v>0</v>
      </c>
      <c r="AS176" s="616">
        <f t="shared" si="126"/>
        <v>9.83</v>
      </c>
      <c r="AT176" s="637">
        <f t="shared" si="127"/>
        <v>0</v>
      </c>
      <c r="AU176" s="638">
        <f t="shared" si="150"/>
        <v>188.22156</v>
      </c>
      <c r="AV176" s="616">
        <f t="shared" si="151"/>
        <v>70.3632</v>
      </c>
      <c r="AW176" s="616">
        <f t="shared" si="152"/>
        <v>35.1816</v>
      </c>
      <c r="AX176" s="616">
        <f t="shared" si="153"/>
        <v>26.3862</v>
      </c>
      <c r="AY176" s="616">
        <f t="shared" si="154"/>
        <v>0.87954</v>
      </c>
      <c r="AZ176" s="616">
        <f t="shared" si="155"/>
        <v>2.63862</v>
      </c>
      <c r="BA176" s="616">
        <f t="shared" si="156"/>
        <v>52.7724</v>
      </c>
      <c r="BB176" s="616"/>
      <c r="BC176" s="615">
        <f t="shared" si="128"/>
        <v>7.81956</v>
      </c>
      <c r="BD176" s="616">
        <f t="shared" si="129"/>
        <v>2.9232</v>
      </c>
      <c r="BE176" s="616">
        <f t="shared" si="130"/>
        <v>1.4616</v>
      </c>
      <c r="BF176" s="616">
        <f t="shared" si="131"/>
        <v>1.0962</v>
      </c>
      <c r="BG176" s="616">
        <f t="shared" si="132"/>
        <v>0.03654</v>
      </c>
      <c r="BH176" s="616">
        <f t="shared" si="133"/>
        <v>0.10962</v>
      </c>
      <c r="BI176" s="616">
        <f t="shared" si="134"/>
        <v>2.1924</v>
      </c>
      <c r="BJ176" s="616"/>
      <c r="BK176" s="615">
        <f t="shared" si="135"/>
        <v>196.04112</v>
      </c>
      <c r="BL176" s="616">
        <f t="shared" si="136"/>
        <v>73.2864</v>
      </c>
      <c r="BM176" s="616">
        <f t="shared" si="137"/>
        <v>36.6432</v>
      </c>
      <c r="BN176" s="616">
        <f t="shared" si="138"/>
        <v>27.4824</v>
      </c>
      <c r="BO176" s="616">
        <f t="shared" si="139"/>
        <v>0.91608</v>
      </c>
      <c r="BP176" s="616">
        <f t="shared" si="140"/>
        <v>2.74824</v>
      </c>
      <c r="BQ176" s="616">
        <f t="shared" si="141"/>
        <v>54.9648</v>
      </c>
      <c r="BR176" s="616">
        <f t="shared" si="142"/>
        <v>0</v>
      </c>
      <c r="BS176" s="304" t="s">
        <v>687</v>
      </c>
    </row>
    <row r="177" s="132" customFormat="1" ht="24" spans="1:71">
      <c r="A177" s="497" t="s">
        <v>202</v>
      </c>
      <c r="B177" s="497" t="s">
        <v>404</v>
      </c>
      <c r="C177" s="497" t="s">
        <v>439</v>
      </c>
      <c r="D177" s="497" t="s">
        <v>406</v>
      </c>
      <c r="E177" s="615">
        <f t="shared" si="147"/>
        <v>680.48</v>
      </c>
      <c r="F177" s="615">
        <f t="shared" si="148"/>
        <v>599.45</v>
      </c>
      <c r="G177" s="616">
        <v>431.09</v>
      </c>
      <c r="H177" s="616">
        <v>0.55</v>
      </c>
      <c r="I177" s="616">
        <v>135.05</v>
      </c>
      <c r="J177" s="616">
        <v>32.76</v>
      </c>
      <c r="K177" s="616">
        <v>0</v>
      </c>
      <c r="L177" s="616"/>
      <c r="M177" s="615">
        <f t="shared" si="149"/>
        <v>81.03</v>
      </c>
      <c r="N177" s="616">
        <v>81.03</v>
      </c>
      <c r="O177" s="616"/>
      <c r="P177" s="616"/>
      <c r="Q177" s="616"/>
      <c r="R177" s="616"/>
      <c r="S177" s="615">
        <f t="shared" si="111"/>
        <v>-38.7</v>
      </c>
      <c r="T177" s="615">
        <f t="shared" si="112"/>
        <v>-42.23</v>
      </c>
      <c r="U177" s="616">
        <v>-39.92</v>
      </c>
      <c r="V177" s="616"/>
      <c r="W177" s="616"/>
      <c r="X177" s="616">
        <v>-2.31</v>
      </c>
      <c r="Y177" s="616"/>
      <c r="Z177" s="616"/>
      <c r="AA177" s="615">
        <f t="shared" si="113"/>
        <v>3.53</v>
      </c>
      <c r="AB177" s="616">
        <v>-4.67</v>
      </c>
      <c r="AC177" s="616"/>
      <c r="AD177" s="616"/>
      <c r="AE177" s="618">
        <f>5.2+3</f>
        <v>8.2</v>
      </c>
      <c r="AF177" s="616"/>
      <c r="AG177" s="615">
        <f t="shared" si="114"/>
        <v>641.78</v>
      </c>
      <c r="AH177" s="615">
        <f t="shared" si="115"/>
        <v>557.22</v>
      </c>
      <c r="AI177" s="616">
        <f t="shared" si="116"/>
        <v>391.17</v>
      </c>
      <c r="AJ177" s="616">
        <f t="shared" si="117"/>
        <v>0.55</v>
      </c>
      <c r="AK177" s="616">
        <f t="shared" si="118"/>
        <v>135.05</v>
      </c>
      <c r="AL177" s="616">
        <f t="shared" si="119"/>
        <v>30.45</v>
      </c>
      <c r="AM177" s="616">
        <f t="shared" si="120"/>
        <v>0</v>
      </c>
      <c r="AN177" s="616">
        <f t="shared" si="121"/>
        <v>0</v>
      </c>
      <c r="AO177" s="615">
        <f t="shared" si="122"/>
        <v>84.56</v>
      </c>
      <c r="AP177" s="616">
        <f t="shared" si="123"/>
        <v>76.36</v>
      </c>
      <c r="AQ177" s="616">
        <f t="shared" si="124"/>
        <v>0</v>
      </c>
      <c r="AR177" s="616">
        <f t="shared" si="125"/>
        <v>0</v>
      </c>
      <c r="AS177" s="616">
        <f t="shared" si="126"/>
        <v>8.2</v>
      </c>
      <c r="AT177" s="637">
        <f t="shared" si="127"/>
        <v>0</v>
      </c>
      <c r="AU177" s="638">
        <f t="shared" si="150"/>
        <v>277.22416</v>
      </c>
      <c r="AV177" s="616">
        <f t="shared" si="151"/>
        <v>103.6352</v>
      </c>
      <c r="AW177" s="616">
        <f t="shared" si="152"/>
        <v>51.8176</v>
      </c>
      <c r="AX177" s="616">
        <f t="shared" si="153"/>
        <v>38.8632</v>
      </c>
      <c r="AY177" s="616">
        <f t="shared" si="154"/>
        <v>1.29544</v>
      </c>
      <c r="AZ177" s="616">
        <f t="shared" si="155"/>
        <v>3.88632</v>
      </c>
      <c r="BA177" s="616">
        <f t="shared" si="156"/>
        <v>77.7264</v>
      </c>
      <c r="BB177" s="616"/>
      <c r="BC177" s="615">
        <f t="shared" si="128"/>
        <v>-19.08452</v>
      </c>
      <c r="BD177" s="616">
        <f t="shared" si="129"/>
        <v>-7.1344</v>
      </c>
      <c r="BE177" s="616">
        <f t="shared" si="130"/>
        <v>-3.5672</v>
      </c>
      <c r="BF177" s="616">
        <f t="shared" si="131"/>
        <v>-2.6754</v>
      </c>
      <c r="BG177" s="616">
        <f t="shared" si="132"/>
        <v>-0.08918</v>
      </c>
      <c r="BH177" s="616">
        <f t="shared" si="133"/>
        <v>-0.26754</v>
      </c>
      <c r="BI177" s="616">
        <f t="shared" si="134"/>
        <v>-5.3508</v>
      </c>
      <c r="BJ177" s="616"/>
      <c r="BK177" s="615">
        <f t="shared" si="135"/>
        <v>258.13964</v>
      </c>
      <c r="BL177" s="616">
        <f t="shared" si="136"/>
        <v>96.5008</v>
      </c>
      <c r="BM177" s="616">
        <f t="shared" si="137"/>
        <v>48.2504</v>
      </c>
      <c r="BN177" s="616">
        <f t="shared" si="138"/>
        <v>36.1878</v>
      </c>
      <c r="BO177" s="616">
        <f t="shared" si="139"/>
        <v>1.20626</v>
      </c>
      <c r="BP177" s="616">
        <f t="shared" si="140"/>
        <v>3.61878</v>
      </c>
      <c r="BQ177" s="616">
        <f t="shared" si="141"/>
        <v>72.3756</v>
      </c>
      <c r="BR177" s="616">
        <f t="shared" si="142"/>
        <v>0</v>
      </c>
      <c r="BS177" s="304" t="s">
        <v>688</v>
      </c>
    </row>
    <row r="178" s="132" customFormat="1" ht="24" spans="1:71">
      <c r="A178" s="497" t="s">
        <v>202</v>
      </c>
      <c r="B178" s="497" t="s">
        <v>400</v>
      </c>
      <c r="C178" s="497" t="s">
        <v>440</v>
      </c>
      <c r="D178" s="497" t="s">
        <v>441</v>
      </c>
      <c r="E178" s="615">
        <f t="shared" si="147"/>
        <v>444.2</v>
      </c>
      <c r="F178" s="615">
        <f t="shared" si="148"/>
        <v>385.63</v>
      </c>
      <c r="G178" s="616">
        <v>287.56</v>
      </c>
      <c r="H178" s="616">
        <v>0.46</v>
      </c>
      <c r="I178" s="616">
        <v>97.61</v>
      </c>
      <c r="J178" s="616"/>
      <c r="K178" s="616"/>
      <c r="L178" s="616"/>
      <c r="M178" s="615">
        <f t="shared" si="149"/>
        <v>58.57</v>
      </c>
      <c r="N178" s="616">
        <v>58.57</v>
      </c>
      <c r="O178" s="616"/>
      <c r="P178" s="616"/>
      <c r="Q178" s="616"/>
      <c r="R178" s="616"/>
      <c r="S178" s="615">
        <f t="shared" si="111"/>
        <v>23.06</v>
      </c>
      <c r="T178" s="615">
        <f t="shared" si="112"/>
        <v>17.12</v>
      </c>
      <c r="U178" s="616">
        <v>17.12</v>
      </c>
      <c r="V178" s="616"/>
      <c r="W178" s="616"/>
      <c r="X178" s="616"/>
      <c r="Y178" s="616"/>
      <c r="Z178" s="616"/>
      <c r="AA178" s="615">
        <f t="shared" si="113"/>
        <v>5.94</v>
      </c>
      <c r="AB178" s="616">
        <v>2.3</v>
      </c>
      <c r="AC178" s="616"/>
      <c r="AD178" s="616"/>
      <c r="AE178" s="616">
        <v>3.64</v>
      </c>
      <c r="AF178" s="616"/>
      <c r="AG178" s="615">
        <f t="shared" si="114"/>
        <v>467.26</v>
      </c>
      <c r="AH178" s="615">
        <f t="shared" si="115"/>
        <v>402.75</v>
      </c>
      <c r="AI178" s="616">
        <f t="shared" si="116"/>
        <v>304.68</v>
      </c>
      <c r="AJ178" s="616">
        <f t="shared" si="117"/>
        <v>0.46</v>
      </c>
      <c r="AK178" s="616">
        <f t="shared" si="118"/>
        <v>97.61</v>
      </c>
      <c r="AL178" s="616">
        <f t="shared" si="119"/>
        <v>0</v>
      </c>
      <c r="AM178" s="616">
        <f t="shared" si="120"/>
        <v>0</v>
      </c>
      <c r="AN178" s="616">
        <f t="shared" si="121"/>
        <v>0</v>
      </c>
      <c r="AO178" s="615">
        <f t="shared" si="122"/>
        <v>64.51</v>
      </c>
      <c r="AP178" s="616">
        <f t="shared" si="123"/>
        <v>60.87</v>
      </c>
      <c r="AQ178" s="616">
        <f t="shared" si="124"/>
        <v>0</v>
      </c>
      <c r="AR178" s="616">
        <f t="shared" si="125"/>
        <v>0</v>
      </c>
      <c r="AS178" s="616">
        <f t="shared" si="126"/>
        <v>3.64</v>
      </c>
      <c r="AT178" s="637">
        <f t="shared" si="127"/>
        <v>0</v>
      </c>
      <c r="AU178" s="638">
        <f t="shared" si="150"/>
        <v>190.1176</v>
      </c>
      <c r="AV178" s="616">
        <f t="shared" si="151"/>
        <v>71.072</v>
      </c>
      <c r="AW178" s="616">
        <f t="shared" si="152"/>
        <v>35.536</v>
      </c>
      <c r="AX178" s="616">
        <f t="shared" si="153"/>
        <v>26.652</v>
      </c>
      <c r="AY178" s="616">
        <f t="shared" si="154"/>
        <v>0.8884</v>
      </c>
      <c r="AZ178" s="616">
        <f t="shared" si="155"/>
        <v>2.6652</v>
      </c>
      <c r="BA178" s="616">
        <f t="shared" si="156"/>
        <v>53.304</v>
      </c>
      <c r="BB178" s="616"/>
      <c r="BC178" s="615">
        <f t="shared" si="128"/>
        <v>8.31176</v>
      </c>
      <c r="BD178" s="616">
        <f t="shared" si="129"/>
        <v>3.1072</v>
      </c>
      <c r="BE178" s="616">
        <f t="shared" si="130"/>
        <v>1.5536</v>
      </c>
      <c r="BF178" s="616">
        <f t="shared" si="131"/>
        <v>1.1652</v>
      </c>
      <c r="BG178" s="616">
        <f t="shared" si="132"/>
        <v>0.03884</v>
      </c>
      <c r="BH178" s="616">
        <f t="shared" si="133"/>
        <v>0.11652</v>
      </c>
      <c r="BI178" s="616">
        <f t="shared" si="134"/>
        <v>2.3304</v>
      </c>
      <c r="BJ178" s="616"/>
      <c r="BK178" s="615">
        <f t="shared" si="135"/>
        <v>198.42936</v>
      </c>
      <c r="BL178" s="616">
        <f t="shared" si="136"/>
        <v>74.1792</v>
      </c>
      <c r="BM178" s="616">
        <f t="shared" si="137"/>
        <v>37.0896</v>
      </c>
      <c r="BN178" s="616">
        <f t="shared" si="138"/>
        <v>27.8172</v>
      </c>
      <c r="BO178" s="616">
        <f t="shared" si="139"/>
        <v>0.92724</v>
      </c>
      <c r="BP178" s="616">
        <f t="shared" si="140"/>
        <v>2.78172</v>
      </c>
      <c r="BQ178" s="616">
        <f t="shared" si="141"/>
        <v>55.6344</v>
      </c>
      <c r="BR178" s="616">
        <f t="shared" si="142"/>
        <v>0</v>
      </c>
      <c r="BS178" s="304" t="s">
        <v>689</v>
      </c>
    </row>
    <row r="179" s="132" customFormat="1" ht="24" spans="1:71">
      <c r="A179" s="497" t="s">
        <v>202</v>
      </c>
      <c r="B179" s="497" t="s">
        <v>404</v>
      </c>
      <c r="C179" s="497" t="s">
        <v>442</v>
      </c>
      <c r="D179" s="497" t="s">
        <v>416</v>
      </c>
      <c r="E179" s="615">
        <f t="shared" si="147"/>
        <v>1525.21</v>
      </c>
      <c r="F179" s="615">
        <f t="shared" si="148"/>
        <v>1346.05</v>
      </c>
      <c r="G179" s="616">
        <v>1045.52</v>
      </c>
      <c r="H179" s="616">
        <v>1.93</v>
      </c>
      <c r="I179" s="616">
        <v>298.6</v>
      </c>
      <c r="J179" s="616"/>
      <c r="K179" s="616"/>
      <c r="L179" s="616"/>
      <c r="M179" s="615">
        <f t="shared" si="149"/>
        <v>179.16</v>
      </c>
      <c r="N179" s="616">
        <v>179.16</v>
      </c>
      <c r="O179" s="616"/>
      <c r="P179" s="616"/>
      <c r="Q179" s="616"/>
      <c r="R179" s="616"/>
      <c r="S179" s="615">
        <f t="shared" si="111"/>
        <v>-21.95</v>
      </c>
      <c r="T179" s="615">
        <f t="shared" si="112"/>
        <v>-24.12</v>
      </c>
      <c r="U179" s="616">
        <v>-24.12</v>
      </c>
      <c r="V179" s="616"/>
      <c r="W179" s="616"/>
      <c r="X179" s="616"/>
      <c r="Y179" s="616"/>
      <c r="Z179" s="616"/>
      <c r="AA179" s="615">
        <f t="shared" si="113"/>
        <v>2.17</v>
      </c>
      <c r="AB179" s="616">
        <v>-4.22</v>
      </c>
      <c r="AC179" s="616"/>
      <c r="AD179" s="616"/>
      <c r="AE179" s="616">
        <v>6.39</v>
      </c>
      <c r="AF179" s="616"/>
      <c r="AG179" s="615">
        <f t="shared" si="114"/>
        <v>1503.26</v>
      </c>
      <c r="AH179" s="615">
        <f t="shared" si="115"/>
        <v>1321.93</v>
      </c>
      <c r="AI179" s="616">
        <f t="shared" si="116"/>
        <v>1021.4</v>
      </c>
      <c r="AJ179" s="616">
        <f t="shared" si="117"/>
        <v>1.93</v>
      </c>
      <c r="AK179" s="616">
        <f t="shared" si="118"/>
        <v>298.6</v>
      </c>
      <c r="AL179" s="616">
        <f t="shared" si="119"/>
        <v>0</v>
      </c>
      <c r="AM179" s="616">
        <f t="shared" si="120"/>
        <v>0</v>
      </c>
      <c r="AN179" s="616">
        <f t="shared" si="121"/>
        <v>0</v>
      </c>
      <c r="AO179" s="615">
        <f t="shared" si="122"/>
        <v>181.33</v>
      </c>
      <c r="AP179" s="616">
        <f t="shared" si="123"/>
        <v>174.94</v>
      </c>
      <c r="AQ179" s="616">
        <f t="shared" si="124"/>
        <v>0</v>
      </c>
      <c r="AR179" s="616">
        <f t="shared" si="125"/>
        <v>0</v>
      </c>
      <c r="AS179" s="616">
        <f t="shared" si="126"/>
        <v>6.39</v>
      </c>
      <c r="AT179" s="637">
        <f t="shared" si="127"/>
        <v>0</v>
      </c>
      <c r="AU179" s="638">
        <f t="shared" si="150"/>
        <v>652.78988</v>
      </c>
      <c r="AV179" s="616">
        <f t="shared" si="151"/>
        <v>244.0336</v>
      </c>
      <c r="AW179" s="616">
        <f t="shared" si="152"/>
        <v>122.0168</v>
      </c>
      <c r="AX179" s="616">
        <f t="shared" si="153"/>
        <v>91.5126</v>
      </c>
      <c r="AY179" s="616">
        <f t="shared" si="154"/>
        <v>3.05042</v>
      </c>
      <c r="AZ179" s="616">
        <f t="shared" si="155"/>
        <v>9.15126</v>
      </c>
      <c r="BA179" s="616">
        <f t="shared" si="156"/>
        <v>183.0252</v>
      </c>
      <c r="BB179" s="616"/>
      <c r="BC179" s="615">
        <f t="shared" si="128"/>
        <v>-12.12952</v>
      </c>
      <c r="BD179" s="616">
        <f t="shared" si="129"/>
        <v>-4.5344</v>
      </c>
      <c r="BE179" s="616">
        <f t="shared" si="130"/>
        <v>-2.2672</v>
      </c>
      <c r="BF179" s="616">
        <f t="shared" si="131"/>
        <v>-1.7004</v>
      </c>
      <c r="BG179" s="616">
        <f t="shared" si="132"/>
        <v>-0.05668</v>
      </c>
      <c r="BH179" s="616">
        <f t="shared" si="133"/>
        <v>-0.17004</v>
      </c>
      <c r="BI179" s="616">
        <f t="shared" si="134"/>
        <v>-3.4008</v>
      </c>
      <c r="BJ179" s="616"/>
      <c r="BK179" s="615">
        <f t="shared" si="135"/>
        <v>640.66036</v>
      </c>
      <c r="BL179" s="616">
        <f t="shared" si="136"/>
        <v>239.4992</v>
      </c>
      <c r="BM179" s="616">
        <f t="shared" si="137"/>
        <v>119.7496</v>
      </c>
      <c r="BN179" s="616">
        <f t="shared" si="138"/>
        <v>89.8122</v>
      </c>
      <c r="BO179" s="616">
        <f t="shared" si="139"/>
        <v>2.99374</v>
      </c>
      <c r="BP179" s="616">
        <f t="shared" si="140"/>
        <v>8.98122</v>
      </c>
      <c r="BQ179" s="616">
        <f t="shared" si="141"/>
        <v>179.6244</v>
      </c>
      <c r="BR179" s="616">
        <f t="shared" si="142"/>
        <v>0</v>
      </c>
      <c r="BS179" s="304" t="s">
        <v>690</v>
      </c>
    </row>
    <row r="180" s="132" customFormat="1" ht="24" spans="1:71">
      <c r="A180" s="497" t="s">
        <v>202</v>
      </c>
      <c r="B180" s="497" t="s">
        <v>404</v>
      </c>
      <c r="C180" s="497" t="s">
        <v>443</v>
      </c>
      <c r="D180" s="497" t="s">
        <v>406</v>
      </c>
      <c r="E180" s="615">
        <f t="shared" si="147"/>
        <v>388.94</v>
      </c>
      <c r="F180" s="615">
        <f t="shared" si="148"/>
        <v>343.09</v>
      </c>
      <c r="G180" s="616">
        <v>242.09</v>
      </c>
      <c r="H180" s="616">
        <v>0.35</v>
      </c>
      <c r="I180" s="616">
        <v>76.41</v>
      </c>
      <c r="J180" s="616">
        <v>24.24</v>
      </c>
      <c r="K180" s="616"/>
      <c r="L180" s="616"/>
      <c r="M180" s="615">
        <f t="shared" si="149"/>
        <v>45.85</v>
      </c>
      <c r="N180" s="616">
        <v>45.85</v>
      </c>
      <c r="O180" s="616"/>
      <c r="P180" s="616"/>
      <c r="Q180" s="650"/>
      <c r="R180" s="616"/>
      <c r="S180" s="615">
        <f t="shared" si="111"/>
        <v>-4.46</v>
      </c>
      <c r="T180" s="615">
        <f t="shared" si="112"/>
        <v>-10.03</v>
      </c>
      <c r="U180" s="616">
        <v>-9.03</v>
      </c>
      <c r="V180" s="616"/>
      <c r="W180" s="616"/>
      <c r="X180" s="616">
        <v>-1</v>
      </c>
      <c r="Y180" s="616"/>
      <c r="Z180" s="616"/>
      <c r="AA180" s="615">
        <f t="shared" si="113"/>
        <v>5.57</v>
      </c>
      <c r="AB180" s="616">
        <v>-1.38</v>
      </c>
      <c r="AC180" s="616"/>
      <c r="AD180" s="616"/>
      <c r="AE180" s="616">
        <f>3+3.95</f>
        <v>6.95</v>
      </c>
      <c r="AF180" s="616"/>
      <c r="AG180" s="615">
        <f t="shared" si="114"/>
        <v>384.48</v>
      </c>
      <c r="AH180" s="615">
        <f t="shared" si="115"/>
        <v>333.06</v>
      </c>
      <c r="AI180" s="616">
        <f t="shared" si="116"/>
        <v>233.06</v>
      </c>
      <c r="AJ180" s="616">
        <f t="shared" si="117"/>
        <v>0.35</v>
      </c>
      <c r="AK180" s="616">
        <f t="shared" si="118"/>
        <v>76.41</v>
      </c>
      <c r="AL180" s="616">
        <f t="shared" si="119"/>
        <v>23.24</v>
      </c>
      <c r="AM180" s="616">
        <f t="shared" si="120"/>
        <v>0</v>
      </c>
      <c r="AN180" s="616">
        <f t="shared" si="121"/>
        <v>0</v>
      </c>
      <c r="AO180" s="615">
        <f t="shared" si="122"/>
        <v>51.42</v>
      </c>
      <c r="AP180" s="616">
        <f t="shared" si="123"/>
        <v>44.47</v>
      </c>
      <c r="AQ180" s="616">
        <f t="shared" si="124"/>
        <v>0</v>
      </c>
      <c r="AR180" s="616">
        <f t="shared" si="125"/>
        <v>0</v>
      </c>
      <c r="AS180" s="616">
        <f t="shared" si="126"/>
        <v>6.95</v>
      </c>
      <c r="AT180" s="637">
        <f t="shared" si="127"/>
        <v>0</v>
      </c>
      <c r="AU180" s="638">
        <f t="shared" si="150"/>
        <v>156.0916</v>
      </c>
      <c r="AV180" s="616">
        <f t="shared" si="151"/>
        <v>58.352</v>
      </c>
      <c r="AW180" s="616">
        <f t="shared" si="152"/>
        <v>29.176</v>
      </c>
      <c r="AX180" s="616">
        <f t="shared" si="153"/>
        <v>21.882</v>
      </c>
      <c r="AY180" s="616">
        <f t="shared" si="154"/>
        <v>0.7294</v>
      </c>
      <c r="AZ180" s="616">
        <f t="shared" si="155"/>
        <v>2.1882</v>
      </c>
      <c r="BA180" s="616">
        <f t="shared" si="156"/>
        <v>43.764</v>
      </c>
      <c r="BB180" s="616"/>
      <c r="BC180" s="615">
        <f t="shared" si="128"/>
        <v>-4.45548</v>
      </c>
      <c r="BD180" s="616">
        <f t="shared" si="129"/>
        <v>-1.6656</v>
      </c>
      <c r="BE180" s="616">
        <f t="shared" si="130"/>
        <v>-0.8328</v>
      </c>
      <c r="BF180" s="616">
        <f t="shared" si="131"/>
        <v>-0.6246</v>
      </c>
      <c r="BG180" s="616">
        <f t="shared" si="132"/>
        <v>-0.02082</v>
      </c>
      <c r="BH180" s="616">
        <f t="shared" si="133"/>
        <v>-0.06246</v>
      </c>
      <c r="BI180" s="616">
        <f t="shared" si="134"/>
        <v>-1.2492</v>
      </c>
      <c r="BJ180" s="616"/>
      <c r="BK180" s="615">
        <f t="shared" si="135"/>
        <v>151.63612</v>
      </c>
      <c r="BL180" s="616">
        <f t="shared" si="136"/>
        <v>56.6864</v>
      </c>
      <c r="BM180" s="616">
        <f t="shared" si="137"/>
        <v>28.3432</v>
      </c>
      <c r="BN180" s="616">
        <f t="shared" si="138"/>
        <v>21.2574</v>
      </c>
      <c r="BO180" s="616">
        <f t="shared" si="139"/>
        <v>0.70858</v>
      </c>
      <c r="BP180" s="616">
        <f t="shared" si="140"/>
        <v>2.12574</v>
      </c>
      <c r="BQ180" s="616">
        <f t="shared" si="141"/>
        <v>42.5148</v>
      </c>
      <c r="BR180" s="616">
        <f t="shared" si="142"/>
        <v>0</v>
      </c>
      <c r="BS180" s="304" t="s">
        <v>691</v>
      </c>
    </row>
    <row r="181" s="132" customFormat="1" ht="24" spans="1:71">
      <c r="A181" s="497" t="s">
        <v>202</v>
      </c>
      <c r="B181" s="497" t="s">
        <v>404</v>
      </c>
      <c r="C181" s="497" t="s">
        <v>444</v>
      </c>
      <c r="D181" s="497" t="s">
        <v>406</v>
      </c>
      <c r="E181" s="615">
        <f t="shared" si="147"/>
        <v>502.49</v>
      </c>
      <c r="F181" s="615">
        <f t="shared" si="148"/>
        <v>445.57</v>
      </c>
      <c r="G181" s="616">
        <v>327.85</v>
      </c>
      <c r="H181" s="616">
        <v>0.53</v>
      </c>
      <c r="I181" s="616">
        <v>94.87</v>
      </c>
      <c r="J181" s="616">
        <v>22.32</v>
      </c>
      <c r="K181" s="616"/>
      <c r="L181" s="616"/>
      <c r="M181" s="615">
        <f t="shared" si="149"/>
        <v>56.92</v>
      </c>
      <c r="N181" s="616">
        <v>56.92</v>
      </c>
      <c r="O181" s="616"/>
      <c r="P181" s="616"/>
      <c r="Q181" s="616"/>
      <c r="R181" s="616"/>
      <c r="S181" s="615">
        <f t="shared" si="111"/>
        <v>-19.5</v>
      </c>
      <c r="T181" s="615">
        <f t="shared" si="112"/>
        <v>-22.61</v>
      </c>
      <c r="U181" s="616">
        <v>-21.59</v>
      </c>
      <c r="V181" s="616"/>
      <c r="W181" s="616"/>
      <c r="X181" s="616">
        <v>-1.02</v>
      </c>
      <c r="Y181" s="616"/>
      <c r="Z181" s="616"/>
      <c r="AA181" s="615">
        <f t="shared" si="113"/>
        <v>3.11</v>
      </c>
      <c r="AB181" s="616">
        <v>-2.87</v>
      </c>
      <c r="AC181" s="616"/>
      <c r="AD181" s="616"/>
      <c r="AE181" s="616">
        <f>3+2.98</f>
        <v>5.98</v>
      </c>
      <c r="AF181" s="616"/>
      <c r="AG181" s="615">
        <f t="shared" si="114"/>
        <v>482.99</v>
      </c>
      <c r="AH181" s="615">
        <f t="shared" si="115"/>
        <v>422.96</v>
      </c>
      <c r="AI181" s="616">
        <f t="shared" si="116"/>
        <v>306.26</v>
      </c>
      <c r="AJ181" s="616">
        <f t="shared" si="117"/>
        <v>0.53</v>
      </c>
      <c r="AK181" s="616">
        <f t="shared" si="118"/>
        <v>94.87</v>
      </c>
      <c r="AL181" s="616">
        <f t="shared" si="119"/>
        <v>21.3</v>
      </c>
      <c r="AM181" s="616">
        <f t="shared" si="120"/>
        <v>0</v>
      </c>
      <c r="AN181" s="616">
        <f t="shared" si="121"/>
        <v>0</v>
      </c>
      <c r="AO181" s="615">
        <f t="shared" si="122"/>
        <v>60.03</v>
      </c>
      <c r="AP181" s="616">
        <f t="shared" si="123"/>
        <v>54.05</v>
      </c>
      <c r="AQ181" s="616">
        <f t="shared" si="124"/>
        <v>0</v>
      </c>
      <c r="AR181" s="616">
        <f t="shared" si="125"/>
        <v>0</v>
      </c>
      <c r="AS181" s="616">
        <f t="shared" si="126"/>
        <v>5.98</v>
      </c>
      <c r="AT181" s="637">
        <f t="shared" si="127"/>
        <v>0</v>
      </c>
      <c r="AU181" s="638">
        <f t="shared" si="150"/>
        <v>205.51276</v>
      </c>
      <c r="AV181" s="616">
        <f t="shared" si="151"/>
        <v>76.8272</v>
      </c>
      <c r="AW181" s="616">
        <f t="shared" si="152"/>
        <v>38.4136</v>
      </c>
      <c r="AX181" s="616">
        <f t="shared" si="153"/>
        <v>28.8102</v>
      </c>
      <c r="AY181" s="616">
        <f t="shared" si="154"/>
        <v>0.96034</v>
      </c>
      <c r="AZ181" s="616">
        <f t="shared" si="155"/>
        <v>2.88102</v>
      </c>
      <c r="BA181" s="616">
        <f t="shared" si="156"/>
        <v>57.6204</v>
      </c>
      <c r="BB181" s="616"/>
      <c r="BC181" s="615">
        <f t="shared" si="128"/>
        <v>-10.46888</v>
      </c>
      <c r="BD181" s="616">
        <f t="shared" si="129"/>
        <v>-3.9136</v>
      </c>
      <c r="BE181" s="616">
        <f t="shared" si="130"/>
        <v>-1.9568</v>
      </c>
      <c r="BF181" s="616">
        <f t="shared" si="131"/>
        <v>-1.4676</v>
      </c>
      <c r="BG181" s="616">
        <f t="shared" si="132"/>
        <v>-0.04892</v>
      </c>
      <c r="BH181" s="616">
        <f t="shared" si="133"/>
        <v>-0.14676</v>
      </c>
      <c r="BI181" s="616">
        <f t="shared" si="134"/>
        <v>-2.9352</v>
      </c>
      <c r="BJ181" s="616"/>
      <c r="BK181" s="615">
        <f t="shared" si="135"/>
        <v>195.04388</v>
      </c>
      <c r="BL181" s="616">
        <f t="shared" si="136"/>
        <v>72.9136</v>
      </c>
      <c r="BM181" s="616">
        <f t="shared" si="137"/>
        <v>36.4568</v>
      </c>
      <c r="BN181" s="616">
        <f t="shared" si="138"/>
        <v>27.3426</v>
      </c>
      <c r="BO181" s="616">
        <f t="shared" si="139"/>
        <v>0.91142</v>
      </c>
      <c r="BP181" s="616">
        <f t="shared" si="140"/>
        <v>2.73426</v>
      </c>
      <c r="BQ181" s="616">
        <f t="shared" si="141"/>
        <v>54.6852</v>
      </c>
      <c r="BR181" s="616">
        <f t="shared" si="142"/>
        <v>0</v>
      </c>
      <c r="BS181" s="304" t="s">
        <v>692</v>
      </c>
    </row>
    <row r="182" s="132" customFormat="1" ht="24" spans="1:71">
      <c r="A182" s="497" t="s">
        <v>202</v>
      </c>
      <c r="B182" s="497" t="s">
        <v>404</v>
      </c>
      <c r="C182" s="497" t="s">
        <v>445</v>
      </c>
      <c r="D182" s="497" t="s">
        <v>416</v>
      </c>
      <c r="E182" s="615">
        <f t="shared" si="147"/>
        <v>253.47</v>
      </c>
      <c r="F182" s="615">
        <f t="shared" si="148"/>
        <v>222.96</v>
      </c>
      <c r="G182" s="616">
        <v>162.13</v>
      </c>
      <c r="H182" s="616">
        <v>0.3</v>
      </c>
      <c r="I182" s="616">
        <v>50.09</v>
      </c>
      <c r="J182" s="616">
        <v>10.44</v>
      </c>
      <c r="K182" s="616"/>
      <c r="L182" s="616"/>
      <c r="M182" s="615">
        <f t="shared" si="149"/>
        <v>30.51</v>
      </c>
      <c r="N182" s="616">
        <v>30.51</v>
      </c>
      <c r="O182" s="616"/>
      <c r="P182" s="616"/>
      <c r="Q182" s="616"/>
      <c r="R182" s="616"/>
      <c r="S182" s="615">
        <f t="shared" si="111"/>
        <v>14.6</v>
      </c>
      <c r="T182" s="615">
        <f t="shared" si="112"/>
        <v>10.52</v>
      </c>
      <c r="U182" s="616">
        <v>10.28</v>
      </c>
      <c r="V182" s="616"/>
      <c r="W182" s="616"/>
      <c r="X182" s="616">
        <v>0.24</v>
      </c>
      <c r="Y182" s="616"/>
      <c r="Z182" s="616"/>
      <c r="AA182" s="615">
        <f t="shared" si="113"/>
        <v>4.08</v>
      </c>
      <c r="AB182" s="616">
        <v>0.63</v>
      </c>
      <c r="AC182" s="616"/>
      <c r="AD182" s="616"/>
      <c r="AE182" s="616">
        <f>2.06+1.39</f>
        <v>3.45</v>
      </c>
      <c r="AF182" s="616"/>
      <c r="AG182" s="615">
        <f t="shared" si="114"/>
        <v>268.07</v>
      </c>
      <c r="AH182" s="615">
        <f t="shared" si="115"/>
        <v>233.48</v>
      </c>
      <c r="AI182" s="616">
        <f t="shared" si="116"/>
        <v>172.41</v>
      </c>
      <c r="AJ182" s="616">
        <f t="shared" si="117"/>
        <v>0.3</v>
      </c>
      <c r="AK182" s="616">
        <f t="shared" si="118"/>
        <v>50.09</v>
      </c>
      <c r="AL182" s="616">
        <f t="shared" si="119"/>
        <v>10.68</v>
      </c>
      <c r="AM182" s="616">
        <f t="shared" si="120"/>
        <v>0</v>
      </c>
      <c r="AN182" s="616">
        <f t="shared" si="121"/>
        <v>0</v>
      </c>
      <c r="AO182" s="615">
        <f t="shared" si="122"/>
        <v>34.59</v>
      </c>
      <c r="AP182" s="616">
        <f t="shared" si="123"/>
        <v>31.14</v>
      </c>
      <c r="AQ182" s="616">
        <f t="shared" si="124"/>
        <v>0</v>
      </c>
      <c r="AR182" s="616">
        <f t="shared" si="125"/>
        <v>0</v>
      </c>
      <c r="AS182" s="616">
        <f t="shared" si="126"/>
        <v>3.45</v>
      </c>
      <c r="AT182" s="637">
        <f t="shared" si="127"/>
        <v>0</v>
      </c>
      <c r="AU182" s="638">
        <f t="shared" si="150"/>
        <v>104.01684</v>
      </c>
      <c r="AV182" s="616">
        <f t="shared" si="151"/>
        <v>38.8848</v>
      </c>
      <c r="AW182" s="616">
        <f t="shared" si="152"/>
        <v>19.4424</v>
      </c>
      <c r="AX182" s="616">
        <f t="shared" si="153"/>
        <v>14.5818</v>
      </c>
      <c r="AY182" s="616">
        <f t="shared" si="154"/>
        <v>0.48606</v>
      </c>
      <c r="AZ182" s="616">
        <f t="shared" si="155"/>
        <v>1.45818</v>
      </c>
      <c r="BA182" s="616">
        <f t="shared" si="156"/>
        <v>29.1636</v>
      </c>
      <c r="BB182" s="616"/>
      <c r="BC182" s="615">
        <f t="shared" si="128"/>
        <v>4.66948</v>
      </c>
      <c r="BD182" s="616">
        <f t="shared" si="129"/>
        <v>1.7456</v>
      </c>
      <c r="BE182" s="616">
        <f t="shared" si="130"/>
        <v>0.8728</v>
      </c>
      <c r="BF182" s="616">
        <f t="shared" si="131"/>
        <v>0.6546</v>
      </c>
      <c r="BG182" s="616">
        <f t="shared" si="132"/>
        <v>0.02182</v>
      </c>
      <c r="BH182" s="616">
        <f t="shared" si="133"/>
        <v>0.06546</v>
      </c>
      <c r="BI182" s="616">
        <f t="shared" si="134"/>
        <v>1.3092</v>
      </c>
      <c r="BJ182" s="616"/>
      <c r="BK182" s="615">
        <f t="shared" si="135"/>
        <v>108.68632</v>
      </c>
      <c r="BL182" s="616">
        <f t="shared" si="136"/>
        <v>40.6304</v>
      </c>
      <c r="BM182" s="616">
        <f t="shared" si="137"/>
        <v>20.3152</v>
      </c>
      <c r="BN182" s="616">
        <f t="shared" si="138"/>
        <v>15.2364</v>
      </c>
      <c r="BO182" s="616">
        <f t="shared" si="139"/>
        <v>0.50788</v>
      </c>
      <c r="BP182" s="616">
        <f t="shared" si="140"/>
        <v>1.52364</v>
      </c>
      <c r="BQ182" s="616">
        <f t="shared" si="141"/>
        <v>30.4728</v>
      </c>
      <c r="BR182" s="616">
        <f t="shared" si="142"/>
        <v>0</v>
      </c>
      <c r="BS182" s="304" t="s">
        <v>693</v>
      </c>
    </row>
    <row r="183" s="132" customFormat="1" ht="24" spans="1:71">
      <c r="A183" s="497" t="s">
        <v>202</v>
      </c>
      <c r="B183" s="497" t="s">
        <v>404</v>
      </c>
      <c r="C183" s="497" t="s">
        <v>446</v>
      </c>
      <c r="D183" s="497" t="s">
        <v>416</v>
      </c>
      <c r="E183" s="615">
        <f t="shared" si="147"/>
        <v>449.71</v>
      </c>
      <c r="F183" s="615">
        <f t="shared" si="148"/>
        <v>399.52</v>
      </c>
      <c r="G183" s="616">
        <v>304.29</v>
      </c>
      <c r="H183" s="616">
        <v>0.54</v>
      </c>
      <c r="I183" s="616">
        <v>83.65</v>
      </c>
      <c r="J183" s="616">
        <v>11.04</v>
      </c>
      <c r="K183" s="616"/>
      <c r="L183" s="616"/>
      <c r="M183" s="615">
        <f t="shared" si="149"/>
        <v>50.19</v>
      </c>
      <c r="N183" s="616">
        <v>50.19</v>
      </c>
      <c r="O183" s="616"/>
      <c r="P183" s="616"/>
      <c r="Q183" s="616"/>
      <c r="R183" s="616"/>
      <c r="S183" s="615">
        <f t="shared" si="111"/>
        <v>46.24</v>
      </c>
      <c r="T183" s="615">
        <f t="shared" si="112"/>
        <v>33.76</v>
      </c>
      <c r="U183" s="616">
        <v>32.92</v>
      </c>
      <c r="V183" s="616"/>
      <c r="W183" s="616"/>
      <c r="X183" s="616">
        <v>0.84</v>
      </c>
      <c r="Y183" s="616"/>
      <c r="Z183" s="616"/>
      <c r="AA183" s="615">
        <f t="shared" si="113"/>
        <v>12.48</v>
      </c>
      <c r="AB183" s="616">
        <v>3.8</v>
      </c>
      <c r="AC183" s="616"/>
      <c r="AD183" s="616"/>
      <c r="AE183" s="616">
        <f>6+2.68</f>
        <v>8.68</v>
      </c>
      <c r="AF183" s="616"/>
      <c r="AG183" s="615">
        <f t="shared" si="114"/>
        <v>495.95</v>
      </c>
      <c r="AH183" s="615">
        <f t="shared" si="115"/>
        <v>433.28</v>
      </c>
      <c r="AI183" s="616">
        <f t="shared" si="116"/>
        <v>337.21</v>
      </c>
      <c r="AJ183" s="616">
        <f t="shared" si="117"/>
        <v>0.54</v>
      </c>
      <c r="AK183" s="616">
        <f t="shared" si="118"/>
        <v>83.65</v>
      </c>
      <c r="AL183" s="616">
        <f t="shared" si="119"/>
        <v>11.88</v>
      </c>
      <c r="AM183" s="616">
        <f t="shared" si="120"/>
        <v>0</v>
      </c>
      <c r="AN183" s="616">
        <f t="shared" si="121"/>
        <v>0</v>
      </c>
      <c r="AO183" s="615">
        <f t="shared" si="122"/>
        <v>62.67</v>
      </c>
      <c r="AP183" s="616">
        <f t="shared" si="123"/>
        <v>53.99</v>
      </c>
      <c r="AQ183" s="616">
        <f t="shared" si="124"/>
        <v>0</v>
      </c>
      <c r="AR183" s="616">
        <f t="shared" si="125"/>
        <v>0</v>
      </c>
      <c r="AS183" s="616">
        <f t="shared" si="126"/>
        <v>8.68</v>
      </c>
      <c r="AT183" s="637">
        <f t="shared" si="127"/>
        <v>0</v>
      </c>
      <c r="AU183" s="638">
        <f t="shared" si="150"/>
        <v>187.75076</v>
      </c>
      <c r="AV183" s="616">
        <f t="shared" si="151"/>
        <v>70.1872</v>
      </c>
      <c r="AW183" s="616">
        <f t="shared" si="152"/>
        <v>35.0936</v>
      </c>
      <c r="AX183" s="616">
        <f t="shared" si="153"/>
        <v>26.3202</v>
      </c>
      <c r="AY183" s="616">
        <f t="shared" si="154"/>
        <v>0.87734</v>
      </c>
      <c r="AZ183" s="616">
        <f t="shared" si="155"/>
        <v>2.63202</v>
      </c>
      <c r="BA183" s="616">
        <f t="shared" si="156"/>
        <v>52.6404</v>
      </c>
      <c r="BB183" s="616"/>
      <c r="BC183" s="615">
        <f t="shared" si="128"/>
        <v>15.71616</v>
      </c>
      <c r="BD183" s="616">
        <f t="shared" si="129"/>
        <v>5.8752</v>
      </c>
      <c r="BE183" s="616">
        <f t="shared" si="130"/>
        <v>2.9376</v>
      </c>
      <c r="BF183" s="616">
        <f t="shared" si="131"/>
        <v>2.2032</v>
      </c>
      <c r="BG183" s="616">
        <f t="shared" si="132"/>
        <v>0.07344</v>
      </c>
      <c r="BH183" s="616">
        <f t="shared" si="133"/>
        <v>0.22032</v>
      </c>
      <c r="BI183" s="616">
        <f t="shared" si="134"/>
        <v>4.4064</v>
      </c>
      <c r="BJ183" s="616"/>
      <c r="BK183" s="615">
        <f t="shared" si="135"/>
        <v>203.46692</v>
      </c>
      <c r="BL183" s="616">
        <f t="shared" si="136"/>
        <v>76.0624</v>
      </c>
      <c r="BM183" s="616">
        <f t="shared" si="137"/>
        <v>38.0312</v>
      </c>
      <c r="BN183" s="616">
        <f t="shared" si="138"/>
        <v>28.5234</v>
      </c>
      <c r="BO183" s="616">
        <f t="shared" si="139"/>
        <v>0.95078</v>
      </c>
      <c r="BP183" s="616">
        <f t="shared" si="140"/>
        <v>2.85234</v>
      </c>
      <c r="BQ183" s="616">
        <f t="shared" si="141"/>
        <v>57.0468</v>
      </c>
      <c r="BR183" s="616">
        <f t="shared" si="142"/>
        <v>0</v>
      </c>
      <c r="BS183" s="304" t="s">
        <v>694</v>
      </c>
    </row>
    <row r="184" s="132" customFormat="1" ht="24" spans="1:71">
      <c r="A184" s="497" t="s">
        <v>202</v>
      </c>
      <c r="B184" s="497" t="s">
        <v>404</v>
      </c>
      <c r="C184" s="497" t="s">
        <v>447</v>
      </c>
      <c r="D184" s="497" t="s">
        <v>406</v>
      </c>
      <c r="E184" s="615">
        <f t="shared" si="147"/>
        <v>528.78</v>
      </c>
      <c r="F184" s="615">
        <f t="shared" si="148"/>
        <v>468.47</v>
      </c>
      <c r="G184" s="616">
        <v>352.21</v>
      </c>
      <c r="H184" s="616">
        <v>0.62</v>
      </c>
      <c r="I184" s="616">
        <v>100.52</v>
      </c>
      <c r="J184" s="616">
        <v>15.12</v>
      </c>
      <c r="K184" s="616"/>
      <c r="L184" s="616"/>
      <c r="M184" s="615">
        <f t="shared" si="149"/>
        <v>60.31</v>
      </c>
      <c r="N184" s="616">
        <v>60.31</v>
      </c>
      <c r="O184" s="616"/>
      <c r="P184" s="616"/>
      <c r="Q184" s="616"/>
      <c r="R184" s="616"/>
      <c r="S184" s="615">
        <f t="shared" si="111"/>
        <v>-17.86</v>
      </c>
      <c r="T184" s="615">
        <f t="shared" si="112"/>
        <v>-22.86</v>
      </c>
      <c r="U184" s="616">
        <v>-22.11</v>
      </c>
      <c r="V184" s="616"/>
      <c r="W184" s="616"/>
      <c r="X184" s="616">
        <v>-0.75</v>
      </c>
      <c r="Y184" s="616"/>
      <c r="Z184" s="616"/>
      <c r="AA184" s="615">
        <f t="shared" si="113"/>
        <v>5</v>
      </c>
      <c r="AB184" s="616">
        <v>-1.76</v>
      </c>
      <c r="AC184" s="616"/>
      <c r="AD184" s="616"/>
      <c r="AE184" s="616">
        <f>1.5+5.26</f>
        <v>6.76</v>
      </c>
      <c r="AF184" s="616"/>
      <c r="AG184" s="615">
        <f t="shared" si="114"/>
        <v>510.92</v>
      </c>
      <c r="AH184" s="615">
        <f t="shared" si="115"/>
        <v>445.61</v>
      </c>
      <c r="AI184" s="616">
        <f t="shared" si="116"/>
        <v>330.1</v>
      </c>
      <c r="AJ184" s="616">
        <f t="shared" si="117"/>
        <v>0.62</v>
      </c>
      <c r="AK184" s="616">
        <f t="shared" si="118"/>
        <v>100.52</v>
      </c>
      <c r="AL184" s="616">
        <f t="shared" si="119"/>
        <v>14.37</v>
      </c>
      <c r="AM184" s="616">
        <f t="shared" si="120"/>
        <v>0</v>
      </c>
      <c r="AN184" s="616">
        <f t="shared" si="121"/>
        <v>0</v>
      </c>
      <c r="AO184" s="615">
        <f t="shared" si="122"/>
        <v>65.31</v>
      </c>
      <c r="AP184" s="616">
        <f t="shared" si="123"/>
        <v>58.55</v>
      </c>
      <c r="AQ184" s="616">
        <f t="shared" si="124"/>
        <v>0</v>
      </c>
      <c r="AR184" s="616">
        <f t="shared" si="125"/>
        <v>0</v>
      </c>
      <c r="AS184" s="616">
        <f t="shared" si="126"/>
        <v>6.76</v>
      </c>
      <c r="AT184" s="637">
        <f t="shared" si="127"/>
        <v>0</v>
      </c>
      <c r="AU184" s="638">
        <f t="shared" si="150"/>
        <v>219.84648</v>
      </c>
      <c r="AV184" s="616">
        <f t="shared" si="151"/>
        <v>82.1856</v>
      </c>
      <c r="AW184" s="616">
        <f t="shared" si="152"/>
        <v>41.0928</v>
      </c>
      <c r="AX184" s="616">
        <f t="shared" si="153"/>
        <v>30.8196</v>
      </c>
      <c r="AY184" s="616">
        <f t="shared" si="154"/>
        <v>1.02732</v>
      </c>
      <c r="AZ184" s="616">
        <f t="shared" si="155"/>
        <v>3.08196</v>
      </c>
      <c r="BA184" s="616">
        <f t="shared" si="156"/>
        <v>61.6392</v>
      </c>
      <c r="BB184" s="616"/>
      <c r="BC184" s="615">
        <f t="shared" si="128"/>
        <v>-10.21636</v>
      </c>
      <c r="BD184" s="616">
        <f t="shared" si="129"/>
        <v>-3.8192</v>
      </c>
      <c r="BE184" s="616">
        <f t="shared" si="130"/>
        <v>-1.9096</v>
      </c>
      <c r="BF184" s="616">
        <f t="shared" si="131"/>
        <v>-1.4322</v>
      </c>
      <c r="BG184" s="616">
        <f t="shared" si="132"/>
        <v>-0.04774</v>
      </c>
      <c r="BH184" s="616">
        <f t="shared" si="133"/>
        <v>-0.14322</v>
      </c>
      <c r="BI184" s="616">
        <f t="shared" si="134"/>
        <v>-2.8644</v>
      </c>
      <c r="BJ184" s="616"/>
      <c r="BK184" s="615">
        <f t="shared" si="135"/>
        <v>209.63012</v>
      </c>
      <c r="BL184" s="616">
        <f t="shared" si="136"/>
        <v>78.3664</v>
      </c>
      <c r="BM184" s="616">
        <f t="shared" si="137"/>
        <v>39.1832</v>
      </c>
      <c r="BN184" s="616">
        <f t="shared" si="138"/>
        <v>29.3874</v>
      </c>
      <c r="BO184" s="616">
        <f t="shared" si="139"/>
        <v>0.97958</v>
      </c>
      <c r="BP184" s="616">
        <f t="shared" si="140"/>
        <v>2.93874</v>
      </c>
      <c r="BQ184" s="616">
        <f t="shared" si="141"/>
        <v>58.7748</v>
      </c>
      <c r="BR184" s="616">
        <f t="shared" si="142"/>
        <v>0</v>
      </c>
      <c r="BS184" s="304" t="s">
        <v>695</v>
      </c>
    </row>
    <row r="185" s="132" customFormat="1" ht="24" spans="1:71">
      <c r="A185" s="497" t="s">
        <v>202</v>
      </c>
      <c r="B185" s="497" t="s">
        <v>404</v>
      </c>
      <c r="C185" s="497" t="s">
        <v>448</v>
      </c>
      <c r="D185" s="497" t="s">
        <v>416</v>
      </c>
      <c r="E185" s="615">
        <f t="shared" si="147"/>
        <v>308.47</v>
      </c>
      <c r="F185" s="615">
        <f t="shared" si="148"/>
        <v>273.56</v>
      </c>
      <c r="G185" s="616">
        <v>203.13</v>
      </c>
      <c r="H185" s="616">
        <v>0.37</v>
      </c>
      <c r="I185" s="616">
        <v>58.18</v>
      </c>
      <c r="J185" s="616">
        <v>11.88</v>
      </c>
      <c r="K185" s="616"/>
      <c r="L185" s="616"/>
      <c r="M185" s="615">
        <f t="shared" si="149"/>
        <v>34.91</v>
      </c>
      <c r="N185" s="616">
        <v>34.91</v>
      </c>
      <c r="O185" s="616"/>
      <c r="P185" s="616"/>
      <c r="Q185" s="616"/>
      <c r="R185" s="616"/>
      <c r="S185" s="615">
        <f t="shared" si="111"/>
        <v>16.06</v>
      </c>
      <c r="T185" s="615">
        <f t="shared" si="112"/>
        <v>8.26</v>
      </c>
      <c r="U185" s="616">
        <v>7.72</v>
      </c>
      <c r="V185" s="616"/>
      <c r="W185" s="616"/>
      <c r="X185" s="616">
        <v>0.54</v>
      </c>
      <c r="Y185" s="616"/>
      <c r="Z185" s="616"/>
      <c r="AA185" s="615">
        <f t="shared" si="113"/>
        <v>7.8</v>
      </c>
      <c r="AB185" s="616">
        <v>0.71</v>
      </c>
      <c r="AC185" s="616"/>
      <c r="AD185" s="616"/>
      <c r="AE185" s="616">
        <f>4.5+2.59</f>
        <v>7.09</v>
      </c>
      <c r="AF185" s="616"/>
      <c r="AG185" s="615">
        <f t="shared" si="114"/>
        <v>324.53</v>
      </c>
      <c r="AH185" s="615">
        <f t="shared" si="115"/>
        <v>281.82</v>
      </c>
      <c r="AI185" s="616">
        <f t="shared" si="116"/>
        <v>210.85</v>
      </c>
      <c r="AJ185" s="616">
        <f t="shared" si="117"/>
        <v>0.37</v>
      </c>
      <c r="AK185" s="616">
        <f t="shared" si="118"/>
        <v>58.18</v>
      </c>
      <c r="AL185" s="616">
        <f t="shared" si="119"/>
        <v>12.42</v>
      </c>
      <c r="AM185" s="616">
        <f t="shared" si="120"/>
        <v>0</v>
      </c>
      <c r="AN185" s="616">
        <f t="shared" si="121"/>
        <v>0</v>
      </c>
      <c r="AO185" s="615">
        <f t="shared" si="122"/>
        <v>42.71</v>
      </c>
      <c r="AP185" s="616">
        <f t="shared" si="123"/>
        <v>35.62</v>
      </c>
      <c r="AQ185" s="616">
        <f t="shared" si="124"/>
        <v>0</v>
      </c>
      <c r="AR185" s="616">
        <f t="shared" si="125"/>
        <v>0</v>
      </c>
      <c r="AS185" s="616">
        <f t="shared" si="126"/>
        <v>7.09</v>
      </c>
      <c r="AT185" s="637">
        <f t="shared" si="127"/>
        <v>0</v>
      </c>
      <c r="AU185" s="638">
        <f t="shared" si="150"/>
        <v>126.94052</v>
      </c>
      <c r="AV185" s="616">
        <f t="shared" si="151"/>
        <v>47.4544</v>
      </c>
      <c r="AW185" s="616">
        <f t="shared" si="152"/>
        <v>23.7272</v>
      </c>
      <c r="AX185" s="616">
        <f t="shared" si="153"/>
        <v>17.7954</v>
      </c>
      <c r="AY185" s="616">
        <f t="shared" si="154"/>
        <v>0.59318</v>
      </c>
      <c r="AZ185" s="616">
        <f t="shared" si="155"/>
        <v>1.77954</v>
      </c>
      <c r="BA185" s="616">
        <f t="shared" si="156"/>
        <v>35.5908</v>
      </c>
      <c r="BB185" s="616"/>
      <c r="BC185" s="615">
        <f t="shared" si="128"/>
        <v>3.60804</v>
      </c>
      <c r="BD185" s="616">
        <f t="shared" si="129"/>
        <v>1.3488</v>
      </c>
      <c r="BE185" s="616">
        <f t="shared" si="130"/>
        <v>0.6744</v>
      </c>
      <c r="BF185" s="616">
        <f t="shared" si="131"/>
        <v>0.5058</v>
      </c>
      <c r="BG185" s="616">
        <f t="shared" si="132"/>
        <v>0.01686</v>
      </c>
      <c r="BH185" s="616">
        <f t="shared" si="133"/>
        <v>0.05058</v>
      </c>
      <c r="BI185" s="616">
        <f t="shared" si="134"/>
        <v>1.0116</v>
      </c>
      <c r="BJ185" s="616"/>
      <c r="BK185" s="615">
        <f t="shared" si="135"/>
        <v>130.54856</v>
      </c>
      <c r="BL185" s="616">
        <f t="shared" si="136"/>
        <v>48.8032</v>
      </c>
      <c r="BM185" s="616">
        <f t="shared" si="137"/>
        <v>24.4016</v>
      </c>
      <c r="BN185" s="616">
        <f t="shared" si="138"/>
        <v>18.3012</v>
      </c>
      <c r="BO185" s="616">
        <f t="shared" si="139"/>
        <v>0.61004</v>
      </c>
      <c r="BP185" s="616">
        <f t="shared" si="140"/>
        <v>1.83012</v>
      </c>
      <c r="BQ185" s="616">
        <f t="shared" si="141"/>
        <v>36.6024</v>
      </c>
      <c r="BR185" s="616">
        <f t="shared" si="142"/>
        <v>0</v>
      </c>
      <c r="BS185" s="304" t="s">
        <v>696</v>
      </c>
    </row>
    <row r="186" s="132" customFormat="1" ht="24" spans="1:71">
      <c r="A186" s="497" t="s">
        <v>202</v>
      </c>
      <c r="B186" s="497" t="s">
        <v>404</v>
      </c>
      <c r="C186" s="497" t="s">
        <v>449</v>
      </c>
      <c r="D186" s="497" t="s">
        <v>406</v>
      </c>
      <c r="E186" s="615">
        <f t="shared" si="147"/>
        <v>513.5</v>
      </c>
      <c r="F186" s="615">
        <f t="shared" si="148"/>
        <v>454.95</v>
      </c>
      <c r="G186" s="616">
        <v>334.98</v>
      </c>
      <c r="H186" s="616">
        <v>0.55</v>
      </c>
      <c r="I186" s="616">
        <v>97.58</v>
      </c>
      <c r="J186" s="616">
        <v>21.84</v>
      </c>
      <c r="K186" s="616"/>
      <c r="L186" s="616"/>
      <c r="M186" s="615">
        <f t="shared" si="149"/>
        <v>58.55</v>
      </c>
      <c r="N186" s="616">
        <v>58.55</v>
      </c>
      <c r="O186" s="616"/>
      <c r="P186" s="616"/>
      <c r="Q186" s="616"/>
      <c r="R186" s="616"/>
      <c r="S186" s="615">
        <f t="shared" si="111"/>
        <v>-23.47</v>
      </c>
      <c r="T186" s="615">
        <f t="shared" si="112"/>
        <v>-28.36</v>
      </c>
      <c r="U186" s="616">
        <v>-26.92</v>
      </c>
      <c r="V186" s="616"/>
      <c r="W186" s="616"/>
      <c r="X186" s="616">
        <v>-1.44</v>
      </c>
      <c r="Y186" s="616"/>
      <c r="Z186" s="616"/>
      <c r="AA186" s="615">
        <f t="shared" si="113"/>
        <v>4.89</v>
      </c>
      <c r="AB186" s="616">
        <v>-3.43</v>
      </c>
      <c r="AC186" s="616"/>
      <c r="AD186" s="616"/>
      <c r="AE186" s="616">
        <f>1.5+6.82</f>
        <v>8.32</v>
      </c>
      <c r="AF186" s="616"/>
      <c r="AG186" s="615">
        <f t="shared" si="114"/>
        <v>490.03</v>
      </c>
      <c r="AH186" s="615">
        <f t="shared" si="115"/>
        <v>426.59</v>
      </c>
      <c r="AI186" s="616">
        <f t="shared" si="116"/>
        <v>308.06</v>
      </c>
      <c r="AJ186" s="616">
        <f t="shared" si="117"/>
        <v>0.55</v>
      </c>
      <c r="AK186" s="616">
        <f t="shared" si="118"/>
        <v>97.58</v>
      </c>
      <c r="AL186" s="616">
        <f t="shared" si="119"/>
        <v>20.4</v>
      </c>
      <c r="AM186" s="616">
        <f t="shared" si="120"/>
        <v>0</v>
      </c>
      <c r="AN186" s="616">
        <f t="shared" si="121"/>
        <v>0</v>
      </c>
      <c r="AO186" s="615">
        <f t="shared" si="122"/>
        <v>63.44</v>
      </c>
      <c r="AP186" s="616">
        <f t="shared" si="123"/>
        <v>55.12</v>
      </c>
      <c r="AQ186" s="616">
        <f t="shared" si="124"/>
        <v>0</v>
      </c>
      <c r="AR186" s="616">
        <f t="shared" si="125"/>
        <v>0</v>
      </c>
      <c r="AS186" s="616">
        <f t="shared" si="126"/>
        <v>8.32</v>
      </c>
      <c r="AT186" s="637">
        <f t="shared" si="127"/>
        <v>0</v>
      </c>
      <c r="AU186" s="638">
        <f t="shared" si="150"/>
        <v>210.43048</v>
      </c>
      <c r="AV186" s="616">
        <f t="shared" si="151"/>
        <v>78.6656</v>
      </c>
      <c r="AW186" s="616">
        <f t="shared" si="152"/>
        <v>39.3328</v>
      </c>
      <c r="AX186" s="616">
        <f t="shared" si="153"/>
        <v>29.4996</v>
      </c>
      <c r="AY186" s="616">
        <f t="shared" si="154"/>
        <v>0.98332</v>
      </c>
      <c r="AZ186" s="616">
        <f t="shared" si="155"/>
        <v>2.94996</v>
      </c>
      <c r="BA186" s="616">
        <f t="shared" si="156"/>
        <v>58.9992</v>
      </c>
      <c r="BB186" s="616"/>
      <c r="BC186" s="615">
        <f t="shared" si="128"/>
        <v>-12.9898</v>
      </c>
      <c r="BD186" s="616">
        <f t="shared" si="129"/>
        <v>-4.856</v>
      </c>
      <c r="BE186" s="616">
        <f t="shared" si="130"/>
        <v>-2.428</v>
      </c>
      <c r="BF186" s="616">
        <f t="shared" si="131"/>
        <v>-1.821</v>
      </c>
      <c r="BG186" s="616">
        <f t="shared" si="132"/>
        <v>-0.0607</v>
      </c>
      <c r="BH186" s="616">
        <f t="shared" si="133"/>
        <v>-0.1821</v>
      </c>
      <c r="BI186" s="616">
        <f t="shared" si="134"/>
        <v>-3.642</v>
      </c>
      <c r="BJ186" s="616"/>
      <c r="BK186" s="615">
        <f t="shared" si="135"/>
        <v>197.44068</v>
      </c>
      <c r="BL186" s="616">
        <f t="shared" si="136"/>
        <v>73.8096</v>
      </c>
      <c r="BM186" s="616">
        <f t="shared" si="137"/>
        <v>36.9048</v>
      </c>
      <c r="BN186" s="616">
        <f t="shared" si="138"/>
        <v>27.6786</v>
      </c>
      <c r="BO186" s="616">
        <f t="shared" si="139"/>
        <v>0.92262</v>
      </c>
      <c r="BP186" s="616">
        <f t="shared" si="140"/>
        <v>2.76786</v>
      </c>
      <c r="BQ186" s="616">
        <f t="shared" si="141"/>
        <v>55.3572</v>
      </c>
      <c r="BR186" s="616">
        <f t="shared" si="142"/>
        <v>0</v>
      </c>
      <c r="BS186" s="304" t="s">
        <v>697</v>
      </c>
    </row>
    <row r="187" s="132" customFormat="1" ht="24" spans="1:71">
      <c r="A187" s="497" t="s">
        <v>202</v>
      </c>
      <c r="B187" s="497" t="s">
        <v>404</v>
      </c>
      <c r="C187" s="497" t="s">
        <v>450</v>
      </c>
      <c r="D187" s="497" t="s">
        <v>416</v>
      </c>
      <c r="E187" s="615">
        <f t="shared" si="147"/>
        <v>824.32</v>
      </c>
      <c r="F187" s="615">
        <f t="shared" si="148"/>
        <v>731.41</v>
      </c>
      <c r="G187" s="616">
        <v>554.26</v>
      </c>
      <c r="H187" s="616">
        <v>0.94</v>
      </c>
      <c r="I187" s="616">
        <v>154.85</v>
      </c>
      <c r="J187" s="616">
        <v>21.36</v>
      </c>
      <c r="K187" s="616"/>
      <c r="L187" s="616"/>
      <c r="M187" s="615">
        <f t="shared" si="149"/>
        <v>92.91</v>
      </c>
      <c r="N187" s="616">
        <v>92.91</v>
      </c>
      <c r="O187" s="616"/>
      <c r="P187" s="616"/>
      <c r="Q187" s="616"/>
      <c r="R187" s="616"/>
      <c r="S187" s="615">
        <f t="shared" si="111"/>
        <v>-10.34</v>
      </c>
      <c r="T187" s="615">
        <f t="shared" si="112"/>
        <v>-18.31</v>
      </c>
      <c r="U187" s="616">
        <v>-17.49</v>
      </c>
      <c r="V187" s="616"/>
      <c r="W187" s="616"/>
      <c r="X187" s="616">
        <v>-0.82</v>
      </c>
      <c r="Y187" s="616"/>
      <c r="Z187" s="616"/>
      <c r="AA187" s="615">
        <f t="shared" si="113"/>
        <v>7.97</v>
      </c>
      <c r="AB187" s="616">
        <v>-2.44</v>
      </c>
      <c r="AC187" s="616"/>
      <c r="AD187" s="616"/>
      <c r="AE187" s="616">
        <f>6+4.41</f>
        <v>10.41</v>
      </c>
      <c r="AF187" s="616"/>
      <c r="AG187" s="615">
        <f t="shared" si="114"/>
        <v>813.98</v>
      </c>
      <c r="AH187" s="615">
        <f t="shared" si="115"/>
        <v>713.1</v>
      </c>
      <c r="AI187" s="616">
        <f t="shared" si="116"/>
        <v>536.77</v>
      </c>
      <c r="AJ187" s="616">
        <f t="shared" si="117"/>
        <v>0.94</v>
      </c>
      <c r="AK187" s="616">
        <f t="shared" si="118"/>
        <v>154.85</v>
      </c>
      <c r="AL187" s="616">
        <f t="shared" si="119"/>
        <v>20.54</v>
      </c>
      <c r="AM187" s="616">
        <f t="shared" si="120"/>
        <v>0</v>
      </c>
      <c r="AN187" s="616">
        <f t="shared" si="121"/>
        <v>0</v>
      </c>
      <c r="AO187" s="615">
        <f t="shared" si="122"/>
        <v>100.88</v>
      </c>
      <c r="AP187" s="616">
        <f t="shared" si="123"/>
        <v>90.47</v>
      </c>
      <c r="AQ187" s="616">
        <f t="shared" si="124"/>
        <v>0</v>
      </c>
      <c r="AR187" s="616">
        <f t="shared" si="125"/>
        <v>0</v>
      </c>
      <c r="AS187" s="616">
        <f t="shared" si="126"/>
        <v>10.41</v>
      </c>
      <c r="AT187" s="637">
        <f t="shared" si="127"/>
        <v>0</v>
      </c>
      <c r="AU187" s="638">
        <f t="shared" si="150"/>
        <v>343.66688</v>
      </c>
      <c r="AV187" s="616">
        <f t="shared" si="151"/>
        <v>128.4736</v>
      </c>
      <c r="AW187" s="616">
        <f t="shared" si="152"/>
        <v>64.2368</v>
      </c>
      <c r="AX187" s="616">
        <f t="shared" si="153"/>
        <v>48.1776</v>
      </c>
      <c r="AY187" s="616">
        <f t="shared" si="154"/>
        <v>1.60592</v>
      </c>
      <c r="AZ187" s="616">
        <f t="shared" si="155"/>
        <v>4.81776</v>
      </c>
      <c r="BA187" s="616">
        <f t="shared" si="156"/>
        <v>96.3552</v>
      </c>
      <c r="BB187" s="616"/>
      <c r="BC187" s="615">
        <f t="shared" si="128"/>
        <v>-8.53004</v>
      </c>
      <c r="BD187" s="616">
        <f t="shared" si="129"/>
        <v>-3.1888</v>
      </c>
      <c r="BE187" s="616">
        <f t="shared" si="130"/>
        <v>-1.5944</v>
      </c>
      <c r="BF187" s="616">
        <f t="shared" si="131"/>
        <v>-1.1958</v>
      </c>
      <c r="BG187" s="616">
        <f t="shared" si="132"/>
        <v>-0.03986</v>
      </c>
      <c r="BH187" s="616">
        <f t="shared" si="133"/>
        <v>-0.11958</v>
      </c>
      <c r="BI187" s="616">
        <f t="shared" si="134"/>
        <v>-2.3916</v>
      </c>
      <c r="BJ187" s="616"/>
      <c r="BK187" s="615">
        <f t="shared" si="135"/>
        <v>335.13684</v>
      </c>
      <c r="BL187" s="616">
        <f t="shared" si="136"/>
        <v>125.2848</v>
      </c>
      <c r="BM187" s="616">
        <f t="shared" si="137"/>
        <v>62.6424</v>
      </c>
      <c r="BN187" s="616">
        <f t="shared" si="138"/>
        <v>46.9818</v>
      </c>
      <c r="BO187" s="616">
        <f t="shared" si="139"/>
        <v>1.56606</v>
      </c>
      <c r="BP187" s="616">
        <f t="shared" si="140"/>
        <v>4.69818</v>
      </c>
      <c r="BQ187" s="616">
        <f t="shared" si="141"/>
        <v>93.9636</v>
      </c>
      <c r="BR187" s="616">
        <f t="shared" si="142"/>
        <v>0</v>
      </c>
      <c r="BS187" s="304" t="s">
        <v>698</v>
      </c>
    </row>
    <row r="188" s="132" customFormat="1" ht="24" spans="1:71">
      <c r="A188" s="497" t="s">
        <v>202</v>
      </c>
      <c r="B188" s="497" t="s">
        <v>404</v>
      </c>
      <c r="C188" s="497" t="s">
        <v>451</v>
      </c>
      <c r="D188" s="497" t="s">
        <v>406</v>
      </c>
      <c r="E188" s="615">
        <f t="shared" si="147"/>
        <v>1314.35</v>
      </c>
      <c r="F188" s="615">
        <f t="shared" si="148"/>
        <v>1149.65</v>
      </c>
      <c r="G188" s="616">
        <v>830.64</v>
      </c>
      <c r="H188" s="616">
        <v>1.07</v>
      </c>
      <c r="I188" s="616">
        <v>274.51</v>
      </c>
      <c r="J188" s="616">
        <v>43.43</v>
      </c>
      <c r="K188" s="616"/>
      <c r="L188" s="616"/>
      <c r="M188" s="615">
        <f t="shared" si="149"/>
        <v>164.7</v>
      </c>
      <c r="N188" s="616">
        <v>164.7</v>
      </c>
      <c r="O188" s="616"/>
      <c r="P188" s="616"/>
      <c r="Q188" s="616"/>
      <c r="R188" s="616"/>
      <c r="S188" s="615">
        <f t="shared" si="111"/>
        <v>76.11</v>
      </c>
      <c r="T188" s="615">
        <f t="shared" si="112"/>
        <v>41.49</v>
      </c>
      <c r="U188" s="616">
        <v>44.23</v>
      </c>
      <c r="V188" s="616"/>
      <c r="W188" s="616"/>
      <c r="X188" s="616">
        <v>-2.74</v>
      </c>
      <c r="Y188" s="616"/>
      <c r="Z188" s="616"/>
      <c r="AA188" s="615">
        <f t="shared" si="113"/>
        <v>34.62</v>
      </c>
      <c r="AB188" s="616">
        <v>7.61</v>
      </c>
      <c r="AC188" s="616"/>
      <c r="AD188" s="616"/>
      <c r="AE188" s="616">
        <v>27.01</v>
      </c>
      <c r="AF188" s="616"/>
      <c r="AG188" s="615">
        <f t="shared" si="114"/>
        <v>1390.46</v>
      </c>
      <c r="AH188" s="615">
        <f t="shared" si="115"/>
        <v>1191.14</v>
      </c>
      <c r="AI188" s="616">
        <f t="shared" si="116"/>
        <v>874.87</v>
      </c>
      <c r="AJ188" s="616">
        <f t="shared" si="117"/>
        <v>1.07</v>
      </c>
      <c r="AK188" s="616">
        <f t="shared" si="118"/>
        <v>274.51</v>
      </c>
      <c r="AL188" s="616">
        <f t="shared" si="119"/>
        <v>40.69</v>
      </c>
      <c r="AM188" s="616">
        <f t="shared" si="120"/>
        <v>0</v>
      </c>
      <c r="AN188" s="616">
        <f t="shared" si="121"/>
        <v>0</v>
      </c>
      <c r="AO188" s="615">
        <f t="shared" si="122"/>
        <v>199.32</v>
      </c>
      <c r="AP188" s="616">
        <f t="shared" si="123"/>
        <v>172.31</v>
      </c>
      <c r="AQ188" s="616">
        <f t="shared" si="124"/>
        <v>0</v>
      </c>
      <c r="AR188" s="616">
        <f t="shared" si="125"/>
        <v>0</v>
      </c>
      <c r="AS188" s="616">
        <f t="shared" si="126"/>
        <v>27.01</v>
      </c>
      <c r="AT188" s="637">
        <f t="shared" si="127"/>
        <v>0</v>
      </c>
      <c r="AU188" s="638">
        <f t="shared" si="150"/>
        <v>543.95376</v>
      </c>
      <c r="AV188" s="616">
        <f t="shared" si="151"/>
        <v>203.3472</v>
      </c>
      <c r="AW188" s="616">
        <f t="shared" si="152"/>
        <v>101.6736</v>
      </c>
      <c r="AX188" s="616">
        <f t="shared" si="153"/>
        <v>76.2552</v>
      </c>
      <c r="AY188" s="616">
        <f t="shared" si="154"/>
        <v>2.54184</v>
      </c>
      <c r="AZ188" s="616">
        <f t="shared" si="155"/>
        <v>7.62552</v>
      </c>
      <c r="BA188" s="616">
        <f t="shared" si="156"/>
        <v>152.5104</v>
      </c>
      <c r="BB188" s="616"/>
      <c r="BC188" s="615">
        <f t="shared" si="128"/>
        <v>22.18752</v>
      </c>
      <c r="BD188" s="616">
        <f t="shared" si="129"/>
        <v>8.2944</v>
      </c>
      <c r="BE188" s="616">
        <f t="shared" si="130"/>
        <v>4.1472</v>
      </c>
      <c r="BF188" s="616">
        <f t="shared" si="131"/>
        <v>3.1104</v>
      </c>
      <c r="BG188" s="616">
        <f t="shared" si="132"/>
        <v>0.10368</v>
      </c>
      <c r="BH188" s="616">
        <f t="shared" si="133"/>
        <v>0.31104</v>
      </c>
      <c r="BI188" s="616">
        <f t="shared" si="134"/>
        <v>6.2208</v>
      </c>
      <c r="BJ188" s="616"/>
      <c r="BK188" s="615">
        <f t="shared" si="135"/>
        <v>566.14128</v>
      </c>
      <c r="BL188" s="616">
        <f t="shared" si="136"/>
        <v>211.6416</v>
      </c>
      <c r="BM188" s="616">
        <f t="shared" si="137"/>
        <v>105.8208</v>
      </c>
      <c r="BN188" s="616">
        <f t="shared" si="138"/>
        <v>79.3656</v>
      </c>
      <c r="BO188" s="616">
        <f t="shared" si="139"/>
        <v>2.64552</v>
      </c>
      <c r="BP188" s="616">
        <f t="shared" si="140"/>
        <v>7.93656</v>
      </c>
      <c r="BQ188" s="616">
        <f t="shared" si="141"/>
        <v>158.7312</v>
      </c>
      <c r="BR188" s="616">
        <f t="shared" si="142"/>
        <v>0</v>
      </c>
      <c r="BS188" s="304" t="s">
        <v>699</v>
      </c>
    </row>
    <row r="189" s="132" customFormat="1" ht="36" spans="1:71">
      <c r="A189" s="497" t="s">
        <v>202</v>
      </c>
      <c r="B189" s="497" t="s">
        <v>206</v>
      </c>
      <c r="C189" s="497" t="s">
        <v>452</v>
      </c>
      <c r="D189" s="497" t="s">
        <v>453</v>
      </c>
      <c r="E189" s="615">
        <f t="shared" si="147"/>
        <v>179.8185</v>
      </c>
      <c r="F189" s="615">
        <f t="shared" si="148"/>
        <v>159.3936</v>
      </c>
      <c r="G189" s="616">
        <v>120.804</v>
      </c>
      <c r="H189" s="616">
        <v>0.228</v>
      </c>
      <c r="I189" s="616">
        <v>34.0416</v>
      </c>
      <c r="J189" s="616">
        <v>4.32</v>
      </c>
      <c r="K189" s="616"/>
      <c r="L189" s="616"/>
      <c r="M189" s="615">
        <f t="shared" si="149"/>
        <v>20.4249</v>
      </c>
      <c r="N189" s="616">
        <v>20.4249</v>
      </c>
      <c r="O189" s="616"/>
      <c r="P189" s="616"/>
      <c r="Q189" s="616"/>
      <c r="R189" s="616"/>
      <c r="S189" s="615">
        <f t="shared" si="111"/>
        <v>4.28</v>
      </c>
      <c r="T189" s="615">
        <f t="shared" si="112"/>
        <v>3.22</v>
      </c>
      <c r="U189" s="616">
        <v>3.22</v>
      </c>
      <c r="V189" s="616"/>
      <c r="W189" s="616"/>
      <c r="X189" s="616"/>
      <c r="Y189" s="616"/>
      <c r="Z189" s="616"/>
      <c r="AA189" s="615">
        <f t="shared" si="113"/>
        <v>1.06</v>
      </c>
      <c r="AB189" s="616">
        <v>0.11</v>
      </c>
      <c r="AC189" s="616"/>
      <c r="AD189" s="616"/>
      <c r="AE189" s="616">
        <v>0.95</v>
      </c>
      <c r="AF189" s="616"/>
      <c r="AG189" s="615">
        <f t="shared" si="114"/>
        <v>184.0985</v>
      </c>
      <c r="AH189" s="615">
        <f t="shared" si="115"/>
        <v>162.6136</v>
      </c>
      <c r="AI189" s="616">
        <f t="shared" si="116"/>
        <v>124.024</v>
      </c>
      <c r="AJ189" s="616">
        <f t="shared" si="117"/>
        <v>0.228</v>
      </c>
      <c r="AK189" s="616">
        <f t="shared" si="118"/>
        <v>34.0416</v>
      </c>
      <c r="AL189" s="616">
        <f t="shared" si="119"/>
        <v>4.32</v>
      </c>
      <c r="AM189" s="616">
        <f t="shared" si="120"/>
        <v>0</v>
      </c>
      <c r="AN189" s="616">
        <f t="shared" si="121"/>
        <v>0</v>
      </c>
      <c r="AO189" s="615">
        <f t="shared" si="122"/>
        <v>21.4849</v>
      </c>
      <c r="AP189" s="616">
        <f t="shared" si="123"/>
        <v>20.5349</v>
      </c>
      <c r="AQ189" s="616">
        <f t="shared" si="124"/>
        <v>0</v>
      </c>
      <c r="AR189" s="616">
        <f t="shared" si="125"/>
        <v>0</v>
      </c>
      <c r="AS189" s="616">
        <f t="shared" si="126"/>
        <v>0.95</v>
      </c>
      <c r="AT189" s="637">
        <f t="shared" si="127"/>
        <v>0</v>
      </c>
      <c r="AU189" s="638">
        <f t="shared" si="150"/>
        <v>75.113358</v>
      </c>
      <c r="AV189" s="616">
        <f t="shared" si="151"/>
        <v>28.07976</v>
      </c>
      <c r="AW189" s="616">
        <f t="shared" si="152"/>
        <v>14.03988</v>
      </c>
      <c r="AX189" s="616">
        <f t="shared" si="153"/>
        <v>10.52991</v>
      </c>
      <c r="AY189" s="616">
        <f t="shared" si="154"/>
        <v>0.350997</v>
      </c>
      <c r="AZ189" s="616">
        <f t="shared" si="155"/>
        <v>1.052991</v>
      </c>
      <c r="BA189" s="616">
        <f t="shared" si="156"/>
        <v>21.05982</v>
      </c>
      <c r="BB189" s="616"/>
      <c r="BC189" s="615">
        <f t="shared" si="128"/>
        <v>1.42524</v>
      </c>
      <c r="BD189" s="616">
        <f t="shared" si="129"/>
        <v>0.5328</v>
      </c>
      <c r="BE189" s="616">
        <f t="shared" si="130"/>
        <v>0.2664</v>
      </c>
      <c r="BF189" s="616">
        <f t="shared" si="131"/>
        <v>0.1998</v>
      </c>
      <c r="BG189" s="616">
        <f t="shared" si="132"/>
        <v>0.00666</v>
      </c>
      <c r="BH189" s="616">
        <f t="shared" si="133"/>
        <v>0.01998</v>
      </c>
      <c r="BI189" s="616">
        <f t="shared" si="134"/>
        <v>0.3996</v>
      </c>
      <c r="BJ189" s="616"/>
      <c r="BK189" s="615">
        <f t="shared" si="135"/>
        <v>76.538598</v>
      </c>
      <c r="BL189" s="616">
        <f t="shared" si="136"/>
        <v>28.61256</v>
      </c>
      <c r="BM189" s="616">
        <f t="shared" si="137"/>
        <v>14.30628</v>
      </c>
      <c r="BN189" s="616">
        <f t="shared" si="138"/>
        <v>10.72971</v>
      </c>
      <c r="BO189" s="616">
        <f t="shared" si="139"/>
        <v>0.357657</v>
      </c>
      <c r="BP189" s="616">
        <f t="shared" si="140"/>
        <v>1.072971</v>
      </c>
      <c r="BQ189" s="616">
        <f t="shared" si="141"/>
        <v>21.45942</v>
      </c>
      <c r="BR189" s="616">
        <f t="shared" si="142"/>
        <v>0</v>
      </c>
      <c r="BS189" s="304" t="s">
        <v>700</v>
      </c>
    </row>
    <row r="190" s="132" customFormat="1" ht="24" spans="1:71">
      <c r="A190" s="497" t="s">
        <v>202</v>
      </c>
      <c r="B190" s="497" t="s">
        <v>404</v>
      </c>
      <c r="C190" s="497" t="s">
        <v>454</v>
      </c>
      <c r="D190" s="497" t="s">
        <v>416</v>
      </c>
      <c r="E190" s="615">
        <f t="shared" si="147"/>
        <v>1207.2539</v>
      </c>
      <c r="F190" s="615">
        <f t="shared" si="148"/>
        <v>1064.3908</v>
      </c>
      <c r="G190" s="616">
        <v>824.7156</v>
      </c>
      <c r="H190" s="616">
        <v>1.57</v>
      </c>
      <c r="I190" s="616">
        <v>238.1052</v>
      </c>
      <c r="J190" s="616"/>
      <c r="K190" s="616"/>
      <c r="L190" s="616"/>
      <c r="M190" s="615">
        <f t="shared" si="149"/>
        <v>142.8631</v>
      </c>
      <c r="N190" s="616">
        <v>142.8631</v>
      </c>
      <c r="O190" s="616"/>
      <c r="P190" s="616"/>
      <c r="Q190" s="616"/>
      <c r="R190" s="616"/>
      <c r="S190" s="615">
        <f t="shared" si="111"/>
        <v>7.41</v>
      </c>
      <c r="T190" s="615">
        <f t="shared" si="112"/>
        <v>-0.81</v>
      </c>
      <c r="U190" s="616">
        <v>-0.81</v>
      </c>
      <c r="V190" s="616"/>
      <c r="W190" s="616"/>
      <c r="X190" s="616"/>
      <c r="Y190" s="616"/>
      <c r="Z190" s="616"/>
      <c r="AA190" s="615">
        <f t="shared" si="113"/>
        <v>8.22</v>
      </c>
      <c r="AB190" s="616">
        <v>-1.28</v>
      </c>
      <c r="AC190" s="616"/>
      <c r="AD190" s="616"/>
      <c r="AE190" s="616">
        <v>9.5</v>
      </c>
      <c r="AF190" s="616"/>
      <c r="AG190" s="615">
        <f t="shared" si="114"/>
        <v>1214.6639</v>
      </c>
      <c r="AH190" s="615">
        <f t="shared" si="115"/>
        <v>1063.5808</v>
      </c>
      <c r="AI190" s="616">
        <f t="shared" si="116"/>
        <v>823.9056</v>
      </c>
      <c r="AJ190" s="616">
        <f t="shared" si="117"/>
        <v>1.57</v>
      </c>
      <c r="AK190" s="616">
        <f t="shared" si="118"/>
        <v>238.1052</v>
      </c>
      <c r="AL190" s="616">
        <f t="shared" si="119"/>
        <v>0</v>
      </c>
      <c r="AM190" s="616">
        <f t="shared" si="120"/>
        <v>0</v>
      </c>
      <c r="AN190" s="616">
        <f t="shared" si="121"/>
        <v>0</v>
      </c>
      <c r="AO190" s="615">
        <f t="shared" si="122"/>
        <v>151.0831</v>
      </c>
      <c r="AP190" s="616">
        <f t="shared" si="123"/>
        <v>141.5831</v>
      </c>
      <c r="AQ190" s="616">
        <f t="shared" si="124"/>
        <v>0</v>
      </c>
      <c r="AR190" s="616">
        <f t="shared" si="125"/>
        <v>0</v>
      </c>
      <c r="AS190" s="616">
        <f t="shared" si="126"/>
        <v>9.5</v>
      </c>
      <c r="AT190" s="637">
        <f t="shared" si="127"/>
        <v>0</v>
      </c>
      <c r="AU190" s="638">
        <f t="shared" si="150"/>
        <v>516.7046692</v>
      </c>
      <c r="AV190" s="616">
        <f t="shared" si="151"/>
        <v>193.160624</v>
      </c>
      <c r="AW190" s="616">
        <f t="shared" si="152"/>
        <v>96.580312</v>
      </c>
      <c r="AX190" s="616">
        <f t="shared" si="153"/>
        <v>72.435234</v>
      </c>
      <c r="AY190" s="616">
        <f t="shared" si="154"/>
        <v>2.4145078</v>
      </c>
      <c r="AZ190" s="616">
        <f t="shared" si="155"/>
        <v>7.2435234</v>
      </c>
      <c r="BA190" s="616">
        <f t="shared" si="156"/>
        <v>144.870468</v>
      </c>
      <c r="BB190" s="616"/>
      <c r="BC190" s="615">
        <f t="shared" si="128"/>
        <v>-0.89452</v>
      </c>
      <c r="BD190" s="616">
        <f t="shared" si="129"/>
        <v>-0.3344</v>
      </c>
      <c r="BE190" s="616">
        <f t="shared" si="130"/>
        <v>-0.1672</v>
      </c>
      <c r="BF190" s="616">
        <f t="shared" si="131"/>
        <v>-0.1254</v>
      </c>
      <c r="BG190" s="616">
        <f t="shared" si="132"/>
        <v>-0.00418</v>
      </c>
      <c r="BH190" s="616">
        <f t="shared" si="133"/>
        <v>-0.01254</v>
      </c>
      <c r="BI190" s="616">
        <f t="shared" si="134"/>
        <v>-0.2508</v>
      </c>
      <c r="BJ190" s="616"/>
      <c r="BK190" s="615">
        <f t="shared" si="135"/>
        <v>515.8101492</v>
      </c>
      <c r="BL190" s="616">
        <f t="shared" si="136"/>
        <v>192.826224</v>
      </c>
      <c r="BM190" s="616">
        <f t="shared" si="137"/>
        <v>96.413112</v>
      </c>
      <c r="BN190" s="616">
        <f t="shared" si="138"/>
        <v>72.309834</v>
      </c>
      <c r="BO190" s="616">
        <f t="shared" si="139"/>
        <v>2.4103278</v>
      </c>
      <c r="BP190" s="616">
        <f t="shared" si="140"/>
        <v>7.2309834</v>
      </c>
      <c r="BQ190" s="616">
        <f t="shared" si="141"/>
        <v>144.619668</v>
      </c>
      <c r="BR190" s="616">
        <f t="shared" si="142"/>
        <v>0</v>
      </c>
      <c r="BS190" s="304" t="s">
        <v>701</v>
      </c>
    </row>
    <row r="191" s="132" customFormat="1" ht="24" spans="1:71">
      <c r="A191" s="497" t="s">
        <v>202</v>
      </c>
      <c r="B191" s="497" t="s">
        <v>400</v>
      </c>
      <c r="C191" s="497" t="s">
        <v>455</v>
      </c>
      <c r="D191" s="497" t="s">
        <v>441</v>
      </c>
      <c r="E191" s="615">
        <f t="shared" si="147"/>
        <v>184.3378</v>
      </c>
      <c r="F191" s="615">
        <f t="shared" si="148"/>
        <v>158.9708</v>
      </c>
      <c r="G191" s="616">
        <v>116.532</v>
      </c>
      <c r="H191" s="616">
        <v>0.1608</v>
      </c>
      <c r="I191" s="616">
        <v>42.278</v>
      </c>
      <c r="J191" s="616"/>
      <c r="K191" s="616"/>
      <c r="L191" s="616"/>
      <c r="M191" s="615">
        <f t="shared" si="149"/>
        <v>25.367</v>
      </c>
      <c r="N191" s="616">
        <v>25.367</v>
      </c>
      <c r="O191" s="616"/>
      <c r="P191" s="616"/>
      <c r="Q191" s="616"/>
      <c r="R191" s="616"/>
      <c r="S191" s="615">
        <f t="shared" si="111"/>
        <v>1.43</v>
      </c>
      <c r="T191" s="615">
        <f t="shared" si="112"/>
        <v>-0.05</v>
      </c>
      <c r="U191" s="616">
        <v>-0.05</v>
      </c>
      <c r="V191" s="616"/>
      <c r="W191" s="616"/>
      <c r="X191" s="616"/>
      <c r="Y191" s="616"/>
      <c r="Z191" s="616"/>
      <c r="AA191" s="615">
        <f t="shared" si="113"/>
        <v>1.48</v>
      </c>
      <c r="AB191" s="616">
        <v>-0.41</v>
      </c>
      <c r="AC191" s="616"/>
      <c r="AD191" s="616"/>
      <c r="AE191" s="616">
        <v>1.89</v>
      </c>
      <c r="AF191" s="616"/>
      <c r="AG191" s="615">
        <f t="shared" si="114"/>
        <v>185.7678</v>
      </c>
      <c r="AH191" s="615">
        <f t="shared" si="115"/>
        <v>158.9208</v>
      </c>
      <c r="AI191" s="616">
        <f t="shared" si="116"/>
        <v>116.482</v>
      </c>
      <c r="AJ191" s="616">
        <f t="shared" si="117"/>
        <v>0.1608</v>
      </c>
      <c r="AK191" s="616">
        <f t="shared" si="118"/>
        <v>42.278</v>
      </c>
      <c r="AL191" s="616">
        <f t="shared" si="119"/>
        <v>0</v>
      </c>
      <c r="AM191" s="616">
        <f t="shared" si="120"/>
        <v>0</v>
      </c>
      <c r="AN191" s="616">
        <f t="shared" si="121"/>
        <v>0</v>
      </c>
      <c r="AO191" s="615">
        <f t="shared" si="122"/>
        <v>26.847</v>
      </c>
      <c r="AP191" s="616">
        <f t="shared" si="123"/>
        <v>24.957</v>
      </c>
      <c r="AQ191" s="616">
        <f t="shared" si="124"/>
        <v>0</v>
      </c>
      <c r="AR191" s="616">
        <f t="shared" si="125"/>
        <v>0</v>
      </c>
      <c r="AS191" s="616">
        <f t="shared" si="126"/>
        <v>1.89</v>
      </c>
      <c r="AT191" s="637">
        <f t="shared" si="127"/>
        <v>0</v>
      </c>
      <c r="AU191" s="638">
        <f t="shared" si="150"/>
        <v>78.8965784</v>
      </c>
      <c r="AV191" s="616">
        <f t="shared" si="151"/>
        <v>29.494048</v>
      </c>
      <c r="AW191" s="616">
        <f t="shared" si="152"/>
        <v>14.747024</v>
      </c>
      <c r="AX191" s="616">
        <f t="shared" si="153"/>
        <v>11.060268</v>
      </c>
      <c r="AY191" s="616">
        <f t="shared" si="154"/>
        <v>0.3686756</v>
      </c>
      <c r="AZ191" s="616">
        <f t="shared" si="155"/>
        <v>1.1060268</v>
      </c>
      <c r="BA191" s="616">
        <f t="shared" si="156"/>
        <v>22.120536</v>
      </c>
      <c r="BB191" s="616"/>
      <c r="BC191" s="615">
        <f t="shared" si="128"/>
        <v>-0.19688</v>
      </c>
      <c r="BD191" s="616">
        <f t="shared" si="129"/>
        <v>-0.0736</v>
      </c>
      <c r="BE191" s="616">
        <f t="shared" si="130"/>
        <v>-0.0368</v>
      </c>
      <c r="BF191" s="616">
        <f t="shared" si="131"/>
        <v>-0.0276</v>
      </c>
      <c r="BG191" s="616">
        <f t="shared" si="132"/>
        <v>-0.00092</v>
      </c>
      <c r="BH191" s="616">
        <f t="shared" si="133"/>
        <v>-0.00276</v>
      </c>
      <c r="BI191" s="616">
        <f t="shared" si="134"/>
        <v>-0.0552</v>
      </c>
      <c r="BJ191" s="616"/>
      <c r="BK191" s="615">
        <f t="shared" si="135"/>
        <v>78.6996984</v>
      </c>
      <c r="BL191" s="616">
        <f t="shared" si="136"/>
        <v>29.420448</v>
      </c>
      <c r="BM191" s="616">
        <f t="shared" si="137"/>
        <v>14.710224</v>
      </c>
      <c r="BN191" s="616">
        <f t="shared" si="138"/>
        <v>11.032668</v>
      </c>
      <c r="BO191" s="616">
        <f t="shared" si="139"/>
        <v>0.3677556</v>
      </c>
      <c r="BP191" s="616">
        <f t="shared" si="140"/>
        <v>1.1032668</v>
      </c>
      <c r="BQ191" s="616">
        <f t="shared" si="141"/>
        <v>22.065336</v>
      </c>
      <c r="BR191" s="616">
        <f t="shared" si="142"/>
        <v>0</v>
      </c>
      <c r="BS191" s="304" t="s">
        <v>702</v>
      </c>
    </row>
    <row r="192" s="132" customFormat="1" ht="24" customHeight="1" spans="1:71">
      <c r="A192" s="497" t="s">
        <v>202</v>
      </c>
      <c r="B192" s="497" t="s">
        <v>400</v>
      </c>
      <c r="C192" s="497" t="s">
        <v>456</v>
      </c>
      <c r="D192" s="497" t="s">
        <v>441</v>
      </c>
      <c r="E192" s="615">
        <f t="shared" si="147"/>
        <v>216.58</v>
      </c>
      <c r="F192" s="615">
        <f t="shared" si="148"/>
        <v>189</v>
      </c>
      <c r="G192" s="616">
        <v>142.78</v>
      </c>
      <c r="H192" s="616">
        <v>0.25</v>
      </c>
      <c r="I192" s="616">
        <v>45.97</v>
      </c>
      <c r="J192" s="616"/>
      <c r="K192" s="616"/>
      <c r="L192" s="616"/>
      <c r="M192" s="615">
        <f t="shared" si="149"/>
        <v>27.58</v>
      </c>
      <c r="N192" s="616">
        <v>27.58</v>
      </c>
      <c r="O192" s="616"/>
      <c r="P192" s="616"/>
      <c r="Q192" s="616"/>
      <c r="R192" s="616"/>
      <c r="S192" s="615">
        <f t="shared" si="111"/>
        <v>-5.01</v>
      </c>
      <c r="T192" s="615">
        <f t="shared" si="112"/>
        <v>-6.14</v>
      </c>
      <c r="U192" s="616">
        <v>-6.14</v>
      </c>
      <c r="V192" s="616"/>
      <c r="W192" s="616"/>
      <c r="X192" s="616"/>
      <c r="Y192" s="616"/>
      <c r="Z192" s="616"/>
      <c r="AA192" s="615">
        <f t="shared" si="113"/>
        <v>1.13</v>
      </c>
      <c r="AB192" s="616">
        <v>-1</v>
      </c>
      <c r="AC192" s="616"/>
      <c r="AD192" s="616"/>
      <c r="AE192" s="616">
        <v>2.13</v>
      </c>
      <c r="AF192" s="616"/>
      <c r="AG192" s="615">
        <f t="shared" si="114"/>
        <v>211.57</v>
      </c>
      <c r="AH192" s="615">
        <f t="shared" si="115"/>
        <v>182.86</v>
      </c>
      <c r="AI192" s="616">
        <f t="shared" si="116"/>
        <v>136.64</v>
      </c>
      <c r="AJ192" s="616">
        <f t="shared" si="117"/>
        <v>0.25</v>
      </c>
      <c r="AK192" s="616">
        <f t="shared" si="118"/>
        <v>45.97</v>
      </c>
      <c r="AL192" s="616">
        <f t="shared" si="119"/>
        <v>0</v>
      </c>
      <c r="AM192" s="616">
        <f t="shared" si="120"/>
        <v>0</v>
      </c>
      <c r="AN192" s="616">
        <f t="shared" si="121"/>
        <v>0</v>
      </c>
      <c r="AO192" s="615">
        <f t="shared" si="122"/>
        <v>28.71</v>
      </c>
      <c r="AP192" s="616">
        <f t="shared" si="123"/>
        <v>26.58</v>
      </c>
      <c r="AQ192" s="616">
        <f t="shared" si="124"/>
        <v>0</v>
      </c>
      <c r="AR192" s="616">
        <f t="shared" si="125"/>
        <v>0</v>
      </c>
      <c r="AS192" s="616">
        <f t="shared" si="126"/>
        <v>2.13</v>
      </c>
      <c r="AT192" s="637">
        <f t="shared" si="127"/>
        <v>0</v>
      </c>
      <c r="AU192" s="638">
        <f t="shared" si="150"/>
        <v>92.69624</v>
      </c>
      <c r="AV192" s="616">
        <f t="shared" si="151"/>
        <v>34.6528</v>
      </c>
      <c r="AW192" s="616">
        <f t="shared" si="152"/>
        <v>17.3264</v>
      </c>
      <c r="AX192" s="616">
        <f t="shared" si="153"/>
        <v>12.9948</v>
      </c>
      <c r="AY192" s="616">
        <f t="shared" si="154"/>
        <v>0.43316</v>
      </c>
      <c r="AZ192" s="616">
        <f t="shared" si="155"/>
        <v>1.29948</v>
      </c>
      <c r="BA192" s="616">
        <f t="shared" si="156"/>
        <v>25.9896</v>
      </c>
      <c r="BB192" s="616"/>
      <c r="BC192" s="615">
        <f t="shared" si="128"/>
        <v>-3.05592</v>
      </c>
      <c r="BD192" s="616">
        <f t="shared" si="129"/>
        <v>-1.1424</v>
      </c>
      <c r="BE192" s="616">
        <f t="shared" si="130"/>
        <v>-0.5712</v>
      </c>
      <c r="BF192" s="616">
        <f t="shared" si="131"/>
        <v>-0.4284</v>
      </c>
      <c r="BG192" s="616">
        <f t="shared" si="132"/>
        <v>-0.01428</v>
      </c>
      <c r="BH192" s="616">
        <f t="shared" si="133"/>
        <v>-0.04284</v>
      </c>
      <c r="BI192" s="616">
        <f t="shared" si="134"/>
        <v>-0.8568</v>
      </c>
      <c r="BJ192" s="616"/>
      <c r="BK192" s="615">
        <f t="shared" si="135"/>
        <v>89.64032</v>
      </c>
      <c r="BL192" s="616">
        <f t="shared" si="136"/>
        <v>33.5104</v>
      </c>
      <c r="BM192" s="616">
        <f t="shared" si="137"/>
        <v>16.7552</v>
      </c>
      <c r="BN192" s="616">
        <f t="shared" si="138"/>
        <v>12.5664</v>
      </c>
      <c r="BO192" s="616">
        <f t="shared" si="139"/>
        <v>0.41888</v>
      </c>
      <c r="BP192" s="616">
        <f t="shared" si="140"/>
        <v>1.25664</v>
      </c>
      <c r="BQ192" s="616">
        <f t="shared" si="141"/>
        <v>25.1328</v>
      </c>
      <c r="BR192" s="616">
        <f t="shared" si="142"/>
        <v>0</v>
      </c>
      <c r="BS192" s="304" t="s">
        <v>703</v>
      </c>
    </row>
    <row r="193" s="132" customFormat="1" ht="24" spans="1:71">
      <c r="A193" s="497" t="s">
        <v>202</v>
      </c>
      <c r="B193" s="497" t="s">
        <v>404</v>
      </c>
      <c r="C193" s="497" t="s">
        <v>457</v>
      </c>
      <c r="D193" s="497" t="s">
        <v>406</v>
      </c>
      <c r="E193" s="615">
        <f t="shared" si="147"/>
        <v>663.51</v>
      </c>
      <c r="F193" s="615">
        <f t="shared" si="148"/>
        <v>578.39</v>
      </c>
      <c r="G193" s="616">
        <v>435.72</v>
      </c>
      <c r="H193" s="616">
        <v>0.81</v>
      </c>
      <c r="I193" s="616">
        <v>141.86</v>
      </c>
      <c r="J193" s="616"/>
      <c r="K193" s="616"/>
      <c r="L193" s="616"/>
      <c r="M193" s="615">
        <f t="shared" si="149"/>
        <v>85.12</v>
      </c>
      <c r="N193" s="616">
        <v>85.12</v>
      </c>
      <c r="O193" s="616"/>
      <c r="P193" s="616"/>
      <c r="Q193" s="616"/>
      <c r="R193" s="616"/>
      <c r="S193" s="615">
        <f t="shared" si="111"/>
        <v>146.81</v>
      </c>
      <c r="T193" s="615">
        <f t="shared" si="112"/>
        <v>117.96</v>
      </c>
      <c r="U193" s="616">
        <v>117.96</v>
      </c>
      <c r="V193" s="616"/>
      <c r="W193" s="616"/>
      <c r="X193" s="616"/>
      <c r="Y193" s="616"/>
      <c r="Z193" s="616"/>
      <c r="AA193" s="615">
        <f t="shared" si="113"/>
        <v>28.85</v>
      </c>
      <c r="AB193" s="616">
        <v>17.24</v>
      </c>
      <c r="AC193" s="616"/>
      <c r="AD193" s="616"/>
      <c r="AE193" s="616">
        <v>11.61</v>
      </c>
      <c r="AF193" s="616"/>
      <c r="AG193" s="615">
        <f t="shared" si="114"/>
        <v>810.32</v>
      </c>
      <c r="AH193" s="615">
        <f t="shared" si="115"/>
        <v>696.35</v>
      </c>
      <c r="AI193" s="616">
        <f t="shared" si="116"/>
        <v>553.68</v>
      </c>
      <c r="AJ193" s="616">
        <f t="shared" si="117"/>
        <v>0.81</v>
      </c>
      <c r="AK193" s="616">
        <f t="shared" si="118"/>
        <v>141.86</v>
      </c>
      <c r="AL193" s="616">
        <f t="shared" si="119"/>
        <v>0</v>
      </c>
      <c r="AM193" s="616">
        <f t="shared" si="120"/>
        <v>0</v>
      </c>
      <c r="AN193" s="616">
        <f t="shared" si="121"/>
        <v>0</v>
      </c>
      <c r="AO193" s="615">
        <f t="shared" si="122"/>
        <v>113.97</v>
      </c>
      <c r="AP193" s="616">
        <f t="shared" si="123"/>
        <v>102.36</v>
      </c>
      <c r="AQ193" s="616">
        <f t="shared" si="124"/>
        <v>0</v>
      </c>
      <c r="AR193" s="616">
        <f t="shared" si="125"/>
        <v>0</v>
      </c>
      <c r="AS193" s="616">
        <f t="shared" si="126"/>
        <v>11.61</v>
      </c>
      <c r="AT193" s="637">
        <f t="shared" si="127"/>
        <v>0</v>
      </c>
      <c r="AU193" s="638">
        <f t="shared" si="150"/>
        <v>283.98228</v>
      </c>
      <c r="AV193" s="616">
        <f t="shared" si="151"/>
        <v>106.1616</v>
      </c>
      <c r="AW193" s="616">
        <f t="shared" si="152"/>
        <v>53.0808</v>
      </c>
      <c r="AX193" s="616">
        <f t="shared" si="153"/>
        <v>39.8106</v>
      </c>
      <c r="AY193" s="616">
        <f t="shared" si="154"/>
        <v>1.32702</v>
      </c>
      <c r="AZ193" s="616">
        <f t="shared" si="155"/>
        <v>3.98106</v>
      </c>
      <c r="BA193" s="616">
        <f t="shared" si="156"/>
        <v>79.6212</v>
      </c>
      <c r="BB193" s="616"/>
      <c r="BC193" s="615">
        <f t="shared" si="128"/>
        <v>57.8656</v>
      </c>
      <c r="BD193" s="616">
        <f t="shared" si="129"/>
        <v>21.632</v>
      </c>
      <c r="BE193" s="616">
        <f t="shared" si="130"/>
        <v>10.816</v>
      </c>
      <c r="BF193" s="616">
        <f t="shared" si="131"/>
        <v>8.112</v>
      </c>
      <c r="BG193" s="616">
        <f t="shared" si="132"/>
        <v>0.2704</v>
      </c>
      <c r="BH193" s="616">
        <f t="shared" si="133"/>
        <v>0.8112</v>
      </c>
      <c r="BI193" s="616">
        <f t="shared" si="134"/>
        <v>16.224</v>
      </c>
      <c r="BJ193" s="616"/>
      <c r="BK193" s="615">
        <f t="shared" si="135"/>
        <v>341.84788</v>
      </c>
      <c r="BL193" s="616">
        <f t="shared" si="136"/>
        <v>127.7936</v>
      </c>
      <c r="BM193" s="616">
        <f t="shared" si="137"/>
        <v>63.8968</v>
      </c>
      <c r="BN193" s="616">
        <f t="shared" si="138"/>
        <v>47.9226</v>
      </c>
      <c r="BO193" s="616">
        <f t="shared" si="139"/>
        <v>1.59742</v>
      </c>
      <c r="BP193" s="616">
        <f t="shared" si="140"/>
        <v>4.79226</v>
      </c>
      <c r="BQ193" s="616">
        <f t="shared" si="141"/>
        <v>95.8452</v>
      </c>
      <c r="BR193" s="616">
        <f t="shared" si="142"/>
        <v>0</v>
      </c>
      <c r="BS193" s="304" t="s">
        <v>704</v>
      </c>
    </row>
    <row r="194" s="132" customFormat="1" ht="24" spans="1:71">
      <c r="A194" s="497" t="s">
        <v>202</v>
      </c>
      <c r="B194" s="497" t="s">
        <v>400</v>
      </c>
      <c r="C194" s="497" t="s">
        <v>458</v>
      </c>
      <c r="D194" s="497" t="s">
        <v>441</v>
      </c>
      <c r="E194" s="615">
        <f t="shared" si="147"/>
        <v>160.27</v>
      </c>
      <c r="F194" s="615">
        <f t="shared" si="148"/>
        <v>137.51</v>
      </c>
      <c r="G194" s="616">
        <v>99.45</v>
      </c>
      <c r="H194" s="616">
        <v>0.12</v>
      </c>
      <c r="I194" s="616">
        <v>37.94</v>
      </c>
      <c r="J194" s="616"/>
      <c r="K194" s="616"/>
      <c r="L194" s="616"/>
      <c r="M194" s="615">
        <f t="shared" si="149"/>
        <v>22.76</v>
      </c>
      <c r="N194" s="616">
        <v>22.76</v>
      </c>
      <c r="O194" s="616"/>
      <c r="P194" s="616"/>
      <c r="Q194" s="616"/>
      <c r="R194" s="616"/>
      <c r="S194" s="615">
        <f t="shared" si="111"/>
        <v>6.43</v>
      </c>
      <c r="T194" s="615">
        <f t="shared" si="112"/>
        <v>4.63</v>
      </c>
      <c r="U194" s="616">
        <v>4.63</v>
      </c>
      <c r="V194" s="616"/>
      <c r="W194" s="616"/>
      <c r="X194" s="616"/>
      <c r="Y194" s="616"/>
      <c r="Z194" s="616"/>
      <c r="AA194" s="615">
        <f t="shared" si="113"/>
        <v>1.8</v>
      </c>
      <c r="AB194" s="616">
        <v>0.58</v>
      </c>
      <c r="AC194" s="616"/>
      <c r="AD194" s="616"/>
      <c r="AE194" s="616">
        <v>1.22</v>
      </c>
      <c r="AF194" s="616"/>
      <c r="AG194" s="615">
        <f t="shared" si="114"/>
        <v>166.7</v>
      </c>
      <c r="AH194" s="615">
        <f t="shared" si="115"/>
        <v>142.14</v>
      </c>
      <c r="AI194" s="616">
        <f t="shared" si="116"/>
        <v>104.08</v>
      </c>
      <c r="AJ194" s="616">
        <f t="shared" si="117"/>
        <v>0.12</v>
      </c>
      <c r="AK194" s="616">
        <f t="shared" si="118"/>
        <v>37.94</v>
      </c>
      <c r="AL194" s="616">
        <f t="shared" si="119"/>
        <v>0</v>
      </c>
      <c r="AM194" s="616">
        <f t="shared" si="120"/>
        <v>0</v>
      </c>
      <c r="AN194" s="616">
        <f t="shared" si="121"/>
        <v>0</v>
      </c>
      <c r="AO194" s="615">
        <f t="shared" si="122"/>
        <v>24.56</v>
      </c>
      <c r="AP194" s="616">
        <f t="shared" si="123"/>
        <v>23.34</v>
      </c>
      <c r="AQ194" s="616">
        <f t="shared" si="124"/>
        <v>0</v>
      </c>
      <c r="AR194" s="616">
        <f t="shared" si="125"/>
        <v>0</v>
      </c>
      <c r="AS194" s="616">
        <f t="shared" si="126"/>
        <v>1.22</v>
      </c>
      <c r="AT194" s="637">
        <f t="shared" si="127"/>
        <v>0</v>
      </c>
      <c r="AU194" s="638">
        <f t="shared" si="150"/>
        <v>68.59556</v>
      </c>
      <c r="AV194" s="616">
        <f t="shared" si="151"/>
        <v>25.6432</v>
      </c>
      <c r="AW194" s="616">
        <f t="shared" si="152"/>
        <v>12.8216</v>
      </c>
      <c r="AX194" s="616">
        <f t="shared" si="153"/>
        <v>9.6162</v>
      </c>
      <c r="AY194" s="616">
        <f t="shared" si="154"/>
        <v>0.32054</v>
      </c>
      <c r="AZ194" s="616">
        <f t="shared" si="155"/>
        <v>0.96162</v>
      </c>
      <c r="BA194" s="616">
        <f t="shared" si="156"/>
        <v>19.2324</v>
      </c>
      <c r="BB194" s="616"/>
      <c r="BC194" s="615">
        <f t="shared" si="128"/>
        <v>2.22988</v>
      </c>
      <c r="BD194" s="616">
        <f t="shared" si="129"/>
        <v>0.8336</v>
      </c>
      <c r="BE194" s="616">
        <f t="shared" si="130"/>
        <v>0.4168</v>
      </c>
      <c r="BF194" s="616">
        <f t="shared" si="131"/>
        <v>0.3126</v>
      </c>
      <c r="BG194" s="616">
        <f t="shared" si="132"/>
        <v>0.01042</v>
      </c>
      <c r="BH194" s="616">
        <f t="shared" si="133"/>
        <v>0.03126</v>
      </c>
      <c r="BI194" s="616">
        <f t="shared" si="134"/>
        <v>0.6252</v>
      </c>
      <c r="BJ194" s="616"/>
      <c r="BK194" s="615">
        <f t="shared" si="135"/>
        <v>70.82544</v>
      </c>
      <c r="BL194" s="616">
        <f t="shared" si="136"/>
        <v>26.4768</v>
      </c>
      <c r="BM194" s="616">
        <f t="shared" si="137"/>
        <v>13.2384</v>
      </c>
      <c r="BN194" s="616">
        <f t="shared" si="138"/>
        <v>9.9288</v>
      </c>
      <c r="BO194" s="616">
        <f t="shared" si="139"/>
        <v>0.33096</v>
      </c>
      <c r="BP194" s="616">
        <f t="shared" si="140"/>
        <v>0.99288</v>
      </c>
      <c r="BQ194" s="616">
        <f t="shared" si="141"/>
        <v>19.8576</v>
      </c>
      <c r="BR194" s="616">
        <f t="shared" si="142"/>
        <v>0</v>
      </c>
      <c r="BS194" s="304" t="s">
        <v>705</v>
      </c>
    </row>
    <row r="195" s="132" customFormat="1" ht="24" spans="1:71">
      <c r="A195" s="497" t="s">
        <v>202</v>
      </c>
      <c r="B195" s="497" t="s">
        <v>400</v>
      </c>
      <c r="C195" s="497" t="s">
        <v>459</v>
      </c>
      <c r="D195" s="497" t="s">
        <v>441</v>
      </c>
      <c r="E195" s="615">
        <f t="shared" si="147"/>
        <v>164.07</v>
      </c>
      <c r="F195" s="615">
        <f t="shared" si="148"/>
        <v>140.85</v>
      </c>
      <c r="G195" s="616">
        <v>102.01</v>
      </c>
      <c r="H195" s="616">
        <v>0.14</v>
      </c>
      <c r="I195" s="616">
        <v>38.7</v>
      </c>
      <c r="J195" s="616"/>
      <c r="K195" s="616"/>
      <c r="L195" s="616"/>
      <c r="M195" s="615">
        <f t="shared" si="149"/>
        <v>23.22</v>
      </c>
      <c r="N195" s="616">
        <v>23.22</v>
      </c>
      <c r="O195" s="616"/>
      <c r="P195" s="616"/>
      <c r="Q195" s="616"/>
      <c r="R195" s="616"/>
      <c r="S195" s="615">
        <f t="shared" si="111"/>
        <v>4.04</v>
      </c>
      <c r="T195" s="615">
        <f t="shared" si="112"/>
        <v>2.98</v>
      </c>
      <c r="U195" s="616">
        <v>2.98</v>
      </c>
      <c r="V195" s="616"/>
      <c r="W195" s="616"/>
      <c r="X195" s="616"/>
      <c r="Y195" s="616"/>
      <c r="Z195" s="616"/>
      <c r="AA195" s="615">
        <f t="shared" si="113"/>
        <v>1.06</v>
      </c>
      <c r="AB195" s="616">
        <v>0.13</v>
      </c>
      <c r="AC195" s="616"/>
      <c r="AD195" s="616"/>
      <c r="AE195" s="616">
        <v>0.93</v>
      </c>
      <c r="AF195" s="616"/>
      <c r="AG195" s="615">
        <f t="shared" si="114"/>
        <v>168.11</v>
      </c>
      <c r="AH195" s="615">
        <f t="shared" si="115"/>
        <v>143.83</v>
      </c>
      <c r="AI195" s="616">
        <f t="shared" si="116"/>
        <v>104.99</v>
      </c>
      <c r="AJ195" s="616">
        <f t="shared" si="117"/>
        <v>0.14</v>
      </c>
      <c r="AK195" s="616">
        <f t="shared" si="118"/>
        <v>38.7</v>
      </c>
      <c r="AL195" s="616">
        <f t="shared" si="119"/>
        <v>0</v>
      </c>
      <c r="AM195" s="616">
        <f t="shared" si="120"/>
        <v>0</v>
      </c>
      <c r="AN195" s="616">
        <f t="shared" si="121"/>
        <v>0</v>
      </c>
      <c r="AO195" s="615">
        <f t="shared" si="122"/>
        <v>24.28</v>
      </c>
      <c r="AP195" s="616">
        <f t="shared" si="123"/>
        <v>23.35</v>
      </c>
      <c r="AQ195" s="616">
        <f t="shared" si="124"/>
        <v>0</v>
      </c>
      <c r="AR195" s="616">
        <f t="shared" si="125"/>
        <v>0</v>
      </c>
      <c r="AS195" s="616">
        <f t="shared" si="126"/>
        <v>0.93</v>
      </c>
      <c r="AT195" s="637">
        <f t="shared" si="127"/>
        <v>0</v>
      </c>
      <c r="AU195" s="638">
        <f t="shared" si="150"/>
        <v>70.22196</v>
      </c>
      <c r="AV195" s="616">
        <f t="shared" si="151"/>
        <v>26.2512</v>
      </c>
      <c r="AW195" s="616">
        <f t="shared" si="152"/>
        <v>13.1256</v>
      </c>
      <c r="AX195" s="616">
        <f t="shared" si="153"/>
        <v>9.8442</v>
      </c>
      <c r="AY195" s="616">
        <f t="shared" si="154"/>
        <v>0.32814</v>
      </c>
      <c r="AZ195" s="616">
        <f t="shared" si="155"/>
        <v>0.98442</v>
      </c>
      <c r="BA195" s="616">
        <f t="shared" si="156"/>
        <v>19.6884</v>
      </c>
      <c r="BB195" s="616"/>
      <c r="BC195" s="615">
        <f t="shared" si="128"/>
        <v>1.33108</v>
      </c>
      <c r="BD195" s="616">
        <f t="shared" si="129"/>
        <v>0.4976</v>
      </c>
      <c r="BE195" s="616">
        <f t="shared" si="130"/>
        <v>0.2488</v>
      </c>
      <c r="BF195" s="616">
        <f t="shared" si="131"/>
        <v>0.1866</v>
      </c>
      <c r="BG195" s="616">
        <f t="shared" si="132"/>
        <v>0.00622</v>
      </c>
      <c r="BH195" s="616">
        <f t="shared" si="133"/>
        <v>0.01866</v>
      </c>
      <c r="BI195" s="616">
        <f t="shared" si="134"/>
        <v>0.3732</v>
      </c>
      <c r="BJ195" s="616"/>
      <c r="BK195" s="615">
        <f t="shared" si="135"/>
        <v>71.55304</v>
      </c>
      <c r="BL195" s="616">
        <f t="shared" si="136"/>
        <v>26.7488</v>
      </c>
      <c r="BM195" s="616">
        <f t="shared" si="137"/>
        <v>13.3744</v>
      </c>
      <c r="BN195" s="616">
        <f t="shared" si="138"/>
        <v>10.0308</v>
      </c>
      <c r="BO195" s="616">
        <f t="shared" si="139"/>
        <v>0.33436</v>
      </c>
      <c r="BP195" s="616">
        <f t="shared" si="140"/>
        <v>1.00308</v>
      </c>
      <c r="BQ195" s="616">
        <f t="shared" si="141"/>
        <v>20.0616</v>
      </c>
      <c r="BR195" s="616">
        <f t="shared" si="142"/>
        <v>0</v>
      </c>
      <c r="BS195" s="304" t="s">
        <v>706</v>
      </c>
    </row>
    <row r="196" s="132" customFormat="1" ht="24" spans="1:71">
      <c r="A196" s="497" t="s">
        <v>202</v>
      </c>
      <c r="B196" s="497" t="s">
        <v>404</v>
      </c>
      <c r="C196" s="497" t="s">
        <v>460</v>
      </c>
      <c r="D196" s="497" t="s">
        <v>406</v>
      </c>
      <c r="E196" s="615">
        <f t="shared" si="147"/>
        <v>255.44</v>
      </c>
      <c r="F196" s="615">
        <f t="shared" si="148"/>
        <v>222.41</v>
      </c>
      <c r="G196" s="616">
        <v>167.04</v>
      </c>
      <c r="H196" s="616">
        <v>0.32</v>
      </c>
      <c r="I196" s="616">
        <v>55.05</v>
      </c>
      <c r="J196" s="616"/>
      <c r="K196" s="616"/>
      <c r="L196" s="616"/>
      <c r="M196" s="615">
        <f t="shared" si="149"/>
        <v>33.03</v>
      </c>
      <c r="N196" s="616">
        <v>33.03</v>
      </c>
      <c r="O196" s="616"/>
      <c r="P196" s="616"/>
      <c r="Q196" s="616"/>
      <c r="R196" s="616"/>
      <c r="S196" s="615">
        <f t="shared" si="111"/>
        <v>83.82</v>
      </c>
      <c r="T196" s="615">
        <f t="shared" si="112"/>
        <v>65.61</v>
      </c>
      <c r="U196" s="616">
        <v>65.61</v>
      </c>
      <c r="V196" s="616"/>
      <c r="W196" s="616"/>
      <c r="X196" s="616"/>
      <c r="Y196" s="616"/>
      <c r="Z196" s="616"/>
      <c r="AA196" s="615">
        <f t="shared" si="113"/>
        <v>18.21</v>
      </c>
      <c r="AB196" s="616">
        <v>9.86</v>
      </c>
      <c r="AC196" s="616"/>
      <c r="AD196" s="616"/>
      <c r="AE196" s="616">
        <v>8.35</v>
      </c>
      <c r="AF196" s="616"/>
      <c r="AG196" s="615">
        <f t="shared" si="114"/>
        <v>339.26</v>
      </c>
      <c r="AH196" s="615">
        <f t="shared" si="115"/>
        <v>288.02</v>
      </c>
      <c r="AI196" s="616">
        <f t="shared" si="116"/>
        <v>232.65</v>
      </c>
      <c r="AJ196" s="616">
        <f t="shared" si="117"/>
        <v>0.32</v>
      </c>
      <c r="AK196" s="616">
        <f t="shared" si="118"/>
        <v>55.05</v>
      </c>
      <c r="AL196" s="616">
        <f t="shared" si="119"/>
        <v>0</v>
      </c>
      <c r="AM196" s="616">
        <f t="shared" si="120"/>
        <v>0</v>
      </c>
      <c r="AN196" s="616">
        <f t="shared" si="121"/>
        <v>0</v>
      </c>
      <c r="AO196" s="615">
        <f t="shared" si="122"/>
        <v>51.24</v>
      </c>
      <c r="AP196" s="616">
        <f t="shared" si="123"/>
        <v>42.89</v>
      </c>
      <c r="AQ196" s="616">
        <f t="shared" si="124"/>
        <v>0</v>
      </c>
      <c r="AR196" s="616">
        <f t="shared" si="125"/>
        <v>0</v>
      </c>
      <c r="AS196" s="616">
        <f t="shared" si="126"/>
        <v>8.35</v>
      </c>
      <c r="AT196" s="637">
        <f t="shared" si="127"/>
        <v>0</v>
      </c>
      <c r="AU196" s="638">
        <f t="shared" si="150"/>
        <v>109.32832</v>
      </c>
      <c r="AV196" s="616">
        <f t="shared" si="151"/>
        <v>40.8704</v>
      </c>
      <c r="AW196" s="616">
        <f t="shared" si="152"/>
        <v>20.4352</v>
      </c>
      <c r="AX196" s="616">
        <f t="shared" si="153"/>
        <v>15.3264</v>
      </c>
      <c r="AY196" s="616">
        <f t="shared" si="154"/>
        <v>0.51088</v>
      </c>
      <c r="AZ196" s="616">
        <f t="shared" si="155"/>
        <v>1.53264</v>
      </c>
      <c r="BA196" s="616">
        <f t="shared" si="156"/>
        <v>30.6528</v>
      </c>
      <c r="BB196" s="616"/>
      <c r="BC196" s="615">
        <f t="shared" si="128"/>
        <v>32.30116</v>
      </c>
      <c r="BD196" s="616">
        <f t="shared" si="129"/>
        <v>12.0752</v>
      </c>
      <c r="BE196" s="616">
        <f t="shared" si="130"/>
        <v>6.0376</v>
      </c>
      <c r="BF196" s="616">
        <f t="shared" si="131"/>
        <v>4.5282</v>
      </c>
      <c r="BG196" s="616">
        <f t="shared" si="132"/>
        <v>0.15094</v>
      </c>
      <c r="BH196" s="616">
        <f t="shared" si="133"/>
        <v>0.45282</v>
      </c>
      <c r="BI196" s="616">
        <f t="shared" si="134"/>
        <v>9.0564</v>
      </c>
      <c r="BJ196" s="616"/>
      <c r="BK196" s="615">
        <f t="shared" si="135"/>
        <v>141.62948</v>
      </c>
      <c r="BL196" s="616">
        <f t="shared" si="136"/>
        <v>52.9456</v>
      </c>
      <c r="BM196" s="616">
        <f t="shared" si="137"/>
        <v>26.4728</v>
      </c>
      <c r="BN196" s="616">
        <f t="shared" si="138"/>
        <v>19.8546</v>
      </c>
      <c r="BO196" s="616">
        <f t="shared" si="139"/>
        <v>0.66182</v>
      </c>
      <c r="BP196" s="616">
        <f t="shared" si="140"/>
        <v>1.98546</v>
      </c>
      <c r="BQ196" s="616">
        <f t="shared" si="141"/>
        <v>39.7092</v>
      </c>
      <c r="BR196" s="616">
        <f t="shared" si="142"/>
        <v>0</v>
      </c>
      <c r="BS196" s="304" t="s">
        <v>707</v>
      </c>
    </row>
    <row r="197" s="132" customFormat="1" ht="24" spans="1:71">
      <c r="A197" s="497" t="s">
        <v>202</v>
      </c>
      <c r="B197" s="497" t="s">
        <v>400</v>
      </c>
      <c r="C197" s="497" t="s">
        <v>461</v>
      </c>
      <c r="D197" s="497" t="s">
        <v>441</v>
      </c>
      <c r="E197" s="615">
        <f t="shared" si="147"/>
        <v>80.62</v>
      </c>
      <c r="F197" s="615">
        <f t="shared" si="148"/>
        <v>70.09</v>
      </c>
      <c r="G197" s="616">
        <v>52.45</v>
      </c>
      <c r="H197" s="616">
        <v>0.1</v>
      </c>
      <c r="I197" s="616">
        <v>17.54</v>
      </c>
      <c r="J197" s="616"/>
      <c r="K197" s="616"/>
      <c r="L197" s="616"/>
      <c r="M197" s="615">
        <f t="shared" si="149"/>
        <v>10.53</v>
      </c>
      <c r="N197" s="616">
        <v>10.53</v>
      </c>
      <c r="O197" s="616"/>
      <c r="P197" s="616"/>
      <c r="Q197" s="616"/>
      <c r="R197" s="616"/>
      <c r="S197" s="615">
        <f t="shared" si="111"/>
        <v>9.49</v>
      </c>
      <c r="T197" s="615">
        <f t="shared" si="112"/>
        <v>8.06</v>
      </c>
      <c r="U197" s="616">
        <v>8.06</v>
      </c>
      <c r="V197" s="616"/>
      <c r="W197" s="616"/>
      <c r="X197" s="616"/>
      <c r="Y197" s="616"/>
      <c r="Z197" s="616"/>
      <c r="AA197" s="615">
        <f t="shared" si="113"/>
        <v>1.43</v>
      </c>
      <c r="AB197" s="616">
        <v>0.97</v>
      </c>
      <c r="AC197" s="616"/>
      <c r="AD197" s="616"/>
      <c r="AE197" s="616">
        <v>0.46</v>
      </c>
      <c r="AF197" s="616"/>
      <c r="AG197" s="615">
        <f t="shared" si="114"/>
        <v>90.11</v>
      </c>
      <c r="AH197" s="615">
        <f t="shared" si="115"/>
        <v>78.15</v>
      </c>
      <c r="AI197" s="616">
        <f t="shared" si="116"/>
        <v>60.51</v>
      </c>
      <c r="AJ197" s="616">
        <f t="shared" si="117"/>
        <v>0.1</v>
      </c>
      <c r="AK197" s="616">
        <f t="shared" si="118"/>
        <v>17.54</v>
      </c>
      <c r="AL197" s="616">
        <f t="shared" si="119"/>
        <v>0</v>
      </c>
      <c r="AM197" s="616">
        <f t="shared" si="120"/>
        <v>0</v>
      </c>
      <c r="AN197" s="616">
        <f t="shared" si="121"/>
        <v>0</v>
      </c>
      <c r="AO197" s="615">
        <f t="shared" si="122"/>
        <v>11.96</v>
      </c>
      <c r="AP197" s="616">
        <f t="shared" si="123"/>
        <v>11.5</v>
      </c>
      <c r="AQ197" s="616">
        <f t="shared" si="124"/>
        <v>0</v>
      </c>
      <c r="AR197" s="616">
        <f t="shared" si="125"/>
        <v>0</v>
      </c>
      <c r="AS197" s="616">
        <f t="shared" si="126"/>
        <v>0.46</v>
      </c>
      <c r="AT197" s="637">
        <f t="shared" si="127"/>
        <v>0</v>
      </c>
      <c r="AU197" s="638">
        <f t="shared" si="150"/>
        <v>34.50536</v>
      </c>
      <c r="AV197" s="616">
        <f t="shared" si="151"/>
        <v>12.8992</v>
      </c>
      <c r="AW197" s="616">
        <f t="shared" si="152"/>
        <v>6.4496</v>
      </c>
      <c r="AX197" s="616">
        <f t="shared" si="153"/>
        <v>4.8372</v>
      </c>
      <c r="AY197" s="616">
        <f t="shared" si="154"/>
        <v>0.16124</v>
      </c>
      <c r="AZ197" s="616">
        <f t="shared" si="155"/>
        <v>0.48372</v>
      </c>
      <c r="BA197" s="616">
        <f t="shared" si="156"/>
        <v>9.6744</v>
      </c>
      <c r="BB197" s="616"/>
      <c r="BC197" s="615">
        <f t="shared" si="128"/>
        <v>3.86484</v>
      </c>
      <c r="BD197" s="616">
        <f t="shared" si="129"/>
        <v>1.4448</v>
      </c>
      <c r="BE197" s="616">
        <f t="shared" si="130"/>
        <v>0.7224</v>
      </c>
      <c r="BF197" s="616">
        <f t="shared" si="131"/>
        <v>0.5418</v>
      </c>
      <c r="BG197" s="616">
        <f t="shared" si="132"/>
        <v>0.01806</v>
      </c>
      <c r="BH197" s="616">
        <f t="shared" si="133"/>
        <v>0.05418</v>
      </c>
      <c r="BI197" s="616">
        <f t="shared" si="134"/>
        <v>1.0836</v>
      </c>
      <c r="BJ197" s="616"/>
      <c r="BK197" s="615">
        <f t="shared" si="135"/>
        <v>38.3702</v>
      </c>
      <c r="BL197" s="616">
        <f t="shared" si="136"/>
        <v>14.344</v>
      </c>
      <c r="BM197" s="616">
        <f t="shared" si="137"/>
        <v>7.172</v>
      </c>
      <c r="BN197" s="616">
        <f t="shared" si="138"/>
        <v>5.379</v>
      </c>
      <c r="BO197" s="616">
        <f t="shared" si="139"/>
        <v>0.1793</v>
      </c>
      <c r="BP197" s="616">
        <f t="shared" si="140"/>
        <v>0.5379</v>
      </c>
      <c r="BQ197" s="616">
        <f t="shared" si="141"/>
        <v>10.758</v>
      </c>
      <c r="BR197" s="616">
        <f t="shared" si="142"/>
        <v>0</v>
      </c>
      <c r="BS197" s="304" t="s">
        <v>708</v>
      </c>
    </row>
    <row r="198" s="132" customFormat="1" ht="24" spans="1:71">
      <c r="A198" s="497" t="s">
        <v>202</v>
      </c>
      <c r="B198" s="497" t="s">
        <v>400</v>
      </c>
      <c r="C198" s="497" t="s">
        <v>462</v>
      </c>
      <c r="D198" s="497" t="s">
        <v>441</v>
      </c>
      <c r="E198" s="615">
        <f t="shared" si="147"/>
        <v>51.86</v>
      </c>
      <c r="F198" s="615">
        <f t="shared" si="148"/>
        <v>44.44</v>
      </c>
      <c r="G198" s="616">
        <v>32.03</v>
      </c>
      <c r="H198" s="616">
        <v>0.04</v>
      </c>
      <c r="I198" s="616">
        <v>12.37</v>
      </c>
      <c r="J198" s="616"/>
      <c r="K198" s="616"/>
      <c r="L198" s="616"/>
      <c r="M198" s="615">
        <f t="shared" si="149"/>
        <v>7.42</v>
      </c>
      <c r="N198" s="616">
        <v>7.42</v>
      </c>
      <c r="O198" s="616"/>
      <c r="P198" s="616"/>
      <c r="Q198" s="616"/>
      <c r="R198" s="616"/>
      <c r="S198" s="615">
        <f t="shared" si="111"/>
        <v>7.05</v>
      </c>
      <c r="T198" s="615">
        <f t="shared" si="112"/>
        <v>5.7</v>
      </c>
      <c r="U198" s="616">
        <v>5.7</v>
      </c>
      <c r="V198" s="616"/>
      <c r="W198" s="616"/>
      <c r="X198" s="616"/>
      <c r="Y198" s="616"/>
      <c r="Z198" s="616"/>
      <c r="AA198" s="615">
        <f t="shared" si="113"/>
        <v>1.35</v>
      </c>
      <c r="AB198" s="616">
        <v>0.95</v>
      </c>
      <c r="AC198" s="616"/>
      <c r="AD198" s="616"/>
      <c r="AE198" s="616">
        <v>0.4</v>
      </c>
      <c r="AF198" s="616"/>
      <c r="AG198" s="615">
        <f t="shared" si="114"/>
        <v>58.91</v>
      </c>
      <c r="AH198" s="615">
        <f t="shared" si="115"/>
        <v>50.14</v>
      </c>
      <c r="AI198" s="616">
        <f t="shared" si="116"/>
        <v>37.73</v>
      </c>
      <c r="AJ198" s="616">
        <f t="shared" si="117"/>
        <v>0.04</v>
      </c>
      <c r="AK198" s="616">
        <f t="shared" si="118"/>
        <v>12.37</v>
      </c>
      <c r="AL198" s="616">
        <f t="shared" si="119"/>
        <v>0</v>
      </c>
      <c r="AM198" s="616">
        <f t="shared" si="120"/>
        <v>0</v>
      </c>
      <c r="AN198" s="616">
        <f t="shared" si="121"/>
        <v>0</v>
      </c>
      <c r="AO198" s="615">
        <f t="shared" si="122"/>
        <v>8.77</v>
      </c>
      <c r="AP198" s="616">
        <f t="shared" si="123"/>
        <v>8.37</v>
      </c>
      <c r="AQ198" s="616">
        <f t="shared" si="124"/>
        <v>0</v>
      </c>
      <c r="AR198" s="616">
        <f t="shared" si="125"/>
        <v>0</v>
      </c>
      <c r="AS198" s="616">
        <f t="shared" si="126"/>
        <v>0.4</v>
      </c>
      <c r="AT198" s="637">
        <f t="shared" si="127"/>
        <v>0</v>
      </c>
      <c r="AU198" s="638">
        <f t="shared" si="150"/>
        <v>22.19608</v>
      </c>
      <c r="AV198" s="616">
        <f t="shared" si="151"/>
        <v>8.2976</v>
      </c>
      <c r="AW198" s="616">
        <f t="shared" si="152"/>
        <v>4.1488</v>
      </c>
      <c r="AX198" s="616">
        <f t="shared" si="153"/>
        <v>3.1116</v>
      </c>
      <c r="AY198" s="616">
        <f t="shared" si="154"/>
        <v>0.10372</v>
      </c>
      <c r="AZ198" s="616">
        <f t="shared" si="155"/>
        <v>0.31116</v>
      </c>
      <c r="BA198" s="616">
        <f t="shared" si="156"/>
        <v>6.2232</v>
      </c>
      <c r="BB198" s="616"/>
      <c r="BC198" s="615">
        <f t="shared" si="128"/>
        <v>2.8462</v>
      </c>
      <c r="BD198" s="616">
        <f t="shared" si="129"/>
        <v>1.064</v>
      </c>
      <c r="BE198" s="616">
        <f t="shared" si="130"/>
        <v>0.532</v>
      </c>
      <c r="BF198" s="616">
        <f t="shared" si="131"/>
        <v>0.399</v>
      </c>
      <c r="BG198" s="616">
        <f t="shared" si="132"/>
        <v>0.0133</v>
      </c>
      <c r="BH198" s="616">
        <f t="shared" si="133"/>
        <v>0.0399</v>
      </c>
      <c r="BI198" s="616">
        <f t="shared" si="134"/>
        <v>0.798</v>
      </c>
      <c r="BJ198" s="616"/>
      <c r="BK198" s="615">
        <f t="shared" si="135"/>
        <v>25.04228</v>
      </c>
      <c r="BL198" s="616">
        <f t="shared" si="136"/>
        <v>9.3616</v>
      </c>
      <c r="BM198" s="616">
        <f t="shared" si="137"/>
        <v>4.6808</v>
      </c>
      <c r="BN198" s="616">
        <f t="shared" si="138"/>
        <v>3.5106</v>
      </c>
      <c r="BO198" s="616">
        <f t="shared" si="139"/>
        <v>0.11702</v>
      </c>
      <c r="BP198" s="616">
        <f t="shared" si="140"/>
        <v>0.35106</v>
      </c>
      <c r="BQ198" s="616">
        <f t="shared" si="141"/>
        <v>7.0212</v>
      </c>
      <c r="BR198" s="616">
        <f t="shared" si="142"/>
        <v>0</v>
      </c>
      <c r="BS198" s="304" t="s">
        <v>709</v>
      </c>
    </row>
    <row r="199" s="132" customFormat="1" ht="24" spans="1:71">
      <c r="A199" s="497" t="s">
        <v>202</v>
      </c>
      <c r="B199" s="497" t="s">
        <v>400</v>
      </c>
      <c r="C199" s="497" t="s">
        <v>463</v>
      </c>
      <c r="D199" s="497" t="s">
        <v>441</v>
      </c>
      <c r="E199" s="615">
        <f t="shared" si="147"/>
        <v>52.6363</v>
      </c>
      <c r="F199" s="615">
        <f t="shared" si="148"/>
        <v>45.3384</v>
      </c>
      <c r="G199" s="616">
        <v>33.1344</v>
      </c>
      <c r="H199" s="616">
        <v>0.0408</v>
      </c>
      <c r="I199" s="616">
        <v>12.1632</v>
      </c>
      <c r="J199" s="616"/>
      <c r="K199" s="616"/>
      <c r="L199" s="616"/>
      <c r="M199" s="615">
        <f t="shared" si="149"/>
        <v>7.2979</v>
      </c>
      <c r="N199" s="616">
        <v>7.2979</v>
      </c>
      <c r="O199" s="616"/>
      <c r="P199" s="616"/>
      <c r="Q199" s="616"/>
      <c r="R199" s="616"/>
      <c r="S199" s="615">
        <f t="shared" si="111"/>
        <v>-6.16</v>
      </c>
      <c r="T199" s="615">
        <f t="shared" si="112"/>
        <v>-5.55</v>
      </c>
      <c r="U199" s="616">
        <v>-5.55</v>
      </c>
      <c r="V199" s="616"/>
      <c r="W199" s="616"/>
      <c r="X199" s="616"/>
      <c r="Y199" s="616"/>
      <c r="Z199" s="616"/>
      <c r="AA199" s="615">
        <f t="shared" si="113"/>
        <v>-0.61</v>
      </c>
      <c r="AB199" s="616">
        <v>-0.87</v>
      </c>
      <c r="AC199" s="616"/>
      <c r="AD199" s="616"/>
      <c r="AE199" s="616">
        <v>0.26</v>
      </c>
      <c r="AF199" s="616"/>
      <c r="AG199" s="615">
        <f t="shared" si="114"/>
        <v>46.4763</v>
      </c>
      <c r="AH199" s="615">
        <f t="shared" si="115"/>
        <v>39.7884</v>
      </c>
      <c r="AI199" s="616">
        <f t="shared" si="116"/>
        <v>27.5844</v>
      </c>
      <c r="AJ199" s="616">
        <f t="shared" si="117"/>
        <v>0.0408</v>
      </c>
      <c r="AK199" s="616">
        <f t="shared" si="118"/>
        <v>12.1632</v>
      </c>
      <c r="AL199" s="616">
        <f t="shared" si="119"/>
        <v>0</v>
      </c>
      <c r="AM199" s="616">
        <f t="shared" si="120"/>
        <v>0</v>
      </c>
      <c r="AN199" s="616">
        <f t="shared" si="121"/>
        <v>0</v>
      </c>
      <c r="AO199" s="615">
        <f t="shared" si="122"/>
        <v>6.6879</v>
      </c>
      <c r="AP199" s="616">
        <f t="shared" si="123"/>
        <v>6.4279</v>
      </c>
      <c r="AQ199" s="616">
        <f t="shared" si="124"/>
        <v>0</v>
      </c>
      <c r="AR199" s="616">
        <f t="shared" si="125"/>
        <v>0</v>
      </c>
      <c r="AS199" s="616">
        <f t="shared" si="126"/>
        <v>0.26</v>
      </c>
      <c r="AT199" s="637">
        <f t="shared" si="127"/>
        <v>0</v>
      </c>
      <c r="AU199" s="638">
        <f t="shared" si="150"/>
        <v>22.5283364</v>
      </c>
      <c r="AV199" s="616">
        <f t="shared" si="151"/>
        <v>8.421808</v>
      </c>
      <c r="AW199" s="616">
        <f t="shared" si="152"/>
        <v>4.210904</v>
      </c>
      <c r="AX199" s="616">
        <f t="shared" si="153"/>
        <v>3.158178</v>
      </c>
      <c r="AY199" s="616">
        <f t="shared" si="154"/>
        <v>0.1052726</v>
      </c>
      <c r="AZ199" s="616">
        <f t="shared" si="155"/>
        <v>0.3158178</v>
      </c>
      <c r="BA199" s="616">
        <f t="shared" si="156"/>
        <v>6.316356</v>
      </c>
      <c r="BB199" s="616"/>
      <c r="BC199" s="615">
        <f t="shared" si="128"/>
        <v>-2.74776</v>
      </c>
      <c r="BD199" s="616">
        <f t="shared" si="129"/>
        <v>-1.0272</v>
      </c>
      <c r="BE199" s="616">
        <f t="shared" si="130"/>
        <v>-0.5136</v>
      </c>
      <c r="BF199" s="616">
        <f t="shared" si="131"/>
        <v>-0.3852</v>
      </c>
      <c r="BG199" s="616">
        <f t="shared" si="132"/>
        <v>-0.01284</v>
      </c>
      <c r="BH199" s="616">
        <f t="shared" si="133"/>
        <v>-0.03852</v>
      </c>
      <c r="BI199" s="616">
        <f t="shared" si="134"/>
        <v>-0.7704</v>
      </c>
      <c r="BJ199" s="616"/>
      <c r="BK199" s="615">
        <f t="shared" si="135"/>
        <v>19.7805764</v>
      </c>
      <c r="BL199" s="616">
        <f t="shared" si="136"/>
        <v>7.394608</v>
      </c>
      <c r="BM199" s="616">
        <f t="shared" si="137"/>
        <v>3.697304</v>
      </c>
      <c r="BN199" s="616">
        <f t="shared" si="138"/>
        <v>2.772978</v>
      </c>
      <c r="BO199" s="616">
        <f t="shared" si="139"/>
        <v>0.0924326</v>
      </c>
      <c r="BP199" s="616">
        <f t="shared" si="140"/>
        <v>0.2772978</v>
      </c>
      <c r="BQ199" s="616">
        <f t="shared" si="141"/>
        <v>5.545956</v>
      </c>
      <c r="BR199" s="616">
        <f t="shared" si="142"/>
        <v>0</v>
      </c>
      <c r="BS199" s="304" t="s">
        <v>710</v>
      </c>
    </row>
    <row r="200" s="132" customFormat="1" ht="24" spans="1:71">
      <c r="A200" s="497" t="s">
        <v>202</v>
      </c>
      <c r="B200" s="497" t="s">
        <v>404</v>
      </c>
      <c r="C200" s="497" t="s">
        <v>464</v>
      </c>
      <c r="D200" s="497" t="s">
        <v>406</v>
      </c>
      <c r="E200" s="615">
        <f t="shared" si="147"/>
        <v>151.81</v>
      </c>
      <c r="F200" s="615">
        <f t="shared" si="148"/>
        <v>132.41</v>
      </c>
      <c r="G200" s="616">
        <v>99.93</v>
      </c>
      <c r="H200" s="616">
        <v>0.15</v>
      </c>
      <c r="I200" s="616">
        <v>32.33</v>
      </c>
      <c r="J200" s="616"/>
      <c r="K200" s="616"/>
      <c r="L200" s="616"/>
      <c r="M200" s="615">
        <f t="shared" si="149"/>
        <v>19.4</v>
      </c>
      <c r="N200" s="616">
        <v>19.4</v>
      </c>
      <c r="O200" s="616"/>
      <c r="P200" s="616"/>
      <c r="Q200" s="616"/>
      <c r="R200" s="616"/>
      <c r="S200" s="615">
        <f t="shared" si="111"/>
        <v>27.49</v>
      </c>
      <c r="T200" s="615">
        <f t="shared" si="112"/>
        <v>20.14</v>
      </c>
      <c r="U200" s="616">
        <v>20.14</v>
      </c>
      <c r="V200" s="616"/>
      <c r="W200" s="616"/>
      <c r="X200" s="616"/>
      <c r="Y200" s="616"/>
      <c r="Z200" s="616"/>
      <c r="AA200" s="615">
        <f t="shared" si="113"/>
        <v>7.35</v>
      </c>
      <c r="AB200" s="616">
        <v>2.65</v>
      </c>
      <c r="AC200" s="616"/>
      <c r="AD200" s="616"/>
      <c r="AE200" s="650">
        <f>1.7+3</f>
        <v>4.7</v>
      </c>
      <c r="AF200" s="616"/>
      <c r="AG200" s="615">
        <f t="shared" si="114"/>
        <v>179.3</v>
      </c>
      <c r="AH200" s="615">
        <f t="shared" si="115"/>
        <v>152.55</v>
      </c>
      <c r="AI200" s="616">
        <f t="shared" si="116"/>
        <v>120.07</v>
      </c>
      <c r="AJ200" s="616">
        <f t="shared" si="117"/>
        <v>0.15</v>
      </c>
      <c r="AK200" s="616">
        <f t="shared" si="118"/>
        <v>32.33</v>
      </c>
      <c r="AL200" s="616">
        <f t="shared" si="119"/>
        <v>0</v>
      </c>
      <c r="AM200" s="616">
        <f t="shared" si="120"/>
        <v>0</v>
      </c>
      <c r="AN200" s="616">
        <f t="shared" si="121"/>
        <v>0</v>
      </c>
      <c r="AO200" s="615">
        <f t="shared" si="122"/>
        <v>26.75</v>
      </c>
      <c r="AP200" s="616">
        <f t="shared" si="123"/>
        <v>22.05</v>
      </c>
      <c r="AQ200" s="616">
        <f t="shared" si="124"/>
        <v>0</v>
      </c>
      <c r="AR200" s="616">
        <f t="shared" si="125"/>
        <v>0</v>
      </c>
      <c r="AS200" s="616">
        <f t="shared" si="126"/>
        <v>4.7</v>
      </c>
      <c r="AT200" s="637">
        <f t="shared" si="127"/>
        <v>0</v>
      </c>
      <c r="AU200" s="638">
        <f t="shared" si="150"/>
        <v>64.97468</v>
      </c>
      <c r="AV200" s="616">
        <f t="shared" si="151"/>
        <v>24.2896</v>
      </c>
      <c r="AW200" s="616">
        <f t="shared" si="152"/>
        <v>12.1448</v>
      </c>
      <c r="AX200" s="616">
        <f t="shared" si="153"/>
        <v>9.1086</v>
      </c>
      <c r="AY200" s="616">
        <f t="shared" si="154"/>
        <v>0.30362</v>
      </c>
      <c r="AZ200" s="616">
        <f t="shared" si="155"/>
        <v>0.91086</v>
      </c>
      <c r="BA200" s="616">
        <f t="shared" si="156"/>
        <v>18.2172</v>
      </c>
      <c r="BB200" s="616"/>
      <c r="BC200" s="615">
        <f t="shared" si="128"/>
        <v>9.75412</v>
      </c>
      <c r="BD200" s="616">
        <f t="shared" si="129"/>
        <v>3.6464</v>
      </c>
      <c r="BE200" s="616">
        <f t="shared" si="130"/>
        <v>1.8232</v>
      </c>
      <c r="BF200" s="616">
        <f t="shared" si="131"/>
        <v>1.3674</v>
      </c>
      <c r="BG200" s="616">
        <f t="shared" si="132"/>
        <v>0.04558</v>
      </c>
      <c r="BH200" s="616">
        <f t="shared" si="133"/>
        <v>0.13674</v>
      </c>
      <c r="BI200" s="616">
        <f t="shared" si="134"/>
        <v>2.7348</v>
      </c>
      <c r="BJ200" s="616"/>
      <c r="BK200" s="615">
        <f t="shared" si="135"/>
        <v>74.7288</v>
      </c>
      <c r="BL200" s="616">
        <f t="shared" si="136"/>
        <v>27.936</v>
      </c>
      <c r="BM200" s="616">
        <f t="shared" si="137"/>
        <v>13.968</v>
      </c>
      <c r="BN200" s="616">
        <f t="shared" si="138"/>
        <v>10.476</v>
      </c>
      <c r="BO200" s="616">
        <f t="shared" si="139"/>
        <v>0.3492</v>
      </c>
      <c r="BP200" s="616">
        <f t="shared" si="140"/>
        <v>1.0476</v>
      </c>
      <c r="BQ200" s="616">
        <f t="shared" si="141"/>
        <v>20.952</v>
      </c>
      <c r="BR200" s="616">
        <f t="shared" si="142"/>
        <v>0</v>
      </c>
      <c r="BS200" s="304" t="s">
        <v>711</v>
      </c>
    </row>
    <row r="201" s="132" customFormat="1" ht="24" spans="1:71">
      <c r="A201" s="497" t="s">
        <v>202</v>
      </c>
      <c r="B201" s="497" t="s">
        <v>400</v>
      </c>
      <c r="C201" s="497" t="s">
        <v>465</v>
      </c>
      <c r="D201" s="497" t="s">
        <v>441</v>
      </c>
      <c r="E201" s="615">
        <f t="shared" si="147"/>
        <v>54.56</v>
      </c>
      <c r="F201" s="615">
        <f t="shared" si="148"/>
        <v>47.26</v>
      </c>
      <c r="G201" s="616">
        <v>35.03</v>
      </c>
      <c r="H201" s="616">
        <v>0.06</v>
      </c>
      <c r="I201" s="616">
        <v>12.17</v>
      </c>
      <c r="J201" s="616"/>
      <c r="K201" s="616"/>
      <c r="L201" s="616"/>
      <c r="M201" s="615">
        <f t="shared" si="149"/>
        <v>7.3</v>
      </c>
      <c r="N201" s="616">
        <v>7.3</v>
      </c>
      <c r="O201" s="616"/>
      <c r="P201" s="616"/>
      <c r="Q201" s="616"/>
      <c r="R201" s="616"/>
      <c r="S201" s="615">
        <f t="shared" si="111"/>
        <v>49.94</v>
      </c>
      <c r="T201" s="615">
        <f t="shared" si="112"/>
        <v>41.97</v>
      </c>
      <c r="U201" s="616">
        <v>41.97</v>
      </c>
      <c r="V201" s="616"/>
      <c r="W201" s="616"/>
      <c r="X201" s="616"/>
      <c r="Y201" s="616"/>
      <c r="Z201" s="616"/>
      <c r="AA201" s="615">
        <f t="shared" si="113"/>
        <v>7.97</v>
      </c>
      <c r="AB201" s="616">
        <v>6.83</v>
      </c>
      <c r="AC201" s="616"/>
      <c r="AD201" s="616"/>
      <c r="AE201" s="616">
        <v>1.14</v>
      </c>
      <c r="AF201" s="616"/>
      <c r="AG201" s="615">
        <f t="shared" si="114"/>
        <v>104.5</v>
      </c>
      <c r="AH201" s="615">
        <f t="shared" si="115"/>
        <v>89.23</v>
      </c>
      <c r="AI201" s="616">
        <f t="shared" si="116"/>
        <v>77</v>
      </c>
      <c r="AJ201" s="616">
        <f t="shared" si="117"/>
        <v>0.06</v>
      </c>
      <c r="AK201" s="616">
        <f t="shared" si="118"/>
        <v>12.17</v>
      </c>
      <c r="AL201" s="616">
        <f t="shared" si="119"/>
        <v>0</v>
      </c>
      <c r="AM201" s="616">
        <f t="shared" si="120"/>
        <v>0</v>
      </c>
      <c r="AN201" s="616">
        <f t="shared" si="121"/>
        <v>0</v>
      </c>
      <c r="AO201" s="615">
        <f t="shared" si="122"/>
        <v>15.27</v>
      </c>
      <c r="AP201" s="616">
        <f t="shared" si="123"/>
        <v>14.13</v>
      </c>
      <c r="AQ201" s="616">
        <f t="shared" si="124"/>
        <v>0</v>
      </c>
      <c r="AR201" s="616">
        <f t="shared" si="125"/>
        <v>0</v>
      </c>
      <c r="AS201" s="616">
        <f t="shared" si="126"/>
        <v>1.14</v>
      </c>
      <c r="AT201" s="637">
        <f t="shared" si="127"/>
        <v>0</v>
      </c>
      <c r="AU201" s="638">
        <f t="shared" si="150"/>
        <v>23.35168</v>
      </c>
      <c r="AV201" s="616">
        <f t="shared" si="151"/>
        <v>8.7296</v>
      </c>
      <c r="AW201" s="616">
        <f t="shared" si="152"/>
        <v>4.3648</v>
      </c>
      <c r="AX201" s="616">
        <f t="shared" si="153"/>
        <v>3.2736</v>
      </c>
      <c r="AY201" s="616">
        <f t="shared" si="154"/>
        <v>0.10912</v>
      </c>
      <c r="AZ201" s="616">
        <f t="shared" si="155"/>
        <v>0.32736</v>
      </c>
      <c r="BA201" s="616">
        <f t="shared" si="156"/>
        <v>6.5472</v>
      </c>
      <c r="BB201" s="616"/>
      <c r="BC201" s="615">
        <f t="shared" si="128"/>
        <v>20.8864</v>
      </c>
      <c r="BD201" s="616">
        <f t="shared" si="129"/>
        <v>7.808</v>
      </c>
      <c r="BE201" s="616">
        <f t="shared" si="130"/>
        <v>3.904</v>
      </c>
      <c r="BF201" s="616">
        <f t="shared" si="131"/>
        <v>2.928</v>
      </c>
      <c r="BG201" s="616">
        <f t="shared" si="132"/>
        <v>0.0976</v>
      </c>
      <c r="BH201" s="616">
        <f t="shared" si="133"/>
        <v>0.2928</v>
      </c>
      <c r="BI201" s="616">
        <f t="shared" si="134"/>
        <v>5.856</v>
      </c>
      <c r="BJ201" s="616"/>
      <c r="BK201" s="615">
        <f t="shared" si="135"/>
        <v>44.23808</v>
      </c>
      <c r="BL201" s="616">
        <f t="shared" si="136"/>
        <v>16.5376</v>
      </c>
      <c r="BM201" s="616">
        <f t="shared" si="137"/>
        <v>8.2688</v>
      </c>
      <c r="BN201" s="616">
        <f t="shared" si="138"/>
        <v>6.2016</v>
      </c>
      <c r="BO201" s="616">
        <f t="shared" si="139"/>
        <v>0.20672</v>
      </c>
      <c r="BP201" s="616">
        <f t="shared" si="140"/>
        <v>0.62016</v>
      </c>
      <c r="BQ201" s="616">
        <f t="shared" si="141"/>
        <v>12.4032</v>
      </c>
      <c r="BR201" s="616">
        <f t="shared" si="142"/>
        <v>0</v>
      </c>
      <c r="BS201" s="304" t="s">
        <v>712</v>
      </c>
    </row>
    <row r="202" s="132" customFormat="1" ht="24" spans="1:71">
      <c r="A202" s="497" t="s">
        <v>202</v>
      </c>
      <c r="B202" s="497" t="s">
        <v>400</v>
      </c>
      <c r="C202" s="497" t="s">
        <v>466</v>
      </c>
      <c r="D202" s="497" t="s">
        <v>441</v>
      </c>
      <c r="E202" s="615">
        <f t="shared" si="147"/>
        <v>164.86</v>
      </c>
      <c r="F202" s="615">
        <f t="shared" si="148"/>
        <v>144.73</v>
      </c>
      <c r="G202" s="616">
        <v>105.7</v>
      </c>
      <c r="H202" s="616">
        <v>0.21</v>
      </c>
      <c r="I202" s="616">
        <v>33.54</v>
      </c>
      <c r="J202" s="616">
        <v>5.28</v>
      </c>
      <c r="K202" s="616"/>
      <c r="L202" s="616"/>
      <c r="M202" s="615">
        <f t="shared" si="149"/>
        <v>20.13</v>
      </c>
      <c r="N202" s="616">
        <v>20.13</v>
      </c>
      <c r="O202" s="616"/>
      <c r="P202" s="616"/>
      <c r="Q202" s="616"/>
      <c r="R202" s="616"/>
      <c r="S202" s="615">
        <f t="shared" si="111"/>
        <v>22.54</v>
      </c>
      <c r="T202" s="615">
        <f t="shared" si="112"/>
        <v>18.41</v>
      </c>
      <c r="U202" s="616">
        <v>19.53</v>
      </c>
      <c r="V202" s="616"/>
      <c r="W202" s="616"/>
      <c r="X202" s="616">
        <v>-1.12</v>
      </c>
      <c r="Y202" s="616"/>
      <c r="Z202" s="616"/>
      <c r="AA202" s="615">
        <f t="shared" si="113"/>
        <v>4.13</v>
      </c>
      <c r="AB202" s="616">
        <v>3.06</v>
      </c>
      <c r="AC202" s="616"/>
      <c r="AD202" s="616"/>
      <c r="AE202" s="616">
        <v>1.07</v>
      </c>
      <c r="AF202" s="616"/>
      <c r="AG202" s="615">
        <f t="shared" si="114"/>
        <v>187.4</v>
      </c>
      <c r="AH202" s="615">
        <f t="shared" si="115"/>
        <v>163.14</v>
      </c>
      <c r="AI202" s="616">
        <f t="shared" si="116"/>
        <v>125.23</v>
      </c>
      <c r="AJ202" s="616">
        <f t="shared" si="117"/>
        <v>0.21</v>
      </c>
      <c r="AK202" s="616">
        <f t="shared" si="118"/>
        <v>33.54</v>
      </c>
      <c r="AL202" s="616">
        <f t="shared" si="119"/>
        <v>4.16</v>
      </c>
      <c r="AM202" s="616">
        <f t="shared" si="120"/>
        <v>0</v>
      </c>
      <c r="AN202" s="616">
        <f t="shared" si="121"/>
        <v>0</v>
      </c>
      <c r="AO202" s="615">
        <f t="shared" si="122"/>
        <v>24.26</v>
      </c>
      <c r="AP202" s="616">
        <f t="shared" si="123"/>
        <v>23.19</v>
      </c>
      <c r="AQ202" s="616">
        <f t="shared" si="124"/>
        <v>0</v>
      </c>
      <c r="AR202" s="616">
        <f t="shared" si="125"/>
        <v>0</v>
      </c>
      <c r="AS202" s="616">
        <f t="shared" si="126"/>
        <v>1.07</v>
      </c>
      <c r="AT202" s="637">
        <f t="shared" si="127"/>
        <v>0</v>
      </c>
      <c r="AU202" s="638">
        <f t="shared" si="150"/>
        <v>68.30024</v>
      </c>
      <c r="AV202" s="616">
        <f t="shared" si="151"/>
        <v>25.5328</v>
      </c>
      <c r="AW202" s="616">
        <f t="shared" si="152"/>
        <v>12.7664</v>
      </c>
      <c r="AX202" s="616">
        <f t="shared" si="153"/>
        <v>9.5748</v>
      </c>
      <c r="AY202" s="616">
        <f t="shared" si="154"/>
        <v>0.31916</v>
      </c>
      <c r="AZ202" s="616">
        <f t="shared" si="155"/>
        <v>0.95748</v>
      </c>
      <c r="BA202" s="616">
        <f t="shared" si="156"/>
        <v>19.1496</v>
      </c>
      <c r="BB202" s="616"/>
      <c r="BC202" s="615">
        <f t="shared" si="128"/>
        <v>9.66852</v>
      </c>
      <c r="BD202" s="616">
        <f t="shared" si="129"/>
        <v>3.6144</v>
      </c>
      <c r="BE202" s="616">
        <f t="shared" si="130"/>
        <v>1.8072</v>
      </c>
      <c r="BF202" s="616">
        <f t="shared" si="131"/>
        <v>1.3554</v>
      </c>
      <c r="BG202" s="616">
        <f t="shared" si="132"/>
        <v>0.04518</v>
      </c>
      <c r="BH202" s="616">
        <f t="shared" si="133"/>
        <v>0.13554</v>
      </c>
      <c r="BI202" s="616">
        <f t="shared" si="134"/>
        <v>2.7108</v>
      </c>
      <c r="BJ202" s="616"/>
      <c r="BK202" s="615">
        <f t="shared" si="135"/>
        <v>77.96876</v>
      </c>
      <c r="BL202" s="616">
        <f t="shared" si="136"/>
        <v>29.1472</v>
      </c>
      <c r="BM202" s="616">
        <f t="shared" si="137"/>
        <v>14.5736</v>
      </c>
      <c r="BN202" s="616">
        <f t="shared" si="138"/>
        <v>10.9302</v>
      </c>
      <c r="BO202" s="616">
        <f t="shared" si="139"/>
        <v>0.36434</v>
      </c>
      <c r="BP202" s="616">
        <f t="shared" si="140"/>
        <v>1.09302</v>
      </c>
      <c r="BQ202" s="616">
        <f t="shared" si="141"/>
        <v>21.8604</v>
      </c>
      <c r="BR202" s="616">
        <f t="shared" si="142"/>
        <v>0</v>
      </c>
      <c r="BS202" s="304" t="s">
        <v>713</v>
      </c>
    </row>
    <row r="203" s="132" customFormat="1" ht="36" spans="1:71">
      <c r="A203" s="497" t="s">
        <v>202</v>
      </c>
      <c r="B203" s="497" t="s">
        <v>206</v>
      </c>
      <c r="C203" s="497" t="s">
        <v>467</v>
      </c>
      <c r="D203" s="497" t="s">
        <v>468</v>
      </c>
      <c r="E203" s="615">
        <f t="shared" si="147"/>
        <v>258.92</v>
      </c>
      <c r="F203" s="615">
        <f t="shared" si="148"/>
        <v>230.32</v>
      </c>
      <c r="G203" s="616">
        <v>182.31</v>
      </c>
      <c r="H203" s="616">
        <v>0.35</v>
      </c>
      <c r="I203" s="616">
        <v>47.66</v>
      </c>
      <c r="J203" s="616"/>
      <c r="K203" s="616"/>
      <c r="L203" s="616"/>
      <c r="M203" s="615">
        <f t="shared" si="149"/>
        <v>28.6</v>
      </c>
      <c r="N203" s="616">
        <v>28.6</v>
      </c>
      <c r="O203" s="616"/>
      <c r="P203" s="616"/>
      <c r="Q203" s="616"/>
      <c r="R203" s="616"/>
      <c r="S203" s="615">
        <f t="shared" si="111"/>
        <v>-7.31</v>
      </c>
      <c r="T203" s="615">
        <f t="shared" si="112"/>
        <v>-6.97</v>
      </c>
      <c r="U203" s="616">
        <v>-6.97</v>
      </c>
      <c r="V203" s="616"/>
      <c r="W203" s="616"/>
      <c r="X203" s="616"/>
      <c r="Y203" s="616"/>
      <c r="Z203" s="616"/>
      <c r="AA203" s="615">
        <f t="shared" si="113"/>
        <v>-0.34</v>
      </c>
      <c r="AB203" s="616">
        <v>-0.86</v>
      </c>
      <c r="AC203" s="616"/>
      <c r="AD203" s="616"/>
      <c r="AE203" s="616">
        <v>0.52</v>
      </c>
      <c r="AF203" s="616"/>
      <c r="AG203" s="615">
        <f t="shared" si="114"/>
        <v>251.61</v>
      </c>
      <c r="AH203" s="615">
        <f t="shared" si="115"/>
        <v>223.35</v>
      </c>
      <c r="AI203" s="616">
        <f t="shared" si="116"/>
        <v>175.34</v>
      </c>
      <c r="AJ203" s="616">
        <f t="shared" si="117"/>
        <v>0.35</v>
      </c>
      <c r="AK203" s="616">
        <f t="shared" si="118"/>
        <v>47.66</v>
      </c>
      <c r="AL203" s="616">
        <f t="shared" si="119"/>
        <v>0</v>
      </c>
      <c r="AM203" s="616">
        <f t="shared" si="120"/>
        <v>0</v>
      </c>
      <c r="AN203" s="616">
        <f t="shared" si="121"/>
        <v>0</v>
      </c>
      <c r="AO203" s="615">
        <f t="shared" si="122"/>
        <v>28.26</v>
      </c>
      <c r="AP203" s="616">
        <f t="shared" si="123"/>
        <v>27.74</v>
      </c>
      <c r="AQ203" s="616">
        <f t="shared" si="124"/>
        <v>0</v>
      </c>
      <c r="AR203" s="616">
        <f t="shared" si="125"/>
        <v>0</v>
      </c>
      <c r="AS203" s="616">
        <f t="shared" si="126"/>
        <v>0.52</v>
      </c>
      <c r="AT203" s="637">
        <f t="shared" si="127"/>
        <v>0</v>
      </c>
      <c r="AU203" s="638">
        <f t="shared" si="150"/>
        <v>110.81776</v>
      </c>
      <c r="AV203" s="616">
        <f t="shared" si="151"/>
        <v>41.4272</v>
      </c>
      <c r="AW203" s="616">
        <f t="shared" si="152"/>
        <v>20.7136</v>
      </c>
      <c r="AX203" s="616">
        <f t="shared" si="153"/>
        <v>15.5352</v>
      </c>
      <c r="AY203" s="616">
        <f t="shared" si="154"/>
        <v>0.51784</v>
      </c>
      <c r="AZ203" s="616">
        <f t="shared" si="155"/>
        <v>1.55352</v>
      </c>
      <c r="BA203" s="616">
        <f t="shared" si="156"/>
        <v>31.0704</v>
      </c>
      <c r="BB203" s="616"/>
      <c r="BC203" s="615">
        <f t="shared" si="128"/>
        <v>-3.35124</v>
      </c>
      <c r="BD203" s="616">
        <f t="shared" si="129"/>
        <v>-1.2528</v>
      </c>
      <c r="BE203" s="616">
        <f t="shared" si="130"/>
        <v>-0.6264</v>
      </c>
      <c r="BF203" s="616">
        <f t="shared" si="131"/>
        <v>-0.4698</v>
      </c>
      <c r="BG203" s="616">
        <f t="shared" si="132"/>
        <v>-0.01566</v>
      </c>
      <c r="BH203" s="616">
        <f t="shared" si="133"/>
        <v>-0.04698</v>
      </c>
      <c r="BI203" s="616">
        <f t="shared" si="134"/>
        <v>-0.9396</v>
      </c>
      <c r="BJ203" s="616"/>
      <c r="BK203" s="615">
        <f t="shared" si="135"/>
        <v>107.46652</v>
      </c>
      <c r="BL203" s="616">
        <f t="shared" si="136"/>
        <v>40.1744</v>
      </c>
      <c r="BM203" s="616">
        <f t="shared" si="137"/>
        <v>20.0872</v>
      </c>
      <c r="BN203" s="616">
        <f t="shared" si="138"/>
        <v>15.0654</v>
      </c>
      <c r="BO203" s="616">
        <f t="shared" si="139"/>
        <v>0.50218</v>
      </c>
      <c r="BP203" s="616">
        <f t="shared" si="140"/>
        <v>1.50654</v>
      </c>
      <c r="BQ203" s="616">
        <f t="shared" si="141"/>
        <v>30.1308</v>
      </c>
      <c r="BR203" s="616">
        <f t="shared" si="142"/>
        <v>0</v>
      </c>
      <c r="BS203" s="304" t="s">
        <v>714</v>
      </c>
    </row>
    <row r="204" s="132" customFormat="1" ht="36" spans="1:71">
      <c r="A204" s="497" t="s">
        <v>202</v>
      </c>
      <c r="B204" s="497" t="s">
        <v>206</v>
      </c>
      <c r="C204" s="497" t="s">
        <v>469</v>
      </c>
      <c r="D204" s="497" t="s">
        <v>468</v>
      </c>
      <c r="E204" s="615">
        <f t="shared" si="147"/>
        <v>217.54</v>
      </c>
      <c r="F204" s="615">
        <f t="shared" si="148"/>
        <v>193.88</v>
      </c>
      <c r="G204" s="616">
        <v>154.23</v>
      </c>
      <c r="H204" s="616">
        <v>0.22</v>
      </c>
      <c r="I204" s="616">
        <v>39.43</v>
      </c>
      <c r="J204" s="616"/>
      <c r="K204" s="616"/>
      <c r="L204" s="616"/>
      <c r="M204" s="615">
        <f t="shared" si="149"/>
        <v>23.66</v>
      </c>
      <c r="N204" s="616">
        <v>23.66</v>
      </c>
      <c r="O204" s="616"/>
      <c r="P204" s="616"/>
      <c r="Q204" s="616"/>
      <c r="R204" s="616"/>
      <c r="S204" s="615">
        <f t="shared" si="111"/>
        <v>15.13</v>
      </c>
      <c r="T204" s="615">
        <f t="shared" si="112"/>
        <v>13.27</v>
      </c>
      <c r="U204" s="616">
        <v>13.27</v>
      </c>
      <c r="V204" s="616"/>
      <c r="W204" s="616"/>
      <c r="X204" s="616"/>
      <c r="Y204" s="616"/>
      <c r="Z204" s="616"/>
      <c r="AA204" s="615">
        <f t="shared" si="113"/>
        <v>1.86</v>
      </c>
      <c r="AB204" s="616">
        <v>1.42</v>
      </c>
      <c r="AC204" s="616"/>
      <c r="AD204" s="616"/>
      <c r="AE204" s="616">
        <v>0.44</v>
      </c>
      <c r="AF204" s="616"/>
      <c r="AG204" s="615">
        <f t="shared" si="114"/>
        <v>232.67</v>
      </c>
      <c r="AH204" s="615">
        <f t="shared" si="115"/>
        <v>207.15</v>
      </c>
      <c r="AI204" s="616">
        <f t="shared" si="116"/>
        <v>167.5</v>
      </c>
      <c r="AJ204" s="616">
        <f t="shared" si="117"/>
        <v>0.22</v>
      </c>
      <c r="AK204" s="616">
        <f t="shared" si="118"/>
        <v>39.43</v>
      </c>
      <c r="AL204" s="616">
        <f t="shared" si="119"/>
        <v>0</v>
      </c>
      <c r="AM204" s="616">
        <f t="shared" si="120"/>
        <v>0</v>
      </c>
      <c r="AN204" s="616">
        <f t="shared" si="121"/>
        <v>0</v>
      </c>
      <c r="AO204" s="615">
        <f t="shared" si="122"/>
        <v>25.52</v>
      </c>
      <c r="AP204" s="616">
        <f t="shared" si="123"/>
        <v>25.08</v>
      </c>
      <c r="AQ204" s="616">
        <f t="shared" si="124"/>
        <v>0</v>
      </c>
      <c r="AR204" s="616">
        <f t="shared" si="125"/>
        <v>0</v>
      </c>
      <c r="AS204" s="616">
        <f t="shared" si="126"/>
        <v>0.44</v>
      </c>
      <c r="AT204" s="637">
        <f t="shared" si="127"/>
        <v>0</v>
      </c>
      <c r="AU204" s="638">
        <f t="shared" si="150"/>
        <v>93.10712</v>
      </c>
      <c r="AV204" s="616">
        <f t="shared" si="151"/>
        <v>34.8064</v>
      </c>
      <c r="AW204" s="616">
        <f t="shared" si="152"/>
        <v>17.4032</v>
      </c>
      <c r="AX204" s="616">
        <f t="shared" si="153"/>
        <v>13.0524</v>
      </c>
      <c r="AY204" s="616">
        <f t="shared" si="154"/>
        <v>0.43508</v>
      </c>
      <c r="AZ204" s="616">
        <f t="shared" si="155"/>
        <v>1.30524</v>
      </c>
      <c r="BA204" s="616">
        <f t="shared" si="156"/>
        <v>26.1048</v>
      </c>
      <c r="BB204" s="616"/>
      <c r="BC204" s="615">
        <f t="shared" si="128"/>
        <v>6.28732</v>
      </c>
      <c r="BD204" s="616">
        <f t="shared" si="129"/>
        <v>2.3504</v>
      </c>
      <c r="BE204" s="616">
        <f t="shared" si="130"/>
        <v>1.1752</v>
      </c>
      <c r="BF204" s="616">
        <f t="shared" si="131"/>
        <v>0.8814</v>
      </c>
      <c r="BG204" s="616">
        <f t="shared" si="132"/>
        <v>0.02938</v>
      </c>
      <c r="BH204" s="616">
        <f t="shared" si="133"/>
        <v>0.08814</v>
      </c>
      <c r="BI204" s="616">
        <f t="shared" si="134"/>
        <v>1.7628</v>
      </c>
      <c r="BJ204" s="616"/>
      <c r="BK204" s="615">
        <f t="shared" si="135"/>
        <v>99.39444</v>
      </c>
      <c r="BL204" s="616">
        <f t="shared" si="136"/>
        <v>37.1568</v>
      </c>
      <c r="BM204" s="616">
        <f t="shared" si="137"/>
        <v>18.5784</v>
      </c>
      <c r="BN204" s="616">
        <f t="shared" si="138"/>
        <v>13.9338</v>
      </c>
      <c r="BO204" s="616">
        <f t="shared" si="139"/>
        <v>0.46446</v>
      </c>
      <c r="BP204" s="616">
        <f t="shared" si="140"/>
        <v>1.39338</v>
      </c>
      <c r="BQ204" s="616">
        <f t="shared" si="141"/>
        <v>27.8676</v>
      </c>
      <c r="BR204" s="616">
        <f t="shared" si="142"/>
        <v>0</v>
      </c>
      <c r="BS204" s="304" t="s">
        <v>715</v>
      </c>
    </row>
    <row r="205" s="132" customFormat="1" ht="24" spans="1:71">
      <c r="A205" s="497" t="s">
        <v>202</v>
      </c>
      <c r="B205" s="497" t="s">
        <v>203</v>
      </c>
      <c r="C205" s="497" t="s">
        <v>470</v>
      </c>
      <c r="D205" s="497" t="s">
        <v>471</v>
      </c>
      <c r="E205" s="615">
        <f t="shared" si="147"/>
        <v>138.14</v>
      </c>
      <c r="F205" s="615">
        <f t="shared" si="148"/>
        <v>117.23</v>
      </c>
      <c r="G205" s="616">
        <v>71.63</v>
      </c>
      <c r="H205" s="616">
        <v>0.09</v>
      </c>
      <c r="I205" s="616">
        <v>23.18</v>
      </c>
      <c r="J205" s="616"/>
      <c r="K205" s="616"/>
      <c r="L205" s="616">
        <v>22.33</v>
      </c>
      <c r="M205" s="615">
        <f t="shared" si="149"/>
        <v>20.91</v>
      </c>
      <c r="N205" s="616">
        <v>13.91</v>
      </c>
      <c r="O205" s="616"/>
      <c r="P205" s="616"/>
      <c r="Q205" s="616"/>
      <c r="R205" s="616">
        <v>7</v>
      </c>
      <c r="S205" s="615">
        <f t="shared" ref="S205:S209" si="157">T205+AA205</f>
        <v>2.43</v>
      </c>
      <c r="T205" s="615">
        <f t="shared" ref="T205:T209" si="158">SUM(U205:Z205)</f>
        <v>1.92</v>
      </c>
      <c r="U205" s="616">
        <v>1.75</v>
      </c>
      <c r="V205" s="616"/>
      <c r="W205" s="616">
        <v>0.1</v>
      </c>
      <c r="X205" s="616"/>
      <c r="Y205" s="616"/>
      <c r="Z205" s="616">
        <v>0.07</v>
      </c>
      <c r="AA205" s="615">
        <f t="shared" ref="AA205:AA209" si="159">SUM(AB205:AF205)</f>
        <v>0.51</v>
      </c>
      <c r="AB205" s="616">
        <v>0.06</v>
      </c>
      <c r="AC205" s="616"/>
      <c r="AD205" s="616"/>
      <c r="AE205" s="616">
        <v>0.45</v>
      </c>
      <c r="AF205" s="616"/>
      <c r="AG205" s="615">
        <f t="shared" ref="AG205:AG209" si="160">AH205+AO205</f>
        <v>140.57</v>
      </c>
      <c r="AH205" s="615">
        <f t="shared" ref="AH205:AH209" si="161">SUM(AI205:AN205)</f>
        <v>119.15</v>
      </c>
      <c r="AI205" s="616">
        <f t="shared" ref="AI205:AN205" si="162">G205+U205</f>
        <v>73.38</v>
      </c>
      <c r="AJ205" s="616">
        <f t="shared" si="162"/>
        <v>0.09</v>
      </c>
      <c r="AK205" s="616">
        <f t="shared" si="162"/>
        <v>23.28</v>
      </c>
      <c r="AL205" s="616">
        <f t="shared" si="162"/>
        <v>0</v>
      </c>
      <c r="AM205" s="616">
        <f t="shared" si="162"/>
        <v>0</v>
      </c>
      <c r="AN205" s="616">
        <f t="shared" si="162"/>
        <v>22.4</v>
      </c>
      <c r="AO205" s="615">
        <f t="shared" ref="AO205:AO209" si="163">SUM(AP205:AT205)</f>
        <v>21.42</v>
      </c>
      <c r="AP205" s="616">
        <f t="shared" ref="AP205:AP209" si="164">N205+AB205</f>
        <v>13.97</v>
      </c>
      <c r="AQ205" s="616">
        <f t="shared" ref="AQ205:AQ209" si="165">O205+AC205</f>
        <v>0</v>
      </c>
      <c r="AR205" s="616">
        <f t="shared" ref="AR205:AR209" si="166">P205+AD205</f>
        <v>0</v>
      </c>
      <c r="AS205" s="616">
        <f t="shared" ref="AS205:AS209" si="167">Q205+AE205</f>
        <v>0.45</v>
      </c>
      <c r="AT205" s="637">
        <f t="shared" ref="AT205:AT209" si="168">R205+AF205</f>
        <v>7</v>
      </c>
      <c r="AU205" s="638">
        <f t="shared" si="150"/>
        <v>46.57068</v>
      </c>
      <c r="AV205" s="616">
        <f t="shared" si="151"/>
        <v>17.4096</v>
      </c>
      <c r="AW205" s="616">
        <f t="shared" si="152"/>
        <v>8.7048</v>
      </c>
      <c r="AX205" s="616">
        <f t="shared" si="153"/>
        <v>6.5286</v>
      </c>
      <c r="AY205" s="616">
        <f t="shared" si="154"/>
        <v>0.21762</v>
      </c>
      <c r="AZ205" s="616">
        <f t="shared" si="155"/>
        <v>0.65286</v>
      </c>
      <c r="BA205" s="616">
        <f t="shared" si="156"/>
        <v>13.0572</v>
      </c>
      <c r="BB205" s="616"/>
      <c r="BC205" s="615">
        <f t="shared" ref="BC205:BC209" si="169">SUM(BD205:BJ205)</f>
        <v>0.81748</v>
      </c>
      <c r="BD205" s="616">
        <f t="shared" ref="BD205:BD209" si="170">(U205+V205+W205+AB205)*0.16</f>
        <v>0.3056</v>
      </c>
      <c r="BE205" s="616">
        <f t="shared" ref="BE205:BE209" si="171">(U205+V205+W205+AB205)*0.08</f>
        <v>0.1528</v>
      </c>
      <c r="BF205" s="616">
        <f t="shared" ref="BF205:BF209" si="172">(U205+V205+W205+AB205)*0.06</f>
        <v>0.1146</v>
      </c>
      <c r="BG205" s="616">
        <f t="shared" ref="BG205:BG209" si="173">(U205+V205+W205+AB205)*0.002</f>
        <v>0.00382</v>
      </c>
      <c r="BH205" s="616">
        <f t="shared" ref="BH205:BH209" si="174">(U205+V205+W205+AB205)*0.006</f>
        <v>0.01146</v>
      </c>
      <c r="BI205" s="616">
        <f t="shared" ref="BI205:BI209" si="175">(U205+V205+W205+AB205)*0.12</f>
        <v>0.2292</v>
      </c>
      <c r="BJ205" s="616"/>
      <c r="BK205" s="615">
        <f t="shared" ref="BK205:BK209" si="176">SUM(BL205:BR205)</f>
        <v>47.38816</v>
      </c>
      <c r="BL205" s="616">
        <f t="shared" ref="BL205:BL209" si="177">(AI205+AJ205+AK205+AP205)*0.16</f>
        <v>17.7152</v>
      </c>
      <c r="BM205" s="616">
        <f t="shared" ref="BM205:BM209" si="178">(AI205+AJ205+AK205+AP205)*0.08</f>
        <v>8.8576</v>
      </c>
      <c r="BN205" s="616">
        <f t="shared" ref="BN205:BN209" si="179">(AI205+AJ205+AK205+AP205)*0.06</f>
        <v>6.6432</v>
      </c>
      <c r="BO205" s="616">
        <f t="shared" ref="BO205:BO209" si="180">(AI205+AJ205+AK205+AP205)*0.002</f>
        <v>0.22144</v>
      </c>
      <c r="BP205" s="616">
        <f t="shared" ref="BP205:BP209" si="181">(AI205+AJ205+AK205+AP205)*0.006</f>
        <v>0.66432</v>
      </c>
      <c r="BQ205" s="616">
        <f t="shared" ref="BQ205:BQ209" si="182">(AI205+AJ205+AK205+AP205)*0.12</f>
        <v>13.2864</v>
      </c>
      <c r="BR205" s="616">
        <f t="shared" ref="BR205:BR209" si="183">BB205+BJ205</f>
        <v>0</v>
      </c>
      <c r="BS205" s="304"/>
    </row>
    <row r="206" s="132" customFormat="1" ht="24" spans="1:71">
      <c r="A206" s="497" t="s">
        <v>202</v>
      </c>
      <c r="B206" s="497" t="s">
        <v>206</v>
      </c>
      <c r="C206" s="497" t="s">
        <v>472</v>
      </c>
      <c r="D206" s="497" t="s">
        <v>473</v>
      </c>
      <c r="E206" s="615">
        <f t="shared" si="147"/>
        <v>71.27</v>
      </c>
      <c r="F206" s="615">
        <f t="shared" si="148"/>
        <v>58.61</v>
      </c>
      <c r="G206" s="616">
        <v>31.83</v>
      </c>
      <c r="H206" s="616"/>
      <c r="I206" s="616">
        <v>12.86</v>
      </c>
      <c r="J206" s="616"/>
      <c r="K206" s="616"/>
      <c r="L206" s="616">
        <v>13.92</v>
      </c>
      <c r="M206" s="615">
        <f t="shared" si="149"/>
        <v>12.66</v>
      </c>
      <c r="N206" s="616">
        <v>7.66</v>
      </c>
      <c r="O206" s="616"/>
      <c r="P206" s="616"/>
      <c r="Q206" s="616"/>
      <c r="R206" s="616">
        <v>5</v>
      </c>
      <c r="S206" s="615">
        <f t="shared" si="157"/>
        <v>-4.48</v>
      </c>
      <c r="T206" s="615">
        <f t="shared" si="158"/>
        <v>-5.1</v>
      </c>
      <c r="U206" s="616">
        <v>-2.81</v>
      </c>
      <c r="V206" s="616"/>
      <c r="W206" s="616">
        <v>0.17</v>
      </c>
      <c r="X206" s="616"/>
      <c r="Y206" s="616"/>
      <c r="Z206" s="616">
        <v>-2.46</v>
      </c>
      <c r="AA206" s="615">
        <f t="shared" si="159"/>
        <v>0.62</v>
      </c>
      <c r="AB206" s="616">
        <v>0.11</v>
      </c>
      <c r="AC206" s="616"/>
      <c r="AD206" s="616"/>
      <c r="AE206" s="616">
        <v>0.3</v>
      </c>
      <c r="AF206" s="616">
        <v>0.21</v>
      </c>
      <c r="AG206" s="615">
        <f t="shared" si="160"/>
        <v>66.79</v>
      </c>
      <c r="AH206" s="615">
        <f t="shared" si="161"/>
        <v>53.51</v>
      </c>
      <c r="AI206" s="616">
        <f t="shared" ref="AI206:AN206" si="184">G206+U206</f>
        <v>29.02</v>
      </c>
      <c r="AJ206" s="616">
        <f t="shared" si="184"/>
        <v>0</v>
      </c>
      <c r="AK206" s="616">
        <f t="shared" si="184"/>
        <v>13.03</v>
      </c>
      <c r="AL206" s="616">
        <f t="shared" si="184"/>
        <v>0</v>
      </c>
      <c r="AM206" s="616">
        <f t="shared" si="184"/>
        <v>0</v>
      </c>
      <c r="AN206" s="616">
        <f t="shared" si="184"/>
        <v>11.46</v>
      </c>
      <c r="AO206" s="615">
        <f t="shared" si="163"/>
        <v>13.28</v>
      </c>
      <c r="AP206" s="616">
        <f t="shared" si="164"/>
        <v>7.77</v>
      </c>
      <c r="AQ206" s="616">
        <f t="shared" si="165"/>
        <v>0</v>
      </c>
      <c r="AR206" s="616">
        <f t="shared" si="166"/>
        <v>0</v>
      </c>
      <c r="AS206" s="616">
        <f t="shared" si="167"/>
        <v>0.3</v>
      </c>
      <c r="AT206" s="637">
        <f t="shared" si="168"/>
        <v>5.21</v>
      </c>
      <c r="AU206" s="638">
        <f t="shared" si="150"/>
        <v>22.4058</v>
      </c>
      <c r="AV206" s="616">
        <f t="shared" si="151"/>
        <v>8.376</v>
      </c>
      <c r="AW206" s="616">
        <f t="shared" si="152"/>
        <v>4.188</v>
      </c>
      <c r="AX206" s="616">
        <f t="shared" si="153"/>
        <v>3.141</v>
      </c>
      <c r="AY206" s="616">
        <f t="shared" si="154"/>
        <v>0.1047</v>
      </c>
      <c r="AZ206" s="616">
        <f t="shared" si="155"/>
        <v>0.3141</v>
      </c>
      <c r="BA206" s="616">
        <f t="shared" si="156"/>
        <v>6.282</v>
      </c>
      <c r="BB206" s="616"/>
      <c r="BC206" s="615">
        <f t="shared" si="169"/>
        <v>-1.08284</v>
      </c>
      <c r="BD206" s="616">
        <f t="shared" si="170"/>
        <v>-0.4048</v>
      </c>
      <c r="BE206" s="616">
        <f t="shared" si="171"/>
        <v>-0.2024</v>
      </c>
      <c r="BF206" s="616">
        <f t="shared" si="172"/>
        <v>-0.1518</v>
      </c>
      <c r="BG206" s="616">
        <f t="shared" si="173"/>
        <v>-0.00506</v>
      </c>
      <c r="BH206" s="616">
        <f t="shared" si="174"/>
        <v>-0.01518</v>
      </c>
      <c r="BI206" s="616">
        <f t="shared" si="175"/>
        <v>-0.3036</v>
      </c>
      <c r="BJ206" s="616"/>
      <c r="BK206" s="615">
        <f t="shared" si="176"/>
        <v>21.32296</v>
      </c>
      <c r="BL206" s="616">
        <f t="shared" si="177"/>
        <v>7.9712</v>
      </c>
      <c r="BM206" s="616">
        <f t="shared" si="178"/>
        <v>3.9856</v>
      </c>
      <c r="BN206" s="616">
        <f t="shared" si="179"/>
        <v>2.9892</v>
      </c>
      <c r="BO206" s="616">
        <f t="shared" si="180"/>
        <v>0.09964</v>
      </c>
      <c r="BP206" s="616">
        <f t="shared" si="181"/>
        <v>0.29892</v>
      </c>
      <c r="BQ206" s="616">
        <f t="shared" si="182"/>
        <v>5.9784</v>
      </c>
      <c r="BR206" s="616">
        <f t="shared" si="183"/>
        <v>0</v>
      </c>
      <c r="BS206" s="304"/>
    </row>
    <row r="207" s="508" customFormat="1" ht="21" customHeight="1" spans="1:72">
      <c r="A207" s="647"/>
      <c r="B207" s="647"/>
      <c r="C207" s="647" t="s">
        <v>130</v>
      </c>
      <c r="D207" s="648">
        <v>206</v>
      </c>
      <c r="E207" s="612">
        <f>SUM(E208:E211)</f>
        <v>23.19</v>
      </c>
      <c r="F207" s="612">
        <f t="shared" ref="F207:AK207" si="185">SUM(F208:F211)</f>
        <v>6.56</v>
      </c>
      <c r="G207" s="612">
        <f t="shared" si="185"/>
        <v>3.78</v>
      </c>
      <c r="H207" s="612">
        <f t="shared" si="185"/>
        <v>0</v>
      </c>
      <c r="I207" s="612">
        <f t="shared" si="185"/>
        <v>1.45</v>
      </c>
      <c r="J207" s="612">
        <f t="shared" si="185"/>
        <v>0</v>
      </c>
      <c r="K207" s="612">
        <f t="shared" si="185"/>
        <v>0</v>
      </c>
      <c r="L207" s="612">
        <f t="shared" si="185"/>
        <v>1.33</v>
      </c>
      <c r="M207" s="612">
        <f t="shared" si="185"/>
        <v>16.63</v>
      </c>
      <c r="N207" s="612">
        <f t="shared" si="185"/>
        <v>0.87</v>
      </c>
      <c r="O207" s="612">
        <f t="shared" si="185"/>
        <v>0</v>
      </c>
      <c r="P207" s="612">
        <f t="shared" si="185"/>
        <v>15.26</v>
      </c>
      <c r="Q207" s="612">
        <f t="shared" si="185"/>
        <v>0</v>
      </c>
      <c r="R207" s="612">
        <f t="shared" si="185"/>
        <v>0.5</v>
      </c>
      <c r="S207" s="612">
        <f t="shared" si="185"/>
        <v>329.84</v>
      </c>
      <c r="T207" s="612">
        <f t="shared" si="185"/>
        <v>275.94</v>
      </c>
      <c r="U207" s="612">
        <f t="shared" si="185"/>
        <v>166.47</v>
      </c>
      <c r="V207" s="612">
        <f t="shared" si="185"/>
        <v>0</v>
      </c>
      <c r="W207" s="612">
        <f t="shared" si="185"/>
        <v>55.39</v>
      </c>
      <c r="X207" s="612">
        <f t="shared" si="185"/>
        <v>0</v>
      </c>
      <c r="Y207" s="612">
        <f t="shared" si="185"/>
        <v>0</v>
      </c>
      <c r="Z207" s="612">
        <f t="shared" si="185"/>
        <v>54.08</v>
      </c>
      <c r="AA207" s="612">
        <f t="shared" si="185"/>
        <v>53.9</v>
      </c>
      <c r="AB207" s="612">
        <f t="shared" si="185"/>
        <v>33.29</v>
      </c>
      <c r="AC207" s="612">
        <f t="shared" si="185"/>
        <v>0</v>
      </c>
      <c r="AD207" s="612">
        <f t="shared" si="185"/>
        <v>0.72</v>
      </c>
      <c r="AE207" s="612">
        <f t="shared" si="185"/>
        <v>1.35</v>
      </c>
      <c r="AF207" s="612">
        <f t="shared" si="185"/>
        <v>18.54</v>
      </c>
      <c r="AG207" s="612">
        <f t="shared" si="185"/>
        <v>353.03</v>
      </c>
      <c r="AH207" s="612">
        <f t="shared" si="185"/>
        <v>282.5</v>
      </c>
      <c r="AI207" s="612">
        <f t="shared" si="185"/>
        <v>170.25</v>
      </c>
      <c r="AJ207" s="612">
        <f t="shared" si="185"/>
        <v>0</v>
      </c>
      <c r="AK207" s="612">
        <f t="shared" si="185"/>
        <v>56.84</v>
      </c>
      <c r="AL207" s="612">
        <f t="shared" ref="AL207:BR207" si="186">SUM(AL208:AL211)</f>
        <v>0</v>
      </c>
      <c r="AM207" s="612">
        <f t="shared" si="186"/>
        <v>0</v>
      </c>
      <c r="AN207" s="612">
        <f t="shared" si="186"/>
        <v>55.41</v>
      </c>
      <c r="AO207" s="612">
        <f t="shared" si="186"/>
        <v>70.53</v>
      </c>
      <c r="AP207" s="612">
        <f t="shared" si="186"/>
        <v>34.16</v>
      </c>
      <c r="AQ207" s="612">
        <f t="shared" si="186"/>
        <v>0</v>
      </c>
      <c r="AR207" s="612">
        <f t="shared" si="186"/>
        <v>15.98</v>
      </c>
      <c r="AS207" s="612">
        <f t="shared" si="186"/>
        <v>1.35</v>
      </c>
      <c r="AT207" s="635">
        <f t="shared" si="186"/>
        <v>19.04</v>
      </c>
      <c r="AU207" s="636">
        <f t="shared" si="186"/>
        <v>2.6108</v>
      </c>
      <c r="AV207" s="612">
        <f t="shared" si="186"/>
        <v>0.976</v>
      </c>
      <c r="AW207" s="612">
        <f t="shared" si="186"/>
        <v>0.488</v>
      </c>
      <c r="AX207" s="612">
        <f t="shared" si="186"/>
        <v>0.366</v>
      </c>
      <c r="AY207" s="612">
        <f t="shared" si="186"/>
        <v>0.0122</v>
      </c>
      <c r="AZ207" s="612">
        <f t="shared" si="186"/>
        <v>0.0366</v>
      </c>
      <c r="BA207" s="612">
        <f t="shared" si="186"/>
        <v>0.732</v>
      </c>
      <c r="BB207" s="612">
        <f t="shared" si="186"/>
        <v>0</v>
      </c>
      <c r="BC207" s="612">
        <f t="shared" si="186"/>
        <v>109.2042</v>
      </c>
      <c r="BD207" s="612">
        <f t="shared" si="186"/>
        <v>40.824</v>
      </c>
      <c r="BE207" s="612">
        <f t="shared" si="186"/>
        <v>20.412</v>
      </c>
      <c r="BF207" s="612">
        <f t="shared" si="186"/>
        <v>15.309</v>
      </c>
      <c r="BG207" s="612">
        <f t="shared" si="186"/>
        <v>0.5103</v>
      </c>
      <c r="BH207" s="612">
        <f t="shared" si="186"/>
        <v>1.5309</v>
      </c>
      <c r="BI207" s="612">
        <f t="shared" si="186"/>
        <v>30.618</v>
      </c>
      <c r="BJ207" s="612">
        <f t="shared" si="186"/>
        <v>0</v>
      </c>
      <c r="BK207" s="612">
        <f t="shared" si="186"/>
        <v>111.815</v>
      </c>
      <c r="BL207" s="612">
        <f t="shared" si="186"/>
        <v>41.8</v>
      </c>
      <c r="BM207" s="612">
        <f t="shared" si="186"/>
        <v>20.9</v>
      </c>
      <c r="BN207" s="612">
        <f t="shared" si="186"/>
        <v>15.675</v>
      </c>
      <c r="BO207" s="612">
        <f t="shared" si="186"/>
        <v>0.5225</v>
      </c>
      <c r="BP207" s="612">
        <f t="shared" si="186"/>
        <v>1.5675</v>
      </c>
      <c r="BQ207" s="612">
        <f t="shared" si="186"/>
        <v>31.35</v>
      </c>
      <c r="BR207" s="612">
        <f t="shared" si="186"/>
        <v>0</v>
      </c>
      <c r="BS207" s="334"/>
      <c r="BT207" s="653"/>
    </row>
    <row r="208" s="130" customFormat="1" ht="26" customHeight="1" spans="1:71">
      <c r="A208" s="497" t="s">
        <v>215</v>
      </c>
      <c r="B208" s="497" t="s">
        <v>203</v>
      </c>
      <c r="C208" s="497" t="s">
        <v>293</v>
      </c>
      <c r="D208" s="645" t="s">
        <v>474</v>
      </c>
      <c r="E208" s="615">
        <f>F208+M208</f>
        <v>0</v>
      </c>
      <c r="F208" s="615">
        <f>SUM(G208:L208)</f>
        <v>0</v>
      </c>
      <c r="G208" s="616"/>
      <c r="H208" s="616"/>
      <c r="I208" s="616"/>
      <c r="J208" s="616"/>
      <c r="K208" s="616"/>
      <c r="L208" s="616"/>
      <c r="M208" s="615">
        <f>SUM(N208:R208)</f>
        <v>0</v>
      </c>
      <c r="N208" s="616"/>
      <c r="O208" s="650"/>
      <c r="P208" s="616"/>
      <c r="Q208" s="616"/>
      <c r="R208" s="615"/>
      <c r="S208" s="615">
        <f t="shared" si="157"/>
        <v>0</v>
      </c>
      <c r="T208" s="615">
        <f t="shared" si="158"/>
        <v>0</v>
      </c>
      <c r="U208" s="616"/>
      <c r="V208" s="616"/>
      <c r="W208" s="616"/>
      <c r="X208" s="616"/>
      <c r="Y208" s="616"/>
      <c r="Z208" s="615"/>
      <c r="AA208" s="615">
        <f t="shared" si="159"/>
        <v>0</v>
      </c>
      <c r="AB208" s="618"/>
      <c r="AC208" s="618"/>
      <c r="AD208" s="618"/>
      <c r="AE208" s="615"/>
      <c r="AF208" s="615"/>
      <c r="AG208" s="615">
        <f t="shared" si="160"/>
        <v>0</v>
      </c>
      <c r="AH208" s="615">
        <f t="shared" si="161"/>
        <v>0</v>
      </c>
      <c r="AI208" s="616">
        <f t="shared" ref="AI208:AN208" si="187">G208+U208</f>
        <v>0</v>
      </c>
      <c r="AJ208" s="616">
        <f t="shared" si="187"/>
        <v>0</v>
      </c>
      <c r="AK208" s="616">
        <f t="shared" si="187"/>
        <v>0</v>
      </c>
      <c r="AL208" s="616">
        <f t="shared" si="187"/>
        <v>0</v>
      </c>
      <c r="AM208" s="616">
        <f t="shared" si="187"/>
        <v>0</v>
      </c>
      <c r="AN208" s="616">
        <f t="shared" si="187"/>
        <v>0</v>
      </c>
      <c r="AO208" s="615">
        <f t="shared" si="163"/>
        <v>0</v>
      </c>
      <c r="AP208" s="616">
        <f t="shared" si="164"/>
        <v>0</v>
      </c>
      <c r="AQ208" s="616">
        <f t="shared" si="165"/>
        <v>0</v>
      </c>
      <c r="AR208" s="616">
        <f t="shared" si="166"/>
        <v>0</v>
      </c>
      <c r="AS208" s="616">
        <f t="shared" si="167"/>
        <v>0</v>
      </c>
      <c r="AT208" s="616">
        <f t="shared" si="168"/>
        <v>0</v>
      </c>
      <c r="AU208" s="638">
        <f>SUM(AV208:BB208)</f>
        <v>0</v>
      </c>
      <c r="AV208" s="616">
        <f>(G208+H208+I208+N208)*0.16</f>
        <v>0</v>
      </c>
      <c r="AW208" s="616">
        <f>(G208+H208+I208+N208)*0.08</f>
        <v>0</v>
      </c>
      <c r="AX208" s="616">
        <f>(G208+H208+I208+N208)*0.06</f>
        <v>0</v>
      </c>
      <c r="AY208" s="616">
        <f>(G208+H208+I208+N208)*0.002</f>
        <v>0</v>
      </c>
      <c r="AZ208" s="616">
        <f>(G208+H208+I208+N208)*0.006</f>
        <v>0</v>
      </c>
      <c r="BA208" s="616">
        <f>(G208+H208+I208+N208)*0.12</f>
        <v>0</v>
      </c>
      <c r="BB208" s="616"/>
      <c r="BC208" s="615">
        <f t="shared" si="169"/>
        <v>0</v>
      </c>
      <c r="BD208" s="616">
        <f t="shared" si="170"/>
        <v>0</v>
      </c>
      <c r="BE208" s="616">
        <f t="shared" si="171"/>
        <v>0</v>
      </c>
      <c r="BF208" s="616">
        <f t="shared" si="172"/>
        <v>0</v>
      </c>
      <c r="BG208" s="616">
        <f t="shared" si="173"/>
        <v>0</v>
      </c>
      <c r="BH208" s="616">
        <f t="shared" si="174"/>
        <v>0</v>
      </c>
      <c r="BI208" s="616">
        <f t="shared" si="175"/>
        <v>0</v>
      </c>
      <c r="BJ208" s="616"/>
      <c r="BK208" s="615">
        <f t="shared" si="176"/>
        <v>0</v>
      </c>
      <c r="BL208" s="616">
        <f t="shared" si="177"/>
        <v>0</v>
      </c>
      <c r="BM208" s="616">
        <f t="shared" si="178"/>
        <v>0</v>
      </c>
      <c r="BN208" s="616">
        <f t="shared" si="179"/>
        <v>0</v>
      </c>
      <c r="BO208" s="616">
        <f t="shared" si="180"/>
        <v>0</v>
      </c>
      <c r="BP208" s="616">
        <f t="shared" si="181"/>
        <v>0</v>
      </c>
      <c r="BQ208" s="616">
        <f t="shared" si="182"/>
        <v>0</v>
      </c>
      <c r="BR208" s="616">
        <f t="shared" si="183"/>
        <v>0</v>
      </c>
      <c r="BS208" s="304"/>
    </row>
    <row r="209" s="130" customFormat="1" ht="26" customHeight="1" spans="1:71">
      <c r="A209" s="497" t="s">
        <v>215</v>
      </c>
      <c r="B209" s="497" t="s">
        <v>206</v>
      </c>
      <c r="C209" s="497" t="s">
        <v>296</v>
      </c>
      <c r="D209" s="645" t="s">
        <v>475</v>
      </c>
      <c r="E209" s="615">
        <f>F209+M209</f>
        <v>0</v>
      </c>
      <c r="F209" s="615">
        <f>SUM(G209:L209)</f>
        <v>0</v>
      </c>
      <c r="G209" s="616"/>
      <c r="H209" s="616"/>
      <c r="I209" s="616"/>
      <c r="J209" s="616"/>
      <c r="K209" s="616"/>
      <c r="L209" s="616"/>
      <c r="M209" s="615">
        <f>SUM(N209:R209)</f>
        <v>0</v>
      </c>
      <c r="N209" s="616"/>
      <c r="O209" s="616"/>
      <c r="P209" s="616"/>
      <c r="Q209" s="616"/>
      <c r="R209" s="615"/>
      <c r="S209" s="615">
        <f t="shared" si="157"/>
        <v>320.78</v>
      </c>
      <c r="T209" s="615">
        <f t="shared" si="158"/>
        <v>268.52</v>
      </c>
      <c r="U209" s="619">
        <f>165.76-3.69</f>
        <v>162.07</v>
      </c>
      <c r="V209" s="619"/>
      <c r="W209" s="619">
        <f>55.94-2.01</f>
        <v>53.93</v>
      </c>
      <c r="X209" s="618"/>
      <c r="Y209" s="618"/>
      <c r="Z209" s="618">
        <f>54.47-1.95</f>
        <v>52.52</v>
      </c>
      <c r="AA209" s="615">
        <f t="shared" si="159"/>
        <v>52.26</v>
      </c>
      <c r="AB209" s="618">
        <f>33.57-1.16</f>
        <v>32.41</v>
      </c>
      <c r="AC209" s="618"/>
      <c r="AD209" s="618"/>
      <c r="AE209" s="616">
        <f>1.35</f>
        <v>1.35</v>
      </c>
      <c r="AF209" s="618">
        <v>18.5</v>
      </c>
      <c r="AG209" s="615">
        <f t="shared" si="160"/>
        <v>320.78</v>
      </c>
      <c r="AH209" s="615">
        <f t="shared" si="161"/>
        <v>268.52</v>
      </c>
      <c r="AI209" s="616">
        <f t="shared" ref="AI209:AN209" si="188">G209+U209</f>
        <v>162.07</v>
      </c>
      <c r="AJ209" s="616">
        <f t="shared" si="188"/>
        <v>0</v>
      </c>
      <c r="AK209" s="616">
        <f t="shared" si="188"/>
        <v>53.93</v>
      </c>
      <c r="AL209" s="616">
        <f t="shared" si="188"/>
        <v>0</v>
      </c>
      <c r="AM209" s="616">
        <f t="shared" si="188"/>
        <v>0</v>
      </c>
      <c r="AN209" s="616">
        <f t="shared" si="188"/>
        <v>52.52</v>
      </c>
      <c r="AO209" s="615">
        <f t="shared" si="163"/>
        <v>52.26</v>
      </c>
      <c r="AP209" s="616">
        <f t="shared" si="164"/>
        <v>32.41</v>
      </c>
      <c r="AQ209" s="616">
        <f t="shared" si="165"/>
        <v>0</v>
      </c>
      <c r="AR209" s="616">
        <f t="shared" si="166"/>
        <v>0</v>
      </c>
      <c r="AS209" s="616">
        <f t="shared" si="167"/>
        <v>1.35</v>
      </c>
      <c r="AT209" s="616">
        <f t="shared" si="168"/>
        <v>18.5</v>
      </c>
      <c r="AU209" s="638">
        <f>SUM(AV209:BB209)</f>
        <v>0</v>
      </c>
      <c r="AV209" s="616">
        <f>(G209+H209+I209+N209)*0.16</f>
        <v>0</v>
      </c>
      <c r="AW209" s="616">
        <f>(G209+H209+I209+N209)*0.08</f>
        <v>0</v>
      </c>
      <c r="AX209" s="616">
        <f>(G209+H209+I209+N209)*0.06</f>
        <v>0</v>
      </c>
      <c r="AY209" s="616">
        <f>(G209+H209+I209+N209)*0.002</f>
        <v>0</v>
      </c>
      <c r="AZ209" s="616">
        <f>(G209+H209+I209+N209)*0.006</f>
        <v>0</v>
      </c>
      <c r="BA209" s="616">
        <f>(G209+H209+I209+N209)*0.12</f>
        <v>0</v>
      </c>
      <c r="BB209" s="616"/>
      <c r="BC209" s="615">
        <f t="shared" si="169"/>
        <v>106.31948</v>
      </c>
      <c r="BD209" s="616">
        <f t="shared" si="170"/>
        <v>39.7456</v>
      </c>
      <c r="BE209" s="616">
        <f t="shared" si="171"/>
        <v>19.8728</v>
      </c>
      <c r="BF209" s="616">
        <f t="shared" si="172"/>
        <v>14.9046</v>
      </c>
      <c r="BG209" s="616">
        <f t="shared" si="173"/>
        <v>0.49682</v>
      </c>
      <c r="BH209" s="616">
        <f t="shared" si="174"/>
        <v>1.49046</v>
      </c>
      <c r="BI209" s="616">
        <f t="shared" si="175"/>
        <v>29.8092</v>
      </c>
      <c r="BJ209" s="616"/>
      <c r="BK209" s="615">
        <f t="shared" si="176"/>
        <v>106.31948</v>
      </c>
      <c r="BL209" s="616">
        <f t="shared" si="177"/>
        <v>39.7456</v>
      </c>
      <c r="BM209" s="616">
        <f t="shared" si="178"/>
        <v>19.8728</v>
      </c>
      <c r="BN209" s="616">
        <f t="shared" si="179"/>
        <v>14.9046</v>
      </c>
      <c r="BO209" s="616">
        <f t="shared" si="180"/>
        <v>0.49682</v>
      </c>
      <c r="BP209" s="616">
        <f t="shared" si="181"/>
        <v>1.49046</v>
      </c>
      <c r="BQ209" s="616">
        <f t="shared" si="182"/>
        <v>29.8092</v>
      </c>
      <c r="BR209" s="616">
        <f t="shared" si="183"/>
        <v>0</v>
      </c>
      <c r="BS209" s="304"/>
    </row>
    <row r="210" s="132" customFormat="1" ht="24" spans="1:71">
      <c r="A210" s="497" t="s">
        <v>202</v>
      </c>
      <c r="B210" s="497" t="s">
        <v>203</v>
      </c>
      <c r="C210" s="497" t="s">
        <v>476</v>
      </c>
      <c r="D210" s="497" t="s">
        <v>477</v>
      </c>
      <c r="E210" s="615">
        <f t="shared" ref="E210:E225" si="189">F210+M210</f>
        <v>0</v>
      </c>
      <c r="F210" s="615">
        <f t="shared" ref="F210:F225" si="190">SUM(G210:L210)</f>
        <v>0</v>
      </c>
      <c r="G210" s="616"/>
      <c r="H210" s="616"/>
      <c r="I210" s="616"/>
      <c r="J210" s="616"/>
      <c r="K210" s="616"/>
      <c r="L210" s="616"/>
      <c r="M210" s="615">
        <f t="shared" ref="M210:M225" si="191">SUM(N210:R210)</f>
        <v>0</v>
      </c>
      <c r="N210" s="616"/>
      <c r="O210" s="616"/>
      <c r="P210" s="616"/>
      <c r="Q210" s="650"/>
      <c r="R210" s="616"/>
      <c r="S210" s="615">
        <f t="shared" ref="S210:S267" si="192">T210+AA210</f>
        <v>0</v>
      </c>
      <c r="T210" s="615">
        <f t="shared" ref="T210:T267" si="193">SUM(U210:Z210)</f>
        <v>0</v>
      </c>
      <c r="U210" s="616"/>
      <c r="V210" s="616"/>
      <c r="W210" s="616"/>
      <c r="X210" s="616"/>
      <c r="Y210" s="616"/>
      <c r="Z210" s="616"/>
      <c r="AA210" s="615">
        <f t="shared" ref="AA210:AA267" si="194">SUM(AB210:AF210)</f>
        <v>0</v>
      </c>
      <c r="AB210" s="616"/>
      <c r="AC210" s="616"/>
      <c r="AD210" s="616"/>
      <c r="AE210" s="616"/>
      <c r="AF210" s="616"/>
      <c r="AG210" s="615">
        <f t="shared" ref="AG210:AG267" si="195">AH210+AO210</f>
        <v>0</v>
      </c>
      <c r="AH210" s="615">
        <f t="shared" ref="AH210:AH267" si="196">SUM(AI210:AN210)</f>
        <v>0</v>
      </c>
      <c r="AI210" s="616">
        <f t="shared" ref="AI210:AI267" si="197">G210+U210</f>
        <v>0</v>
      </c>
      <c r="AJ210" s="616">
        <f t="shared" ref="AJ210:AJ267" si="198">H210+V210</f>
        <v>0</v>
      </c>
      <c r="AK210" s="616">
        <f t="shared" ref="AK210:AK267" si="199">I210+W210</f>
        <v>0</v>
      </c>
      <c r="AL210" s="616">
        <f t="shared" ref="AL210:AL267" si="200">J210+X210</f>
        <v>0</v>
      </c>
      <c r="AM210" s="616">
        <f t="shared" ref="AM210:AM267" si="201">K210+Y210</f>
        <v>0</v>
      </c>
      <c r="AN210" s="616">
        <f t="shared" ref="AN210:AN267" si="202">L210+Z210</f>
        <v>0</v>
      </c>
      <c r="AO210" s="615">
        <f t="shared" ref="AO210:AO267" si="203">SUM(AP210:AT210)</f>
        <v>0</v>
      </c>
      <c r="AP210" s="616">
        <f t="shared" ref="AP210:AP267" si="204">N210+AB210</f>
        <v>0</v>
      </c>
      <c r="AQ210" s="616">
        <f t="shared" ref="AQ210:AQ267" si="205">O210+AC210</f>
        <v>0</v>
      </c>
      <c r="AR210" s="616">
        <f t="shared" ref="AR210:AR267" si="206">P210+AD210</f>
        <v>0</v>
      </c>
      <c r="AS210" s="616">
        <f t="shared" ref="AS210:AS267" si="207">Q210+AE210</f>
        <v>0</v>
      </c>
      <c r="AT210" s="637">
        <f t="shared" ref="AT210:AT267" si="208">R210+AF210</f>
        <v>0</v>
      </c>
      <c r="AU210" s="638">
        <f t="shared" ref="AU210:AU225" si="209">SUM(AV210:BB210)</f>
        <v>0</v>
      </c>
      <c r="AV210" s="616">
        <f>(G210+H210+I210+N210)*0.16</f>
        <v>0</v>
      </c>
      <c r="AW210" s="616">
        <f>(G210+H210+I210+N210)*0.08</f>
        <v>0</v>
      </c>
      <c r="AX210" s="616">
        <f>(G210+H210+I210+N210)*0.06</f>
        <v>0</v>
      </c>
      <c r="AY210" s="616">
        <f>(G210+H210+I210+N210)*0.002</f>
        <v>0</v>
      </c>
      <c r="AZ210" s="616">
        <f>(G210+H210+I210+N210)*0.006</f>
        <v>0</v>
      </c>
      <c r="BA210" s="616">
        <f>(G210+H210+I210+N210)*0.12</f>
        <v>0</v>
      </c>
      <c r="BB210" s="616"/>
      <c r="BC210" s="615">
        <f t="shared" ref="BC210:BC267" si="210">SUM(BD210:BJ210)</f>
        <v>0</v>
      </c>
      <c r="BD210" s="616">
        <f t="shared" ref="BD210:BD267" si="211">(U210+V210+W210+AB210)*0.16</f>
        <v>0</v>
      </c>
      <c r="BE210" s="616">
        <f t="shared" ref="BE210:BE267" si="212">(U210+V210+W210+AB210)*0.08</f>
        <v>0</v>
      </c>
      <c r="BF210" s="616">
        <f t="shared" ref="BF210:BF267" si="213">(U210+V210+W210+AB210)*0.06</f>
        <v>0</v>
      </c>
      <c r="BG210" s="616">
        <f t="shared" ref="BG210:BG267" si="214">(U210+V210+W210+AB210)*0.002</f>
        <v>0</v>
      </c>
      <c r="BH210" s="616">
        <f t="shared" ref="BH210:BH267" si="215">(U210+V210+W210+AB210)*0.006</f>
        <v>0</v>
      </c>
      <c r="BI210" s="616">
        <f t="shared" ref="BI210:BI267" si="216">(U210+V210+W210+AB210)*0.12</f>
        <v>0</v>
      </c>
      <c r="BJ210" s="616"/>
      <c r="BK210" s="615">
        <f t="shared" ref="BK210:BK267" si="217">SUM(BL210:BR210)</f>
        <v>0</v>
      </c>
      <c r="BL210" s="616">
        <f t="shared" ref="BL210:BL267" si="218">(AI210+AJ210+AK210+AP210)*0.16</f>
        <v>0</v>
      </c>
      <c r="BM210" s="616">
        <f t="shared" ref="BM210:BM267" si="219">(AI210+AJ210+AK210+AP210)*0.08</f>
        <v>0</v>
      </c>
      <c r="BN210" s="616">
        <f t="shared" ref="BN210:BN267" si="220">(AI210+AJ210+AK210+AP210)*0.06</f>
        <v>0</v>
      </c>
      <c r="BO210" s="616">
        <f t="shared" ref="BO210:BO267" si="221">(AI210+AJ210+AK210+AP210)*0.002</f>
        <v>0</v>
      </c>
      <c r="BP210" s="616">
        <f t="shared" ref="BP210:BP267" si="222">(AI210+AJ210+AK210+AP210)*0.006</f>
        <v>0</v>
      </c>
      <c r="BQ210" s="616">
        <f t="shared" ref="BQ210:BQ267" si="223">(AI210+AJ210+AK210+AP210)*0.12</f>
        <v>0</v>
      </c>
      <c r="BR210" s="616">
        <f t="shared" ref="BR210:BR267" si="224">BB210+BJ210</f>
        <v>0</v>
      </c>
      <c r="BS210" s="304"/>
    </row>
    <row r="211" s="132" customFormat="1" ht="24" spans="1:71">
      <c r="A211" s="497" t="s">
        <v>202</v>
      </c>
      <c r="B211" s="497" t="s">
        <v>206</v>
      </c>
      <c r="C211" s="497" t="s">
        <v>478</v>
      </c>
      <c r="D211" s="497" t="s">
        <v>477</v>
      </c>
      <c r="E211" s="615">
        <f t="shared" si="189"/>
        <v>23.19</v>
      </c>
      <c r="F211" s="615">
        <f t="shared" si="190"/>
        <v>6.56</v>
      </c>
      <c r="G211" s="616">
        <v>3.78</v>
      </c>
      <c r="H211" s="616"/>
      <c r="I211" s="616">
        <v>1.45</v>
      </c>
      <c r="J211" s="616"/>
      <c r="K211" s="616"/>
      <c r="L211" s="616">
        <v>1.33</v>
      </c>
      <c r="M211" s="615">
        <f t="shared" si="191"/>
        <v>16.63</v>
      </c>
      <c r="N211" s="616">
        <v>0.87</v>
      </c>
      <c r="O211" s="616"/>
      <c r="P211" s="616">
        <v>15.26</v>
      </c>
      <c r="Q211" s="616"/>
      <c r="R211" s="616">
        <v>0.5</v>
      </c>
      <c r="S211" s="615">
        <f t="shared" si="192"/>
        <v>9.06</v>
      </c>
      <c r="T211" s="615">
        <f t="shared" si="193"/>
        <v>7.42</v>
      </c>
      <c r="U211" s="616">
        <v>4.4</v>
      </c>
      <c r="V211" s="616"/>
      <c r="W211" s="616">
        <v>1.46</v>
      </c>
      <c r="X211" s="616"/>
      <c r="Y211" s="616"/>
      <c r="Z211" s="616">
        <v>1.56</v>
      </c>
      <c r="AA211" s="615">
        <f t="shared" si="194"/>
        <v>1.64</v>
      </c>
      <c r="AB211" s="616">
        <v>0.88</v>
      </c>
      <c r="AC211" s="616"/>
      <c r="AD211" s="616">
        <v>0.72</v>
      </c>
      <c r="AE211" s="616"/>
      <c r="AF211" s="616">
        <v>0.04</v>
      </c>
      <c r="AG211" s="615">
        <f t="shared" si="195"/>
        <v>32.25</v>
      </c>
      <c r="AH211" s="615">
        <f t="shared" si="196"/>
        <v>13.98</v>
      </c>
      <c r="AI211" s="616">
        <f t="shared" si="197"/>
        <v>8.18</v>
      </c>
      <c r="AJ211" s="616">
        <f t="shared" si="198"/>
        <v>0</v>
      </c>
      <c r="AK211" s="616">
        <f t="shared" si="199"/>
        <v>2.91</v>
      </c>
      <c r="AL211" s="616">
        <f t="shared" si="200"/>
        <v>0</v>
      </c>
      <c r="AM211" s="616">
        <f t="shared" si="201"/>
        <v>0</v>
      </c>
      <c r="AN211" s="616">
        <f t="shared" si="202"/>
        <v>2.89</v>
      </c>
      <c r="AO211" s="615">
        <f t="shared" si="203"/>
        <v>18.27</v>
      </c>
      <c r="AP211" s="616">
        <f t="shared" si="204"/>
        <v>1.75</v>
      </c>
      <c r="AQ211" s="616">
        <f t="shared" si="205"/>
        <v>0</v>
      </c>
      <c r="AR211" s="616">
        <f t="shared" si="206"/>
        <v>15.98</v>
      </c>
      <c r="AS211" s="616">
        <f t="shared" si="207"/>
        <v>0</v>
      </c>
      <c r="AT211" s="637">
        <f t="shared" si="208"/>
        <v>0.54</v>
      </c>
      <c r="AU211" s="638">
        <f t="shared" si="209"/>
        <v>2.6108</v>
      </c>
      <c r="AV211" s="616">
        <f>(G211+H211+I211+N211)*0.16</f>
        <v>0.976</v>
      </c>
      <c r="AW211" s="616">
        <f>(G211+H211+I211+N211)*0.08</f>
        <v>0.488</v>
      </c>
      <c r="AX211" s="616">
        <f>(G211+H211+I211+N211)*0.06</f>
        <v>0.366</v>
      </c>
      <c r="AY211" s="616">
        <f>(G211+H211+I211+N211)*0.002</f>
        <v>0.0122</v>
      </c>
      <c r="AZ211" s="616">
        <f>(G211+H211+I211+N211)*0.006</f>
        <v>0.0366</v>
      </c>
      <c r="BA211" s="616">
        <f>(G211+H211+I211+N211)*0.12</f>
        <v>0.732</v>
      </c>
      <c r="BB211" s="616"/>
      <c r="BC211" s="615">
        <f t="shared" si="210"/>
        <v>2.88472</v>
      </c>
      <c r="BD211" s="616">
        <f t="shared" si="211"/>
        <v>1.0784</v>
      </c>
      <c r="BE211" s="616">
        <f t="shared" si="212"/>
        <v>0.5392</v>
      </c>
      <c r="BF211" s="616">
        <f t="shared" si="213"/>
        <v>0.4044</v>
      </c>
      <c r="BG211" s="616">
        <f t="shared" si="214"/>
        <v>0.01348</v>
      </c>
      <c r="BH211" s="616">
        <f t="shared" si="215"/>
        <v>0.04044</v>
      </c>
      <c r="BI211" s="616">
        <f t="shared" si="216"/>
        <v>0.8088</v>
      </c>
      <c r="BJ211" s="616"/>
      <c r="BK211" s="615">
        <f t="shared" si="217"/>
        <v>5.49552</v>
      </c>
      <c r="BL211" s="616">
        <f t="shared" si="218"/>
        <v>2.0544</v>
      </c>
      <c r="BM211" s="616">
        <f t="shared" si="219"/>
        <v>1.0272</v>
      </c>
      <c r="BN211" s="616">
        <f t="shared" si="220"/>
        <v>0.7704</v>
      </c>
      <c r="BO211" s="616">
        <f t="shared" si="221"/>
        <v>0.02568</v>
      </c>
      <c r="BP211" s="616">
        <f t="shared" si="222"/>
        <v>0.07704</v>
      </c>
      <c r="BQ211" s="616">
        <f t="shared" si="223"/>
        <v>1.5408</v>
      </c>
      <c r="BR211" s="616">
        <f t="shared" si="224"/>
        <v>0</v>
      </c>
      <c r="BS211" s="304"/>
    </row>
    <row r="212" s="508" customFormat="1" ht="21" customHeight="1" spans="1:72">
      <c r="A212" s="647"/>
      <c r="B212" s="647"/>
      <c r="C212" s="647" t="s">
        <v>131</v>
      </c>
      <c r="D212" s="648">
        <v>207</v>
      </c>
      <c r="E212" s="612">
        <f t="shared" ref="E212:Z212" si="225">SUM(E213:E225)</f>
        <v>1237.031168</v>
      </c>
      <c r="F212" s="612">
        <f t="shared" si="225"/>
        <v>748.2264</v>
      </c>
      <c r="G212" s="612">
        <f t="shared" si="225"/>
        <v>436.2972</v>
      </c>
      <c r="H212" s="612">
        <f t="shared" si="225"/>
        <v>0.084</v>
      </c>
      <c r="I212" s="612">
        <f t="shared" si="225"/>
        <v>154.8652</v>
      </c>
      <c r="J212" s="612">
        <f t="shared" si="225"/>
        <v>0</v>
      </c>
      <c r="K212" s="612">
        <f t="shared" si="225"/>
        <v>0</v>
      </c>
      <c r="L212" s="612">
        <f t="shared" si="225"/>
        <v>156.98</v>
      </c>
      <c r="M212" s="612">
        <f t="shared" si="225"/>
        <v>488.804768</v>
      </c>
      <c r="N212" s="612">
        <f t="shared" si="225"/>
        <v>92.92968</v>
      </c>
      <c r="O212" s="612">
        <f t="shared" si="225"/>
        <v>252.51</v>
      </c>
      <c r="P212" s="612">
        <f t="shared" si="225"/>
        <v>73.745088</v>
      </c>
      <c r="Q212" s="612">
        <f t="shared" si="225"/>
        <v>15.12</v>
      </c>
      <c r="R212" s="612">
        <f t="shared" si="225"/>
        <v>54.5</v>
      </c>
      <c r="S212" s="612">
        <f t="shared" ref="S212:AF212" si="226">SUM(S213:S225)</f>
        <v>83.278832</v>
      </c>
      <c r="T212" s="612">
        <f t="shared" si="226"/>
        <v>34.96701</v>
      </c>
      <c r="U212" s="612">
        <f t="shared" si="226"/>
        <v>21.2778</v>
      </c>
      <c r="V212" s="612">
        <f t="shared" si="226"/>
        <v>0</v>
      </c>
      <c r="W212" s="612">
        <f t="shared" si="226"/>
        <v>8.9634</v>
      </c>
      <c r="X212" s="612">
        <f t="shared" si="226"/>
        <v>0</v>
      </c>
      <c r="Y212" s="612">
        <f t="shared" si="226"/>
        <v>0</v>
      </c>
      <c r="Z212" s="612">
        <f t="shared" si="226"/>
        <v>4.72581</v>
      </c>
      <c r="AA212" s="612">
        <f t="shared" si="226"/>
        <v>48.311822</v>
      </c>
      <c r="AB212" s="612">
        <f t="shared" si="226"/>
        <v>3.9622</v>
      </c>
      <c r="AC212" s="612">
        <f t="shared" si="226"/>
        <v>13.44</v>
      </c>
      <c r="AD212" s="612">
        <f t="shared" si="226"/>
        <v>26.739622</v>
      </c>
      <c r="AE212" s="612">
        <f t="shared" si="226"/>
        <v>3.15</v>
      </c>
      <c r="AF212" s="612">
        <f t="shared" si="226"/>
        <v>1.02</v>
      </c>
      <c r="AG212" s="612">
        <f t="shared" ref="AG212:BB212" si="227">SUM(AG213:AG225)</f>
        <v>1320.31</v>
      </c>
      <c r="AH212" s="612">
        <f t="shared" si="227"/>
        <v>783.19341</v>
      </c>
      <c r="AI212" s="612">
        <f t="shared" si="227"/>
        <v>457.575</v>
      </c>
      <c r="AJ212" s="612">
        <f t="shared" si="227"/>
        <v>0.084</v>
      </c>
      <c r="AK212" s="612">
        <f t="shared" si="227"/>
        <v>163.8286</v>
      </c>
      <c r="AL212" s="612">
        <f t="shared" si="227"/>
        <v>0</v>
      </c>
      <c r="AM212" s="612">
        <f t="shared" si="227"/>
        <v>0</v>
      </c>
      <c r="AN212" s="612">
        <f t="shared" si="227"/>
        <v>161.70581</v>
      </c>
      <c r="AO212" s="612">
        <f t="shared" si="227"/>
        <v>537.11659</v>
      </c>
      <c r="AP212" s="612">
        <f t="shared" si="227"/>
        <v>96.89188</v>
      </c>
      <c r="AQ212" s="612">
        <f t="shared" si="227"/>
        <v>265.95</v>
      </c>
      <c r="AR212" s="612">
        <f t="shared" si="227"/>
        <v>100.48471</v>
      </c>
      <c r="AS212" s="612">
        <f t="shared" si="227"/>
        <v>18.27</v>
      </c>
      <c r="AT212" s="635">
        <f t="shared" si="227"/>
        <v>55.52</v>
      </c>
      <c r="AU212" s="636">
        <f t="shared" si="227"/>
        <v>293.39736224</v>
      </c>
      <c r="AV212" s="612">
        <f t="shared" si="227"/>
        <v>109.4681728</v>
      </c>
      <c r="AW212" s="612">
        <f t="shared" si="227"/>
        <v>54.7340864</v>
      </c>
      <c r="AX212" s="612">
        <f t="shared" si="227"/>
        <v>41.0505648</v>
      </c>
      <c r="AY212" s="612">
        <f t="shared" si="227"/>
        <v>1.36835216</v>
      </c>
      <c r="AZ212" s="612">
        <f t="shared" si="227"/>
        <v>4.10505648</v>
      </c>
      <c r="BA212" s="612">
        <f t="shared" si="227"/>
        <v>82.1011296</v>
      </c>
      <c r="BB212" s="612">
        <f t="shared" si="227"/>
        <v>0.57</v>
      </c>
      <c r="BC212" s="612">
        <f t="shared" ref="BC212:BR212" si="228">SUM(BC213:BC225)</f>
        <v>14.6390552</v>
      </c>
      <c r="BD212" s="612">
        <f t="shared" si="228"/>
        <v>5.472544</v>
      </c>
      <c r="BE212" s="612">
        <f t="shared" si="228"/>
        <v>2.736272</v>
      </c>
      <c r="BF212" s="612">
        <f t="shared" si="228"/>
        <v>2.052204</v>
      </c>
      <c r="BG212" s="612">
        <f t="shared" si="228"/>
        <v>0.0684068</v>
      </c>
      <c r="BH212" s="612">
        <f t="shared" si="228"/>
        <v>0.2052204</v>
      </c>
      <c r="BI212" s="612">
        <f t="shared" si="228"/>
        <v>4.104408</v>
      </c>
      <c r="BJ212" s="612">
        <f t="shared" si="228"/>
        <v>0</v>
      </c>
      <c r="BK212" s="612">
        <f t="shared" si="228"/>
        <v>308.03641744</v>
      </c>
      <c r="BL212" s="612">
        <f t="shared" si="228"/>
        <v>114.9407168</v>
      </c>
      <c r="BM212" s="612">
        <f t="shared" si="228"/>
        <v>57.4703584</v>
      </c>
      <c r="BN212" s="612">
        <f t="shared" si="228"/>
        <v>43.1027688</v>
      </c>
      <c r="BO212" s="612">
        <f t="shared" si="228"/>
        <v>1.43675896</v>
      </c>
      <c r="BP212" s="612">
        <f t="shared" si="228"/>
        <v>4.31027688</v>
      </c>
      <c r="BQ212" s="612">
        <f t="shared" si="228"/>
        <v>86.2055376</v>
      </c>
      <c r="BR212" s="612">
        <f t="shared" si="228"/>
        <v>0.57</v>
      </c>
      <c r="BS212" s="334"/>
      <c r="BT212" s="653"/>
    </row>
    <row r="213" s="132" customFormat="1" ht="24" spans="1:71">
      <c r="A213" s="497" t="s">
        <v>202</v>
      </c>
      <c r="B213" s="497" t="s">
        <v>203</v>
      </c>
      <c r="C213" s="497" t="s">
        <v>479</v>
      </c>
      <c r="D213" s="497" t="s">
        <v>480</v>
      </c>
      <c r="E213" s="615">
        <f t="shared" si="189"/>
        <v>0</v>
      </c>
      <c r="F213" s="615">
        <f t="shared" si="190"/>
        <v>0</v>
      </c>
      <c r="G213" s="616"/>
      <c r="H213" s="616"/>
      <c r="I213" s="616"/>
      <c r="J213" s="616"/>
      <c r="K213" s="616"/>
      <c r="L213" s="616"/>
      <c r="M213" s="615">
        <f t="shared" si="191"/>
        <v>0</v>
      </c>
      <c r="N213" s="616"/>
      <c r="O213" s="616"/>
      <c r="P213" s="616"/>
      <c r="Q213" s="616"/>
      <c r="R213" s="616"/>
      <c r="S213" s="615">
        <f t="shared" si="192"/>
        <v>0</v>
      </c>
      <c r="T213" s="615">
        <f t="shared" si="193"/>
        <v>0</v>
      </c>
      <c r="U213" s="616"/>
      <c r="V213" s="616"/>
      <c r="W213" s="616"/>
      <c r="X213" s="616"/>
      <c r="Y213" s="616"/>
      <c r="Z213" s="616"/>
      <c r="AA213" s="615">
        <f t="shared" si="194"/>
        <v>0</v>
      </c>
      <c r="AB213" s="616"/>
      <c r="AC213" s="616"/>
      <c r="AD213" s="616"/>
      <c r="AE213" s="616"/>
      <c r="AF213" s="616"/>
      <c r="AG213" s="615">
        <f t="shared" si="195"/>
        <v>0</v>
      </c>
      <c r="AH213" s="615">
        <f t="shared" si="196"/>
        <v>0</v>
      </c>
      <c r="AI213" s="616">
        <f t="shared" si="197"/>
        <v>0</v>
      </c>
      <c r="AJ213" s="616">
        <f t="shared" si="198"/>
        <v>0</v>
      </c>
      <c r="AK213" s="616">
        <f t="shared" si="199"/>
        <v>0</v>
      </c>
      <c r="AL213" s="616">
        <f t="shared" si="200"/>
        <v>0</v>
      </c>
      <c r="AM213" s="616">
        <f t="shared" si="201"/>
        <v>0</v>
      </c>
      <c r="AN213" s="616">
        <f t="shared" si="202"/>
        <v>0</v>
      </c>
      <c r="AO213" s="615">
        <f t="shared" si="203"/>
        <v>0</v>
      </c>
      <c r="AP213" s="616">
        <f t="shared" si="204"/>
        <v>0</v>
      </c>
      <c r="AQ213" s="616">
        <f t="shared" si="205"/>
        <v>0</v>
      </c>
      <c r="AR213" s="616">
        <f t="shared" si="206"/>
        <v>0</v>
      </c>
      <c r="AS213" s="616">
        <f t="shared" si="207"/>
        <v>0</v>
      </c>
      <c r="AT213" s="637">
        <f t="shared" si="208"/>
        <v>0</v>
      </c>
      <c r="AU213" s="638">
        <f t="shared" si="209"/>
        <v>0</v>
      </c>
      <c r="AV213" s="616">
        <f t="shared" ref="AV213:AV225" si="229">(G213+H213+I213+N213)*0.16</f>
        <v>0</v>
      </c>
      <c r="AW213" s="616">
        <f t="shared" ref="AW213:AW225" si="230">(G213+H213+I213+N213)*0.08</f>
        <v>0</v>
      </c>
      <c r="AX213" s="616">
        <f t="shared" ref="AX213:AX225" si="231">(G213+H213+I213+N213)*0.06</f>
        <v>0</v>
      </c>
      <c r="AY213" s="616">
        <f t="shared" ref="AY213:AY225" si="232">(G213+H213+I213+N213)*0.002</f>
        <v>0</v>
      </c>
      <c r="AZ213" s="616">
        <f t="shared" ref="AZ213:AZ225" si="233">(G213+H213+I213+N213)*0.006</f>
        <v>0</v>
      </c>
      <c r="BA213" s="616">
        <f t="shared" ref="BA213:BA225" si="234">(G213+H213+I213+N213)*0.12</f>
        <v>0</v>
      </c>
      <c r="BB213" s="616"/>
      <c r="BC213" s="615">
        <f t="shared" si="210"/>
        <v>0</v>
      </c>
      <c r="BD213" s="616">
        <f t="shared" si="211"/>
        <v>0</v>
      </c>
      <c r="BE213" s="616">
        <f t="shared" si="212"/>
        <v>0</v>
      </c>
      <c r="BF213" s="616">
        <f t="shared" si="213"/>
        <v>0</v>
      </c>
      <c r="BG213" s="616">
        <f t="shared" si="214"/>
        <v>0</v>
      </c>
      <c r="BH213" s="616">
        <f t="shared" si="215"/>
        <v>0</v>
      </c>
      <c r="BI213" s="616">
        <f t="shared" si="216"/>
        <v>0</v>
      </c>
      <c r="BJ213" s="616"/>
      <c r="BK213" s="615">
        <f t="shared" si="217"/>
        <v>0</v>
      </c>
      <c r="BL213" s="616">
        <f t="shared" si="218"/>
        <v>0</v>
      </c>
      <c r="BM213" s="616">
        <f t="shared" si="219"/>
        <v>0</v>
      </c>
      <c r="BN213" s="616">
        <f t="shared" si="220"/>
        <v>0</v>
      </c>
      <c r="BO213" s="616">
        <f t="shared" si="221"/>
        <v>0</v>
      </c>
      <c r="BP213" s="616">
        <f t="shared" si="222"/>
        <v>0</v>
      </c>
      <c r="BQ213" s="616">
        <f t="shared" si="223"/>
        <v>0</v>
      </c>
      <c r="BR213" s="616">
        <f t="shared" si="224"/>
        <v>0</v>
      </c>
      <c r="BS213" s="304"/>
    </row>
    <row r="214" s="132" customFormat="1" ht="24" spans="1:71">
      <c r="A214" s="497" t="s">
        <v>202</v>
      </c>
      <c r="B214" s="497" t="s">
        <v>206</v>
      </c>
      <c r="C214" s="497" t="s">
        <v>481</v>
      </c>
      <c r="D214" s="497" t="s">
        <v>482</v>
      </c>
      <c r="E214" s="615">
        <f t="shared" si="189"/>
        <v>61.8268</v>
      </c>
      <c r="F214" s="615">
        <f t="shared" si="190"/>
        <v>49.728</v>
      </c>
      <c r="G214" s="655">
        <v>29.5824</v>
      </c>
      <c r="H214" s="655"/>
      <c r="I214" s="655">
        <v>10.0956</v>
      </c>
      <c r="J214" s="616"/>
      <c r="K214" s="616"/>
      <c r="L214" s="616">
        <v>10.05</v>
      </c>
      <c r="M214" s="615">
        <f t="shared" si="191"/>
        <v>12.0988</v>
      </c>
      <c r="N214" s="655">
        <v>6.0588</v>
      </c>
      <c r="O214" s="616"/>
      <c r="P214" s="616">
        <v>2.54</v>
      </c>
      <c r="Q214" s="616"/>
      <c r="R214" s="616">
        <v>3.5</v>
      </c>
      <c r="S214" s="615">
        <f t="shared" si="192"/>
        <v>32.405695</v>
      </c>
      <c r="T214" s="615">
        <f t="shared" si="193"/>
        <v>6.246395</v>
      </c>
      <c r="U214" s="616">
        <v>3.52</v>
      </c>
      <c r="V214" s="616"/>
      <c r="W214" s="616">
        <v>1.33</v>
      </c>
      <c r="X214" s="616"/>
      <c r="Y214" s="616"/>
      <c r="Z214" s="616">
        <v>1.396395</v>
      </c>
      <c r="AA214" s="615">
        <f t="shared" si="194"/>
        <v>26.1593</v>
      </c>
      <c r="AB214" s="616">
        <v>0.7993</v>
      </c>
      <c r="AC214" s="616"/>
      <c r="AD214" s="616">
        <v>25.06</v>
      </c>
      <c r="AE214" s="616">
        <v>0.3</v>
      </c>
      <c r="AF214" s="616"/>
      <c r="AG214" s="615">
        <f t="shared" si="195"/>
        <v>94.232495</v>
      </c>
      <c r="AH214" s="615">
        <f t="shared" si="196"/>
        <v>55.974395</v>
      </c>
      <c r="AI214" s="616">
        <f t="shared" si="197"/>
        <v>33.1024</v>
      </c>
      <c r="AJ214" s="616">
        <f t="shared" si="198"/>
        <v>0</v>
      </c>
      <c r="AK214" s="616">
        <f t="shared" si="199"/>
        <v>11.4256</v>
      </c>
      <c r="AL214" s="616">
        <f t="shared" si="200"/>
        <v>0</v>
      </c>
      <c r="AM214" s="616">
        <f t="shared" si="201"/>
        <v>0</v>
      </c>
      <c r="AN214" s="616">
        <f t="shared" si="202"/>
        <v>11.446395</v>
      </c>
      <c r="AO214" s="615">
        <f t="shared" si="203"/>
        <v>38.2581</v>
      </c>
      <c r="AP214" s="616">
        <f t="shared" si="204"/>
        <v>6.8581</v>
      </c>
      <c r="AQ214" s="616">
        <f t="shared" si="205"/>
        <v>0</v>
      </c>
      <c r="AR214" s="616">
        <f t="shared" si="206"/>
        <v>27.6</v>
      </c>
      <c r="AS214" s="616">
        <f t="shared" si="207"/>
        <v>0.3</v>
      </c>
      <c r="AT214" s="637">
        <f t="shared" si="208"/>
        <v>3.5</v>
      </c>
      <c r="AU214" s="638">
        <f t="shared" si="209"/>
        <v>19.5753504</v>
      </c>
      <c r="AV214" s="616">
        <f t="shared" si="229"/>
        <v>7.317888</v>
      </c>
      <c r="AW214" s="616">
        <f t="shared" si="230"/>
        <v>3.658944</v>
      </c>
      <c r="AX214" s="616">
        <f t="shared" si="231"/>
        <v>2.744208</v>
      </c>
      <c r="AY214" s="616">
        <f t="shared" si="232"/>
        <v>0.0914736</v>
      </c>
      <c r="AZ214" s="616">
        <f t="shared" si="233"/>
        <v>0.2744208</v>
      </c>
      <c r="BA214" s="616">
        <f t="shared" si="234"/>
        <v>5.488416</v>
      </c>
      <c r="BB214" s="616"/>
      <c r="BC214" s="615">
        <f t="shared" si="210"/>
        <v>2.4179004</v>
      </c>
      <c r="BD214" s="616">
        <f t="shared" si="211"/>
        <v>0.903888</v>
      </c>
      <c r="BE214" s="616">
        <f t="shared" si="212"/>
        <v>0.451944</v>
      </c>
      <c r="BF214" s="616">
        <f t="shared" si="213"/>
        <v>0.338958</v>
      </c>
      <c r="BG214" s="616">
        <f t="shared" si="214"/>
        <v>0.0112986</v>
      </c>
      <c r="BH214" s="616">
        <f t="shared" si="215"/>
        <v>0.0338958</v>
      </c>
      <c r="BI214" s="616">
        <f t="shared" si="216"/>
        <v>0.677916</v>
      </c>
      <c r="BJ214" s="616"/>
      <c r="BK214" s="615">
        <f t="shared" si="217"/>
        <v>21.9932508</v>
      </c>
      <c r="BL214" s="616">
        <f t="shared" si="218"/>
        <v>8.221776</v>
      </c>
      <c r="BM214" s="616">
        <f t="shared" si="219"/>
        <v>4.110888</v>
      </c>
      <c r="BN214" s="616">
        <f t="shared" si="220"/>
        <v>3.083166</v>
      </c>
      <c r="BO214" s="616">
        <f t="shared" si="221"/>
        <v>0.1027722</v>
      </c>
      <c r="BP214" s="616">
        <f t="shared" si="222"/>
        <v>0.3083166</v>
      </c>
      <c r="BQ214" s="616">
        <f t="shared" si="223"/>
        <v>6.166332</v>
      </c>
      <c r="BR214" s="616">
        <f t="shared" si="224"/>
        <v>0</v>
      </c>
      <c r="BS214" s="304"/>
    </row>
    <row r="215" s="132" customFormat="1" ht="24" spans="1:71">
      <c r="A215" s="497" t="s">
        <v>202</v>
      </c>
      <c r="B215" s="497" t="s">
        <v>483</v>
      </c>
      <c r="C215" s="497" t="s">
        <v>484</v>
      </c>
      <c r="D215" s="497" t="s">
        <v>485</v>
      </c>
      <c r="E215" s="615">
        <f t="shared" si="189"/>
        <v>252.51</v>
      </c>
      <c r="F215" s="615">
        <f t="shared" si="190"/>
        <v>0</v>
      </c>
      <c r="G215" s="655"/>
      <c r="H215" s="655"/>
      <c r="I215" s="655"/>
      <c r="J215" s="616"/>
      <c r="K215" s="616"/>
      <c r="L215" s="616">
        <v>0</v>
      </c>
      <c r="M215" s="615">
        <f t="shared" si="191"/>
        <v>252.51</v>
      </c>
      <c r="N215" s="655"/>
      <c r="O215" s="616">
        <f>222.21+30.3</f>
        <v>252.51</v>
      </c>
      <c r="P215" s="616"/>
      <c r="Q215" s="616"/>
      <c r="R215" s="616">
        <v>0</v>
      </c>
      <c r="S215" s="615">
        <f t="shared" si="192"/>
        <v>13.44</v>
      </c>
      <c r="T215" s="615">
        <f t="shared" si="193"/>
        <v>0</v>
      </c>
      <c r="U215" s="616"/>
      <c r="V215" s="616"/>
      <c r="W215" s="616"/>
      <c r="X215" s="616"/>
      <c r="Y215" s="616"/>
      <c r="Z215" s="616"/>
      <c r="AA215" s="615">
        <f t="shared" si="194"/>
        <v>13.44</v>
      </c>
      <c r="AB215" s="616"/>
      <c r="AC215" s="616">
        <v>13.44</v>
      </c>
      <c r="AD215" s="616"/>
      <c r="AE215" s="616"/>
      <c r="AF215" s="616"/>
      <c r="AG215" s="615">
        <f t="shared" si="195"/>
        <v>265.95</v>
      </c>
      <c r="AH215" s="615">
        <f t="shared" si="196"/>
        <v>0</v>
      </c>
      <c r="AI215" s="616">
        <f t="shared" si="197"/>
        <v>0</v>
      </c>
      <c r="AJ215" s="616">
        <f t="shared" si="198"/>
        <v>0</v>
      </c>
      <c r="AK215" s="616">
        <f t="shared" si="199"/>
        <v>0</v>
      </c>
      <c r="AL215" s="616">
        <f t="shared" si="200"/>
        <v>0</v>
      </c>
      <c r="AM215" s="616">
        <f t="shared" si="201"/>
        <v>0</v>
      </c>
      <c r="AN215" s="616">
        <f t="shared" si="202"/>
        <v>0</v>
      </c>
      <c r="AO215" s="615">
        <f t="shared" si="203"/>
        <v>265.95</v>
      </c>
      <c r="AP215" s="616">
        <f t="shared" si="204"/>
        <v>0</v>
      </c>
      <c r="AQ215" s="616">
        <f t="shared" si="205"/>
        <v>265.95</v>
      </c>
      <c r="AR215" s="616">
        <f t="shared" si="206"/>
        <v>0</v>
      </c>
      <c r="AS215" s="616">
        <f t="shared" si="207"/>
        <v>0</v>
      </c>
      <c r="AT215" s="637">
        <f t="shared" si="208"/>
        <v>0</v>
      </c>
      <c r="AU215" s="638">
        <f t="shared" si="209"/>
        <v>0</v>
      </c>
      <c r="AV215" s="616">
        <f t="shared" si="229"/>
        <v>0</v>
      </c>
      <c r="AW215" s="616">
        <f t="shared" si="230"/>
        <v>0</v>
      </c>
      <c r="AX215" s="616">
        <f t="shared" si="231"/>
        <v>0</v>
      </c>
      <c r="AY215" s="616">
        <f t="shared" si="232"/>
        <v>0</v>
      </c>
      <c r="AZ215" s="616">
        <f t="shared" si="233"/>
        <v>0</v>
      </c>
      <c r="BA215" s="616">
        <f t="shared" si="234"/>
        <v>0</v>
      </c>
      <c r="BB215" s="616"/>
      <c r="BC215" s="615">
        <f t="shared" si="210"/>
        <v>0</v>
      </c>
      <c r="BD215" s="616">
        <f t="shared" si="211"/>
        <v>0</v>
      </c>
      <c r="BE215" s="616">
        <f t="shared" si="212"/>
        <v>0</v>
      </c>
      <c r="BF215" s="616">
        <f t="shared" si="213"/>
        <v>0</v>
      </c>
      <c r="BG215" s="616">
        <f t="shared" si="214"/>
        <v>0</v>
      </c>
      <c r="BH215" s="616">
        <f t="shared" si="215"/>
        <v>0</v>
      </c>
      <c r="BI215" s="616">
        <f t="shared" si="216"/>
        <v>0</v>
      </c>
      <c r="BJ215" s="616"/>
      <c r="BK215" s="615">
        <f t="shared" si="217"/>
        <v>0</v>
      </c>
      <c r="BL215" s="616">
        <f t="shared" si="218"/>
        <v>0</v>
      </c>
      <c r="BM215" s="616">
        <f t="shared" si="219"/>
        <v>0</v>
      </c>
      <c r="BN215" s="616">
        <f t="shared" si="220"/>
        <v>0</v>
      </c>
      <c r="BO215" s="616">
        <f t="shared" si="221"/>
        <v>0</v>
      </c>
      <c r="BP215" s="616">
        <f t="shared" si="222"/>
        <v>0</v>
      </c>
      <c r="BQ215" s="616">
        <f t="shared" si="223"/>
        <v>0</v>
      </c>
      <c r="BR215" s="616">
        <f t="shared" si="224"/>
        <v>0</v>
      </c>
      <c r="BS215" s="304"/>
    </row>
    <row r="216" s="132" customFormat="1" ht="24" spans="1:71">
      <c r="A216" s="497" t="s">
        <v>202</v>
      </c>
      <c r="B216" s="497" t="s">
        <v>206</v>
      </c>
      <c r="C216" s="497" t="s">
        <v>486</v>
      </c>
      <c r="D216" s="497" t="s">
        <v>487</v>
      </c>
      <c r="E216" s="615">
        <f t="shared" si="189"/>
        <v>69.188</v>
      </c>
      <c r="F216" s="615">
        <f t="shared" si="190"/>
        <v>58.114</v>
      </c>
      <c r="G216" s="655">
        <v>34.5864</v>
      </c>
      <c r="H216" s="655"/>
      <c r="I216" s="655">
        <v>11.7876</v>
      </c>
      <c r="J216" s="616"/>
      <c r="K216" s="616"/>
      <c r="L216" s="616">
        <v>11.74</v>
      </c>
      <c r="M216" s="615">
        <f t="shared" si="191"/>
        <v>11.074</v>
      </c>
      <c r="N216" s="655">
        <v>7.074</v>
      </c>
      <c r="O216" s="616"/>
      <c r="P216" s="616"/>
      <c r="Q216" s="616"/>
      <c r="R216" s="616">
        <v>4</v>
      </c>
      <c r="S216" s="615">
        <f t="shared" si="192"/>
        <v>-3.21952</v>
      </c>
      <c r="T216" s="615">
        <f t="shared" si="193"/>
        <v>-3.16912</v>
      </c>
      <c r="U216" s="616">
        <v>-1.974</v>
      </c>
      <c r="V216" s="616"/>
      <c r="W216" s="616">
        <v>-0.5836</v>
      </c>
      <c r="X216" s="616"/>
      <c r="Y216" s="616"/>
      <c r="Z216" s="616">
        <v>-0.61152</v>
      </c>
      <c r="AA216" s="615">
        <f t="shared" si="194"/>
        <v>-0.0504</v>
      </c>
      <c r="AB216" s="616">
        <v>-0.3504</v>
      </c>
      <c r="AC216" s="616"/>
      <c r="AD216" s="616"/>
      <c r="AE216" s="616">
        <v>0.3</v>
      </c>
      <c r="AF216" s="616"/>
      <c r="AG216" s="615">
        <f t="shared" si="195"/>
        <v>65.96848</v>
      </c>
      <c r="AH216" s="615">
        <f t="shared" si="196"/>
        <v>54.94488</v>
      </c>
      <c r="AI216" s="616">
        <f t="shared" si="197"/>
        <v>32.6124</v>
      </c>
      <c r="AJ216" s="616">
        <f t="shared" si="198"/>
        <v>0</v>
      </c>
      <c r="AK216" s="616">
        <f t="shared" si="199"/>
        <v>11.204</v>
      </c>
      <c r="AL216" s="616">
        <f t="shared" si="200"/>
        <v>0</v>
      </c>
      <c r="AM216" s="616">
        <f t="shared" si="201"/>
        <v>0</v>
      </c>
      <c r="AN216" s="616">
        <f t="shared" si="202"/>
        <v>11.12848</v>
      </c>
      <c r="AO216" s="615">
        <f t="shared" si="203"/>
        <v>11.0236</v>
      </c>
      <c r="AP216" s="616">
        <f t="shared" si="204"/>
        <v>6.7236</v>
      </c>
      <c r="AQ216" s="616">
        <f t="shared" si="205"/>
        <v>0</v>
      </c>
      <c r="AR216" s="616">
        <f t="shared" si="206"/>
        <v>0</v>
      </c>
      <c r="AS216" s="616">
        <f t="shared" si="207"/>
        <v>0.3</v>
      </c>
      <c r="AT216" s="637">
        <f t="shared" si="208"/>
        <v>4</v>
      </c>
      <c r="AU216" s="638">
        <f t="shared" si="209"/>
        <v>22.875744</v>
      </c>
      <c r="AV216" s="616">
        <f t="shared" si="229"/>
        <v>8.55168</v>
      </c>
      <c r="AW216" s="616">
        <f t="shared" si="230"/>
        <v>4.27584</v>
      </c>
      <c r="AX216" s="616">
        <f t="shared" si="231"/>
        <v>3.20688</v>
      </c>
      <c r="AY216" s="616">
        <f t="shared" si="232"/>
        <v>0.106896</v>
      </c>
      <c r="AZ216" s="616">
        <f t="shared" si="233"/>
        <v>0.320688</v>
      </c>
      <c r="BA216" s="616">
        <f t="shared" si="234"/>
        <v>6.41376</v>
      </c>
      <c r="BB216" s="616"/>
      <c r="BC216" s="615">
        <f t="shared" si="210"/>
        <v>-1.244624</v>
      </c>
      <c r="BD216" s="616">
        <f t="shared" si="211"/>
        <v>-0.46528</v>
      </c>
      <c r="BE216" s="616">
        <f t="shared" si="212"/>
        <v>-0.23264</v>
      </c>
      <c r="BF216" s="616">
        <f t="shared" si="213"/>
        <v>-0.17448</v>
      </c>
      <c r="BG216" s="616">
        <f t="shared" si="214"/>
        <v>-0.005816</v>
      </c>
      <c r="BH216" s="616">
        <f t="shared" si="215"/>
        <v>-0.017448</v>
      </c>
      <c r="BI216" s="616">
        <f t="shared" si="216"/>
        <v>-0.34896</v>
      </c>
      <c r="BJ216" s="616"/>
      <c r="BK216" s="615">
        <f t="shared" si="217"/>
        <v>21.63112</v>
      </c>
      <c r="BL216" s="616">
        <f t="shared" si="218"/>
        <v>8.0864</v>
      </c>
      <c r="BM216" s="616">
        <f t="shared" si="219"/>
        <v>4.0432</v>
      </c>
      <c r="BN216" s="616">
        <f t="shared" si="220"/>
        <v>3.0324</v>
      </c>
      <c r="BO216" s="616">
        <f t="shared" si="221"/>
        <v>0.10108</v>
      </c>
      <c r="BP216" s="616">
        <f t="shared" si="222"/>
        <v>0.30324</v>
      </c>
      <c r="BQ216" s="616">
        <f t="shared" si="223"/>
        <v>6.0648</v>
      </c>
      <c r="BR216" s="616">
        <f t="shared" si="224"/>
        <v>0</v>
      </c>
      <c r="BS216" s="304"/>
    </row>
    <row r="217" s="132" customFormat="1" ht="36" spans="1:71">
      <c r="A217" s="497" t="s">
        <v>202</v>
      </c>
      <c r="B217" s="497" t="s">
        <v>203</v>
      </c>
      <c r="C217" s="497" t="s">
        <v>488</v>
      </c>
      <c r="D217" s="497" t="s">
        <v>489</v>
      </c>
      <c r="E217" s="615">
        <f t="shared" si="189"/>
        <v>0</v>
      </c>
      <c r="F217" s="615">
        <f t="shared" si="190"/>
        <v>0</v>
      </c>
      <c r="G217" s="616"/>
      <c r="H217" s="616"/>
      <c r="I217" s="616"/>
      <c r="J217" s="616"/>
      <c r="K217" s="616"/>
      <c r="L217" s="616"/>
      <c r="M217" s="615">
        <f t="shared" si="191"/>
        <v>0</v>
      </c>
      <c r="N217" s="616"/>
      <c r="O217" s="616"/>
      <c r="P217" s="616"/>
      <c r="Q217" s="616"/>
      <c r="R217" s="616"/>
      <c r="S217" s="615">
        <f t="shared" si="192"/>
        <v>9.8652</v>
      </c>
      <c r="T217" s="615">
        <f t="shared" si="193"/>
        <v>8.7</v>
      </c>
      <c r="U217" s="616">
        <v>4.87</v>
      </c>
      <c r="V217" s="616"/>
      <c r="W217" s="616">
        <v>1.94</v>
      </c>
      <c r="X217" s="616"/>
      <c r="Y217" s="616"/>
      <c r="Z217" s="616">
        <v>1.89</v>
      </c>
      <c r="AA217" s="615">
        <f t="shared" si="194"/>
        <v>1.1652</v>
      </c>
      <c r="AB217" s="616">
        <v>1.1652</v>
      </c>
      <c r="AC217" s="616"/>
      <c r="AD217" s="616"/>
      <c r="AE217" s="616"/>
      <c r="AF217" s="616"/>
      <c r="AG217" s="615">
        <f t="shared" si="195"/>
        <v>9.8652</v>
      </c>
      <c r="AH217" s="615">
        <f t="shared" si="196"/>
        <v>8.7</v>
      </c>
      <c r="AI217" s="616">
        <f t="shared" si="197"/>
        <v>4.87</v>
      </c>
      <c r="AJ217" s="616">
        <f t="shared" si="198"/>
        <v>0</v>
      </c>
      <c r="AK217" s="616">
        <f t="shared" si="199"/>
        <v>1.94</v>
      </c>
      <c r="AL217" s="616">
        <f t="shared" si="200"/>
        <v>0</v>
      </c>
      <c r="AM217" s="616">
        <f t="shared" si="201"/>
        <v>0</v>
      </c>
      <c r="AN217" s="616">
        <f t="shared" si="202"/>
        <v>1.89</v>
      </c>
      <c r="AO217" s="615">
        <f t="shared" si="203"/>
        <v>1.1652</v>
      </c>
      <c r="AP217" s="616">
        <f t="shared" si="204"/>
        <v>1.1652</v>
      </c>
      <c r="AQ217" s="616">
        <f t="shared" si="205"/>
        <v>0</v>
      </c>
      <c r="AR217" s="616">
        <f t="shared" si="206"/>
        <v>0</v>
      </c>
      <c r="AS217" s="616">
        <f t="shared" si="207"/>
        <v>0</v>
      </c>
      <c r="AT217" s="637">
        <f t="shared" si="208"/>
        <v>0</v>
      </c>
      <c r="AU217" s="638">
        <f t="shared" si="209"/>
        <v>0</v>
      </c>
      <c r="AV217" s="616">
        <f t="shared" si="229"/>
        <v>0</v>
      </c>
      <c r="AW217" s="616">
        <f t="shared" si="230"/>
        <v>0</v>
      </c>
      <c r="AX217" s="616">
        <f t="shared" si="231"/>
        <v>0</v>
      </c>
      <c r="AY217" s="616">
        <f t="shared" si="232"/>
        <v>0</v>
      </c>
      <c r="AZ217" s="616">
        <f t="shared" si="233"/>
        <v>0</v>
      </c>
      <c r="BA217" s="616">
        <f t="shared" si="234"/>
        <v>0</v>
      </c>
      <c r="BB217" s="616"/>
      <c r="BC217" s="615">
        <f t="shared" si="210"/>
        <v>3.4133856</v>
      </c>
      <c r="BD217" s="616">
        <f t="shared" si="211"/>
        <v>1.276032</v>
      </c>
      <c r="BE217" s="616">
        <f t="shared" si="212"/>
        <v>0.638016</v>
      </c>
      <c r="BF217" s="616">
        <f t="shared" si="213"/>
        <v>0.478512</v>
      </c>
      <c r="BG217" s="616">
        <f t="shared" si="214"/>
        <v>0.0159504</v>
      </c>
      <c r="BH217" s="616">
        <f t="shared" si="215"/>
        <v>0.0478512</v>
      </c>
      <c r="BI217" s="616">
        <f t="shared" si="216"/>
        <v>0.957024</v>
      </c>
      <c r="BJ217" s="616"/>
      <c r="BK217" s="615">
        <f t="shared" si="217"/>
        <v>3.4133856</v>
      </c>
      <c r="BL217" s="616">
        <f t="shared" si="218"/>
        <v>1.276032</v>
      </c>
      <c r="BM217" s="616">
        <f t="shared" si="219"/>
        <v>0.638016</v>
      </c>
      <c r="BN217" s="616">
        <f t="shared" si="220"/>
        <v>0.478512</v>
      </c>
      <c r="BO217" s="616">
        <f t="shared" si="221"/>
        <v>0.0159504</v>
      </c>
      <c r="BP217" s="616">
        <f t="shared" si="222"/>
        <v>0.0478512</v>
      </c>
      <c r="BQ217" s="616">
        <f t="shared" si="223"/>
        <v>0.957024</v>
      </c>
      <c r="BR217" s="616">
        <f t="shared" si="224"/>
        <v>0</v>
      </c>
      <c r="BS217" s="304"/>
    </row>
    <row r="218" s="132" customFormat="1" ht="36" spans="1:71">
      <c r="A218" s="497" t="s">
        <v>202</v>
      </c>
      <c r="B218" s="497" t="s">
        <v>206</v>
      </c>
      <c r="C218" s="497" t="s">
        <v>490</v>
      </c>
      <c r="D218" s="497" t="s">
        <v>491</v>
      </c>
      <c r="E218" s="615">
        <f t="shared" si="189"/>
        <v>52.32</v>
      </c>
      <c r="F218" s="615">
        <f t="shared" si="190"/>
        <v>43.59</v>
      </c>
      <c r="G218" s="655">
        <v>25.5</v>
      </c>
      <c r="H218" s="655"/>
      <c r="I218" s="655">
        <v>8.72</v>
      </c>
      <c r="J218" s="616"/>
      <c r="K218" s="616"/>
      <c r="L218" s="616">
        <v>9.37</v>
      </c>
      <c r="M218" s="615">
        <f t="shared" si="191"/>
        <v>8.73</v>
      </c>
      <c r="N218" s="655">
        <v>5.23</v>
      </c>
      <c r="O218" s="616"/>
      <c r="P218" s="616"/>
      <c r="Q218" s="616"/>
      <c r="R218" s="616">
        <v>3.5</v>
      </c>
      <c r="S218" s="615">
        <f t="shared" si="192"/>
        <v>0.62</v>
      </c>
      <c r="T218" s="615">
        <f t="shared" si="193"/>
        <v>0.44</v>
      </c>
      <c r="U218" s="616">
        <v>0.28</v>
      </c>
      <c r="V218" s="616"/>
      <c r="W218" s="616">
        <v>0.05</v>
      </c>
      <c r="X218" s="616"/>
      <c r="Y218" s="616"/>
      <c r="Z218" s="616">
        <v>0.11</v>
      </c>
      <c r="AA218" s="615">
        <f t="shared" si="194"/>
        <v>0.18</v>
      </c>
      <c r="AB218" s="616">
        <v>0.03</v>
      </c>
      <c r="AC218" s="616"/>
      <c r="AD218" s="616"/>
      <c r="AE218" s="616">
        <v>0.15</v>
      </c>
      <c r="AF218" s="616"/>
      <c r="AG218" s="615">
        <f t="shared" si="195"/>
        <v>52.94</v>
      </c>
      <c r="AH218" s="615">
        <f t="shared" si="196"/>
        <v>44.03</v>
      </c>
      <c r="AI218" s="616">
        <f t="shared" si="197"/>
        <v>25.78</v>
      </c>
      <c r="AJ218" s="616">
        <f t="shared" si="198"/>
        <v>0</v>
      </c>
      <c r="AK218" s="616">
        <f t="shared" si="199"/>
        <v>8.77</v>
      </c>
      <c r="AL218" s="616">
        <f t="shared" si="200"/>
        <v>0</v>
      </c>
      <c r="AM218" s="616">
        <f t="shared" si="201"/>
        <v>0</v>
      </c>
      <c r="AN218" s="616">
        <f t="shared" si="202"/>
        <v>9.48</v>
      </c>
      <c r="AO218" s="615">
        <f t="shared" si="203"/>
        <v>8.91</v>
      </c>
      <c r="AP218" s="616">
        <f t="shared" si="204"/>
        <v>5.26</v>
      </c>
      <c r="AQ218" s="616">
        <f t="shared" si="205"/>
        <v>0</v>
      </c>
      <c r="AR218" s="616">
        <f t="shared" si="206"/>
        <v>0</v>
      </c>
      <c r="AS218" s="616">
        <f t="shared" si="207"/>
        <v>0.15</v>
      </c>
      <c r="AT218" s="637">
        <f t="shared" si="208"/>
        <v>3.5</v>
      </c>
      <c r="AU218" s="638">
        <f t="shared" si="209"/>
        <v>16.8846</v>
      </c>
      <c r="AV218" s="616">
        <f t="shared" si="229"/>
        <v>6.312</v>
      </c>
      <c r="AW218" s="616">
        <f t="shared" si="230"/>
        <v>3.156</v>
      </c>
      <c r="AX218" s="616">
        <f t="shared" si="231"/>
        <v>2.367</v>
      </c>
      <c r="AY218" s="616">
        <f t="shared" si="232"/>
        <v>0.0789</v>
      </c>
      <c r="AZ218" s="616">
        <f t="shared" si="233"/>
        <v>0.2367</v>
      </c>
      <c r="BA218" s="616">
        <f t="shared" si="234"/>
        <v>4.734</v>
      </c>
      <c r="BB218" s="616"/>
      <c r="BC218" s="615">
        <f t="shared" si="210"/>
        <v>0.15408</v>
      </c>
      <c r="BD218" s="616">
        <f t="shared" si="211"/>
        <v>0.0576</v>
      </c>
      <c r="BE218" s="616">
        <f t="shared" si="212"/>
        <v>0.0288</v>
      </c>
      <c r="BF218" s="616">
        <f t="shared" si="213"/>
        <v>0.0216</v>
      </c>
      <c r="BG218" s="616">
        <f t="shared" si="214"/>
        <v>0.00072</v>
      </c>
      <c r="BH218" s="616">
        <f t="shared" si="215"/>
        <v>0.00216</v>
      </c>
      <c r="BI218" s="616">
        <f t="shared" si="216"/>
        <v>0.0432</v>
      </c>
      <c r="BJ218" s="616"/>
      <c r="BK218" s="615">
        <f t="shared" si="217"/>
        <v>17.03868</v>
      </c>
      <c r="BL218" s="616">
        <f t="shared" si="218"/>
        <v>6.3696</v>
      </c>
      <c r="BM218" s="616">
        <f t="shared" si="219"/>
        <v>3.1848</v>
      </c>
      <c r="BN218" s="616">
        <f t="shared" si="220"/>
        <v>2.3886</v>
      </c>
      <c r="BO218" s="616">
        <f t="shared" si="221"/>
        <v>0.07962</v>
      </c>
      <c r="BP218" s="616">
        <f t="shared" si="222"/>
        <v>0.23886</v>
      </c>
      <c r="BQ218" s="616">
        <f t="shared" si="223"/>
        <v>4.7772</v>
      </c>
      <c r="BR218" s="616">
        <f t="shared" si="224"/>
        <v>0</v>
      </c>
      <c r="BS218" s="304"/>
    </row>
    <row r="219" s="132" customFormat="1" ht="36" spans="1:71">
      <c r="A219" s="497" t="s">
        <v>202</v>
      </c>
      <c r="B219" s="497" t="s">
        <v>206</v>
      </c>
      <c r="C219" s="497" t="s">
        <v>492</v>
      </c>
      <c r="D219" s="497" t="s">
        <v>491</v>
      </c>
      <c r="E219" s="615">
        <f t="shared" si="189"/>
        <v>41.338</v>
      </c>
      <c r="F219" s="615">
        <f t="shared" si="190"/>
        <v>34.23</v>
      </c>
      <c r="G219" s="655">
        <v>19.11</v>
      </c>
      <c r="H219" s="655"/>
      <c r="I219" s="655">
        <v>7.68</v>
      </c>
      <c r="J219" s="616"/>
      <c r="K219" s="616"/>
      <c r="L219" s="616">
        <v>7.44</v>
      </c>
      <c r="M219" s="615">
        <f t="shared" si="191"/>
        <v>7.108</v>
      </c>
      <c r="N219" s="655">
        <f>I219/62.5*37.5</f>
        <v>4.608</v>
      </c>
      <c r="O219" s="616"/>
      <c r="P219" s="616"/>
      <c r="Q219" s="616"/>
      <c r="R219" s="616">
        <v>2.5</v>
      </c>
      <c r="S219" s="615">
        <f t="shared" si="192"/>
        <v>-12.84</v>
      </c>
      <c r="T219" s="615">
        <f t="shared" si="193"/>
        <v>-11.33</v>
      </c>
      <c r="U219" s="616">
        <v>-6.09</v>
      </c>
      <c r="V219" s="616"/>
      <c r="W219" s="616">
        <v>-2.76</v>
      </c>
      <c r="X219" s="616"/>
      <c r="Y219" s="616"/>
      <c r="Z219" s="616">
        <v>-2.48</v>
      </c>
      <c r="AA219" s="615">
        <f t="shared" si="194"/>
        <v>-1.51</v>
      </c>
      <c r="AB219" s="616">
        <v>-1.66</v>
      </c>
      <c r="AC219" s="616"/>
      <c r="AD219" s="616"/>
      <c r="AE219" s="616">
        <v>0.15</v>
      </c>
      <c r="AF219" s="616"/>
      <c r="AG219" s="615">
        <f t="shared" si="195"/>
        <v>28.498</v>
      </c>
      <c r="AH219" s="615">
        <f t="shared" si="196"/>
        <v>22.9</v>
      </c>
      <c r="AI219" s="616">
        <f t="shared" si="197"/>
        <v>13.02</v>
      </c>
      <c r="AJ219" s="616">
        <f t="shared" si="198"/>
        <v>0</v>
      </c>
      <c r="AK219" s="616">
        <f t="shared" si="199"/>
        <v>4.92</v>
      </c>
      <c r="AL219" s="616">
        <f t="shared" si="200"/>
        <v>0</v>
      </c>
      <c r="AM219" s="616">
        <f t="shared" si="201"/>
        <v>0</v>
      </c>
      <c r="AN219" s="616">
        <f t="shared" si="202"/>
        <v>4.96</v>
      </c>
      <c r="AO219" s="615">
        <f t="shared" si="203"/>
        <v>5.598</v>
      </c>
      <c r="AP219" s="616">
        <f t="shared" si="204"/>
        <v>2.948</v>
      </c>
      <c r="AQ219" s="616">
        <f t="shared" si="205"/>
        <v>0</v>
      </c>
      <c r="AR219" s="616">
        <f t="shared" si="206"/>
        <v>0</v>
      </c>
      <c r="AS219" s="616">
        <f t="shared" si="207"/>
        <v>0.15</v>
      </c>
      <c r="AT219" s="637">
        <f t="shared" si="208"/>
        <v>2.5</v>
      </c>
      <c r="AU219" s="638">
        <f t="shared" si="209"/>
        <v>13.438344</v>
      </c>
      <c r="AV219" s="616">
        <f t="shared" si="229"/>
        <v>5.02368</v>
      </c>
      <c r="AW219" s="616">
        <f t="shared" si="230"/>
        <v>2.51184</v>
      </c>
      <c r="AX219" s="616">
        <f t="shared" si="231"/>
        <v>1.88388</v>
      </c>
      <c r="AY219" s="616">
        <f t="shared" si="232"/>
        <v>0.062796</v>
      </c>
      <c r="AZ219" s="616">
        <f t="shared" si="233"/>
        <v>0.188388</v>
      </c>
      <c r="BA219" s="616">
        <f t="shared" si="234"/>
        <v>3.76776</v>
      </c>
      <c r="BB219" s="616"/>
      <c r="BC219" s="615">
        <f t="shared" si="210"/>
        <v>-4.49828</v>
      </c>
      <c r="BD219" s="616">
        <f t="shared" si="211"/>
        <v>-1.6816</v>
      </c>
      <c r="BE219" s="616">
        <f t="shared" si="212"/>
        <v>-0.8408</v>
      </c>
      <c r="BF219" s="616">
        <f t="shared" si="213"/>
        <v>-0.6306</v>
      </c>
      <c r="BG219" s="616">
        <f t="shared" si="214"/>
        <v>-0.02102</v>
      </c>
      <c r="BH219" s="616">
        <f t="shared" si="215"/>
        <v>-0.06306</v>
      </c>
      <c r="BI219" s="616">
        <f t="shared" si="216"/>
        <v>-1.2612</v>
      </c>
      <c r="BJ219" s="616"/>
      <c r="BK219" s="615">
        <f t="shared" si="217"/>
        <v>8.940064</v>
      </c>
      <c r="BL219" s="616">
        <f t="shared" si="218"/>
        <v>3.34208</v>
      </c>
      <c r="BM219" s="616">
        <f t="shared" si="219"/>
        <v>1.67104</v>
      </c>
      <c r="BN219" s="616">
        <f t="shared" si="220"/>
        <v>1.25328</v>
      </c>
      <c r="BO219" s="616">
        <f t="shared" si="221"/>
        <v>0.041776</v>
      </c>
      <c r="BP219" s="616">
        <f t="shared" si="222"/>
        <v>0.125328</v>
      </c>
      <c r="BQ219" s="616">
        <f t="shared" si="223"/>
        <v>2.50656</v>
      </c>
      <c r="BR219" s="616">
        <f t="shared" si="224"/>
        <v>0</v>
      </c>
      <c r="BS219" s="304"/>
    </row>
    <row r="220" s="132" customFormat="1" ht="36" spans="1:71">
      <c r="A220" s="497" t="s">
        <v>202</v>
      </c>
      <c r="B220" s="497" t="s">
        <v>206</v>
      </c>
      <c r="C220" s="497" t="s">
        <v>493</v>
      </c>
      <c r="D220" s="497" t="s">
        <v>491</v>
      </c>
      <c r="E220" s="615">
        <f t="shared" si="189"/>
        <v>39.16288</v>
      </c>
      <c r="F220" s="615">
        <f t="shared" si="190"/>
        <v>32.574</v>
      </c>
      <c r="G220" s="655">
        <f>1.5741*12</f>
        <v>18.8892</v>
      </c>
      <c r="H220" s="655"/>
      <c r="I220" s="655">
        <f>0.5679*12</f>
        <v>6.8148</v>
      </c>
      <c r="J220" s="616"/>
      <c r="K220" s="616"/>
      <c r="L220" s="616">
        <v>6.87</v>
      </c>
      <c r="M220" s="615">
        <f t="shared" si="191"/>
        <v>6.58888</v>
      </c>
      <c r="N220" s="655">
        <f>I220/62.5*37.5</f>
        <v>4.08888</v>
      </c>
      <c r="O220" s="616"/>
      <c r="P220" s="616"/>
      <c r="Q220" s="616"/>
      <c r="R220" s="616">
        <v>2.5</v>
      </c>
      <c r="S220" s="615">
        <f t="shared" si="192"/>
        <v>1.91</v>
      </c>
      <c r="T220" s="615">
        <f t="shared" si="193"/>
        <v>1.1</v>
      </c>
      <c r="U220" s="616">
        <v>0.89</v>
      </c>
      <c r="V220" s="616"/>
      <c r="W220" s="616">
        <v>0.11</v>
      </c>
      <c r="X220" s="616"/>
      <c r="Y220" s="616"/>
      <c r="Z220" s="616">
        <v>0.1</v>
      </c>
      <c r="AA220" s="615">
        <f t="shared" si="194"/>
        <v>0.81</v>
      </c>
      <c r="AB220" s="616">
        <v>0.06</v>
      </c>
      <c r="AC220" s="616"/>
      <c r="AD220" s="616"/>
      <c r="AE220" s="616"/>
      <c r="AF220" s="616">
        <v>0.75</v>
      </c>
      <c r="AG220" s="615">
        <f t="shared" si="195"/>
        <v>41.07288</v>
      </c>
      <c r="AH220" s="615">
        <f t="shared" si="196"/>
        <v>33.674</v>
      </c>
      <c r="AI220" s="616">
        <f t="shared" si="197"/>
        <v>19.7792</v>
      </c>
      <c r="AJ220" s="616">
        <f t="shared" si="198"/>
        <v>0</v>
      </c>
      <c r="AK220" s="616">
        <f t="shared" si="199"/>
        <v>6.9248</v>
      </c>
      <c r="AL220" s="616">
        <f t="shared" si="200"/>
        <v>0</v>
      </c>
      <c r="AM220" s="616">
        <f t="shared" si="201"/>
        <v>0</v>
      </c>
      <c r="AN220" s="616">
        <f t="shared" si="202"/>
        <v>6.97</v>
      </c>
      <c r="AO220" s="615">
        <f t="shared" si="203"/>
        <v>7.39888</v>
      </c>
      <c r="AP220" s="616">
        <f t="shared" si="204"/>
        <v>4.14888</v>
      </c>
      <c r="AQ220" s="616">
        <f t="shared" si="205"/>
        <v>0</v>
      </c>
      <c r="AR220" s="616">
        <f t="shared" si="206"/>
        <v>0</v>
      </c>
      <c r="AS220" s="616">
        <f t="shared" si="207"/>
        <v>0</v>
      </c>
      <c r="AT220" s="637">
        <f t="shared" si="208"/>
        <v>3.25</v>
      </c>
      <c r="AU220" s="638">
        <f t="shared" si="209"/>
        <v>12.75135264</v>
      </c>
      <c r="AV220" s="616">
        <f t="shared" si="229"/>
        <v>4.7668608</v>
      </c>
      <c r="AW220" s="616">
        <f t="shared" si="230"/>
        <v>2.3834304</v>
      </c>
      <c r="AX220" s="616">
        <f t="shared" si="231"/>
        <v>1.7875728</v>
      </c>
      <c r="AY220" s="616">
        <f t="shared" si="232"/>
        <v>0.05958576</v>
      </c>
      <c r="AZ220" s="616">
        <f t="shared" si="233"/>
        <v>0.17875728</v>
      </c>
      <c r="BA220" s="616">
        <f t="shared" si="234"/>
        <v>3.5751456</v>
      </c>
      <c r="BB220" s="616"/>
      <c r="BC220" s="615">
        <f t="shared" si="210"/>
        <v>0.45368</v>
      </c>
      <c r="BD220" s="616">
        <f t="shared" si="211"/>
        <v>0.1696</v>
      </c>
      <c r="BE220" s="616">
        <f t="shared" si="212"/>
        <v>0.0848</v>
      </c>
      <c r="BF220" s="616">
        <f t="shared" si="213"/>
        <v>0.0636</v>
      </c>
      <c r="BG220" s="616">
        <f t="shared" si="214"/>
        <v>0.00212</v>
      </c>
      <c r="BH220" s="616">
        <f t="shared" si="215"/>
        <v>0.00636</v>
      </c>
      <c r="BI220" s="616">
        <f t="shared" si="216"/>
        <v>0.1272</v>
      </c>
      <c r="BJ220" s="616"/>
      <c r="BK220" s="615">
        <f t="shared" si="217"/>
        <v>13.20503264</v>
      </c>
      <c r="BL220" s="616">
        <f t="shared" si="218"/>
        <v>4.9364608</v>
      </c>
      <c r="BM220" s="616">
        <f t="shared" si="219"/>
        <v>2.4682304</v>
      </c>
      <c r="BN220" s="616">
        <f t="shared" si="220"/>
        <v>1.8511728</v>
      </c>
      <c r="BO220" s="616">
        <f t="shared" si="221"/>
        <v>0.06170576</v>
      </c>
      <c r="BP220" s="616">
        <f t="shared" si="222"/>
        <v>0.18511728</v>
      </c>
      <c r="BQ220" s="616">
        <f t="shared" si="223"/>
        <v>3.7023456</v>
      </c>
      <c r="BR220" s="616">
        <f t="shared" si="224"/>
        <v>0</v>
      </c>
      <c r="BS220" s="304"/>
    </row>
    <row r="221" s="132" customFormat="1" ht="36" spans="1:71">
      <c r="A221" s="497" t="s">
        <v>202</v>
      </c>
      <c r="B221" s="497" t="s">
        <v>206</v>
      </c>
      <c r="C221" s="497" t="s">
        <v>494</v>
      </c>
      <c r="D221" s="497" t="s">
        <v>491</v>
      </c>
      <c r="E221" s="615">
        <f t="shared" si="189"/>
        <v>35.21</v>
      </c>
      <c r="F221" s="615">
        <f t="shared" si="190"/>
        <v>28.77</v>
      </c>
      <c r="G221" s="655">
        <v>15.53</v>
      </c>
      <c r="H221" s="655"/>
      <c r="I221" s="655">
        <v>6.57</v>
      </c>
      <c r="J221" s="616"/>
      <c r="K221" s="616"/>
      <c r="L221" s="616">
        <v>6.67</v>
      </c>
      <c r="M221" s="615">
        <f t="shared" si="191"/>
        <v>6.44</v>
      </c>
      <c r="N221" s="655">
        <v>3.94</v>
      </c>
      <c r="O221" s="616"/>
      <c r="P221" s="616"/>
      <c r="Q221" s="616"/>
      <c r="R221" s="616">
        <v>2.5</v>
      </c>
      <c r="S221" s="615">
        <f t="shared" si="192"/>
        <v>-2.07</v>
      </c>
      <c r="T221" s="615">
        <f t="shared" si="193"/>
        <v>-1.89</v>
      </c>
      <c r="U221" s="616">
        <v>-0.74</v>
      </c>
      <c r="V221" s="616"/>
      <c r="W221" s="616">
        <v>-0.55</v>
      </c>
      <c r="X221" s="616"/>
      <c r="Y221" s="616"/>
      <c r="Z221" s="616">
        <v>-0.6</v>
      </c>
      <c r="AA221" s="615">
        <f t="shared" si="194"/>
        <v>-0.18</v>
      </c>
      <c r="AB221" s="616">
        <v>-0.33</v>
      </c>
      <c r="AC221" s="616"/>
      <c r="AD221" s="616"/>
      <c r="AE221" s="616">
        <v>0.15</v>
      </c>
      <c r="AF221" s="616"/>
      <c r="AG221" s="615">
        <f t="shared" si="195"/>
        <v>33.14</v>
      </c>
      <c r="AH221" s="615">
        <f t="shared" si="196"/>
        <v>26.88</v>
      </c>
      <c r="AI221" s="616">
        <f t="shared" si="197"/>
        <v>14.79</v>
      </c>
      <c r="AJ221" s="616">
        <f t="shared" si="198"/>
        <v>0</v>
      </c>
      <c r="AK221" s="616">
        <f t="shared" si="199"/>
        <v>6.02</v>
      </c>
      <c r="AL221" s="616">
        <f t="shared" si="200"/>
        <v>0</v>
      </c>
      <c r="AM221" s="616">
        <f t="shared" si="201"/>
        <v>0</v>
      </c>
      <c r="AN221" s="616">
        <f t="shared" si="202"/>
        <v>6.07</v>
      </c>
      <c r="AO221" s="615">
        <f t="shared" si="203"/>
        <v>6.26</v>
      </c>
      <c r="AP221" s="616">
        <f t="shared" si="204"/>
        <v>3.61</v>
      </c>
      <c r="AQ221" s="616">
        <f t="shared" si="205"/>
        <v>0</v>
      </c>
      <c r="AR221" s="616">
        <f t="shared" si="206"/>
        <v>0</v>
      </c>
      <c r="AS221" s="616">
        <f t="shared" si="207"/>
        <v>0.15</v>
      </c>
      <c r="AT221" s="637">
        <f t="shared" si="208"/>
        <v>2.5</v>
      </c>
      <c r="AU221" s="638">
        <f t="shared" si="209"/>
        <v>11.14512</v>
      </c>
      <c r="AV221" s="616">
        <f t="shared" si="229"/>
        <v>4.1664</v>
      </c>
      <c r="AW221" s="616">
        <f t="shared" si="230"/>
        <v>2.0832</v>
      </c>
      <c r="AX221" s="616">
        <f t="shared" si="231"/>
        <v>1.5624</v>
      </c>
      <c r="AY221" s="616">
        <f t="shared" si="232"/>
        <v>0.05208</v>
      </c>
      <c r="AZ221" s="616">
        <f t="shared" si="233"/>
        <v>0.15624</v>
      </c>
      <c r="BA221" s="616">
        <f t="shared" si="234"/>
        <v>3.1248</v>
      </c>
      <c r="BB221" s="616"/>
      <c r="BC221" s="615">
        <f t="shared" si="210"/>
        <v>-0.69336</v>
      </c>
      <c r="BD221" s="616">
        <f t="shared" si="211"/>
        <v>-0.2592</v>
      </c>
      <c r="BE221" s="616">
        <f t="shared" si="212"/>
        <v>-0.1296</v>
      </c>
      <c r="BF221" s="616">
        <f t="shared" si="213"/>
        <v>-0.0972</v>
      </c>
      <c r="BG221" s="616">
        <f t="shared" si="214"/>
        <v>-0.00324</v>
      </c>
      <c r="BH221" s="616">
        <f t="shared" si="215"/>
        <v>-0.00972</v>
      </c>
      <c r="BI221" s="616">
        <f t="shared" si="216"/>
        <v>-0.1944</v>
      </c>
      <c r="BJ221" s="616"/>
      <c r="BK221" s="615">
        <f t="shared" si="217"/>
        <v>10.45176</v>
      </c>
      <c r="BL221" s="616">
        <f t="shared" si="218"/>
        <v>3.9072</v>
      </c>
      <c r="BM221" s="616">
        <f t="shared" si="219"/>
        <v>1.9536</v>
      </c>
      <c r="BN221" s="616">
        <f t="shared" si="220"/>
        <v>1.4652</v>
      </c>
      <c r="BO221" s="616">
        <f t="shared" si="221"/>
        <v>0.04884</v>
      </c>
      <c r="BP221" s="616">
        <f t="shared" si="222"/>
        <v>0.14652</v>
      </c>
      <c r="BQ221" s="616">
        <f t="shared" si="223"/>
        <v>2.9304</v>
      </c>
      <c r="BR221" s="616">
        <f t="shared" si="224"/>
        <v>0</v>
      </c>
      <c r="BS221" s="304"/>
    </row>
    <row r="222" s="132" customFormat="1" ht="24" spans="1:71">
      <c r="A222" s="497" t="s">
        <v>202</v>
      </c>
      <c r="B222" s="497" t="s">
        <v>206</v>
      </c>
      <c r="C222" s="497" t="s">
        <v>495</v>
      </c>
      <c r="D222" s="497" t="s">
        <v>496</v>
      </c>
      <c r="E222" s="615">
        <f t="shared" si="189"/>
        <v>133.209888</v>
      </c>
      <c r="F222" s="615">
        <f t="shared" si="190"/>
        <v>93.7548</v>
      </c>
      <c r="G222" s="655">
        <v>53.8992</v>
      </c>
      <c r="H222" s="655"/>
      <c r="I222" s="655">
        <v>20.1756</v>
      </c>
      <c r="J222" s="616"/>
      <c r="K222" s="616"/>
      <c r="L222" s="616">
        <v>19.68</v>
      </c>
      <c r="M222" s="615">
        <f t="shared" si="191"/>
        <v>39.455088</v>
      </c>
      <c r="N222" s="655">
        <v>12.11</v>
      </c>
      <c r="O222" s="616"/>
      <c r="P222" s="655">
        <v>20.345088</v>
      </c>
      <c r="Q222" s="616"/>
      <c r="R222" s="616">
        <v>7</v>
      </c>
      <c r="S222" s="615">
        <f t="shared" si="192"/>
        <v>14.792135</v>
      </c>
      <c r="T222" s="615">
        <f t="shared" si="193"/>
        <v>12.558035</v>
      </c>
      <c r="U222" s="616">
        <v>7.7322</v>
      </c>
      <c r="V222" s="616"/>
      <c r="W222" s="616">
        <v>2.3898</v>
      </c>
      <c r="X222" s="616"/>
      <c r="Y222" s="616"/>
      <c r="Z222" s="616">
        <v>2.436035</v>
      </c>
      <c r="AA222" s="615">
        <f t="shared" si="194"/>
        <v>2.2341</v>
      </c>
      <c r="AB222" s="616">
        <v>1.4341</v>
      </c>
      <c r="AC222" s="616"/>
      <c r="AD222" s="616">
        <v>0.48</v>
      </c>
      <c r="AE222" s="616">
        <v>0.3</v>
      </c>
      <c r="AF222" s="616">
        <v>0.02</v>
      </c>
      <c r="AG222" s="615">
        <f t="shared" si="195"/>
        <v>148.002023</v>
      </c>
      <c r="AH222" s="615">
        <f t="shared" si="196"/>
        <v>106.312835</v>
      </c>
      <c r="AI222" s="616">
        <f t="shared" si="197"/>
        <v>61.6314</v>
      </c>
      <c r="AJ222" s="616">
        <f t="shared" si="198"/>
        <v>0</v>
      </c>
      <c r="AK222" s="616">
        <f t="shared" si="199"/>
        <v>22.5654</v>
      </c>
      <c r="AL222" s="616">
        <f t="shared" si="200"/>
        <v>0</v>
      </c>
      <c r="AM222" s="616">
        <f t="shared" si="201"/>
        <v>0</v>
      </c>
      <c r="AN222" s="616">
        <f t="shared" si="202"/>
        <v>22.116035</v>
      </c>
      <c r="AO222" s="615">
        <f t="shared" si="203"/>
        <v>41.689188</v>
      </c>
      <c r="AP222" s="616">
        <f t="shared" si="204"/>
        <v>13.5441</v>
      </c>
      <c r="AQ222" s="616">
        <f t="shared" si="205"/>
        <v>0</v>
      </c>
      <c r="AR222" s="616">
        <f t="shared" si="206"/>
        <v>20.825088</v>
      </c>
      <c r="AS222" s="616">
        <f t="shared" si="207"/>
        <v>0.3</v>
      </c>
      <c r="AT222" s="637">
        <f t="shared" si="208"/>
        <v>7.02</v>
      </c>
      <c r="AU222" s="638">
        <f t="shared" si="209"/>
        <v>36.8870944</v>
      </c>
      <c r="AV222" s="616">
        <f t="shared" si="229"/>
        <v>13.789568</v>
      </c>
      <c r="AW222" s="616">
        <f t="shared" si="230"/>
        <v>6.894784</v>
      </c>
      <c r="AX222" s="616">
        <f t="shared" si="231"/>
        <v>5.171088</v>
      </c>
      <c r="AY222" s="616">
        <f t="shared" si="232"/>
        <v>0.1723696</v>
      </c>
      <c r="AZ222" s="616">
        <f t="shared" si="233"/>
        <v>0.5171088</v>
      </c>
      <c r="BA222" s="616">
        <f t="shared" si="234"/>
        <v>10.342176</v>
      </c>
      <c r="BB222" s="616"/>
      <c r="BC222" s="615">
        <f t="shared" si="210"/>
        <v>4.9460108</v>
      </c>
      <c r="BD222" s="616">
        <f t="shared" si="211"/>
        <v>1.848976</v>
      </c>
      <c r="BE222" s="616">
        <f t="shared" si="212"/>
        <v>0.924488</v>
      </c>
      <c r="BF222" s="616">
        <f t="shared" si="213"/>
        <v>0.693366</v>
      </c>
      <c r="BG222" s="616">
        <f t="shared" si="214"/>
        <v>0.0231122</v>
      </c>
      <c r="BH222" s="616">
        <f t="shared" si="215"/>
        <v>0.0693366</v>
      </c>
      <c r="BI222" s="616">
        <f t="shared" si="216"/>
        <v>1.386732</v>
      </c>
      <c r="BJ222" s="616"/>
      <c r="BK222" s="615">
        <f t="shared" si="217"/>
        <v>41.8331052</v>
      </c>
      <c r="BL222" s="616">
        <f t="shared" si="218"/>
        <v>15.638544</v>
      </c>
      <c r="BM222" s="616">
        <f t="shared" si="219"/>
        <v>7.819272</v>
      </c>
      <c r="BN222" s="616">
        <f t="shared" si="220"/>
        <v>5.864454</v>
      </c>
      <c r="BO222" s="616">
        <f t="shared" si="221"/>
        <v>0.1954818</v>
      </c>
      <c r="BP222" s="616">
        <f t="shared" si="222"/>
        <v>0.5864454</v>
      </c>
      <c r="BQ222" s="616">
        <f t="shared" si="223"/>
        <v>11.728908</v>
      </c>
      <c r="BR222" s="616">
        <f t="shared" si="224"/>
        <v>0</v>
      </c>
      <c r="BS222" s="304"/>
    </row>
    <row r="223" s="132" customFormat="1" ht="24" spans="1:71">
      <c r="A223" s="497" t="s">
        <v>202</v>
      </c>
      <c r="B223" s="497" t="s">
        <v>206</v>
      </c>
      <c r="C223" s="497" t="s">
        <v>497</v>
      </c>
      <c r="D223" s="497" t="s">
        <v>498</v>
      </c>
      <c r="E223" s="615">
        <f t="shared" si="189"/>
        <v>86.4356</v>
      </c>
      <c r="F223" s="615">
        <f t="shared" si="190"/>
        <v>72.0156</v>
      </c>
      <c r="G223" s="656">
        <v>46</v>
      </c>
      <c r="H223" s="619">
        <v>0.084</v>
      </c>
      <c r="I223" s="655">
        <v>13.1316</v>
      </c>
      <c r="J223" s="616"/>
      <c r="K223" s="616"/>
      <c r="L223" s="616">
        <v>12.8</v>
      </c>
      <c r="M223" s="615">
        <f t="shared" si="191"/>
        <v>14.42</v>
      </c>
      <c r="N223" s="616">
        <v>7.88</v>
      </c>
      <c r="O223" s="616"/>
      <c r="P223" s="658">
        <v>2.54</v>
      </c>
      <c r="Q223" s="616"/>
      <c r="R223" s="616">
        <v>4</v>
      </c>
      <c r="S223" s="615">
        <f t="shared" si="192"/>
        <v>2.0148</v>
      </c>
      <c r="T223" s="615">
        <f t="shared" si="193"/>
        <v>1.7348</v>
      </c>
      <c r="U223" s="616">
        <v>1.518</v>
      </c>
      <c r="V223" s="616"/>
      <c r="W223" s="616">
        <v>0.1068</v>
      </c>
      <c r="X223" s="616"/>
      <c r="Y223" s="616"/>
      <c r="Z223" s="616">
        <v>0.11</v>
      </c>
      <c r="AA223" s="615">
        <f t="shared" si="194"/>
        <v>0.28</v>
      </c>
      <c r="AB223" s="616">
        <v>0.07</v>
      </c>
      <c r="AC223" s="616"/>
      <c r="AD223" s="616">
        <v>0.06</v>
      </c>
      <c r="AE223" s="616">
        <v>0.15</v>
      </c>
      <c r="AF223" s="616"/>
      <c r="AG223" s="615">
        <f t="shared" si="195"/>
        <v>88.4504</v>
      </c>
      <c r="AH223" s="615">
        <f t="shared" si="196"/>
        <v>73.7504</v>
      </c>
      <c r="AI223" s="616">
        <f t="shared" si="197"/>
        <v>47.518</v>
      </c>
      <c r="AJ223" s="616">
        <f t="shared" si="198"/>
        <v>0.084</v>
      </c>
      <c r="AK223" s="616">
        <f t="shared" si="199"/>
        <v>13.2384</v>
      </c>
      <c r="AL223" s="616">
        <f t="shared" si="200"/>
        <v>0</v>
      </c>
      <c r="AM223" s="616">
        <f t="shared" si="201"/>
        <v>0</v>
      </c>
      <c r="AN223" s="616">
        <f t="shared" si="202"/>
        <v>12.91</v>
      </c>
      <c r="AO223" s="615">
        <f t="shared" si="203"/>
        <v>14.7</v>
      </c>
      <c r="AP223" s="616">
        <f t="shared" si="204"/>
        <v>7.95</v>
      </c>
      <c r="AQ223" s="616">
        <f t="shared" si="205"/>
        <v>0</v>
      </c>
      <c r="AR223" s="616">
        <f t="shared" si="206"/>
        <v>2.6</v>
      </c>
      <c r="AS223" s="616">
        <f t="shared" si="207"/>
        <v>0.15</v>
      </c>
      <c r="AT223" s="637">
        <f t="shared" si="208"/>
        <v>4</v>
      </c>
      <c r="AU223" s="638">
        <f t="shared" si="209"/>
        <v>28.7169168</v>
      </c>
      <c r="AV223" s="616">
        <f t="shared" si="229"/>
        <v>10.735296</v>
      </c>
      <c r="AW223" s="616">
        <f t="shared" si="230"/>
        <v>5.367648</v>
      </c>
      <c r="AX223" s="616">
        <f t="shared" si="231"/>
        <v>4.025736</v>
      </c>
      <c r="AY223" s="616">
        <f t="shared" si="232"/>
        <v>0.1341912</v>
      </c>
      <c r="AZ223" s="616">
        <f t="shared" si="233"/>
        <v>0.4025736</v>
      </c>
      <c r="BA223" s="616">
        <f t="shared" si="234"/>
        <v>8.051472</v>
      </c>
      <c r="BB223" s="616"/>
      <c r="BC223" s="615">
        <f t="shared" si="210"/>
        <v>0.7253744</v>
      </c>
      <c r="BD223" s="616">
        <f t="shared" si="211"/>
        <v>0.271168</v>
      </c>
      <c r="BE223" s="616">
        <f t="shared" si="212"/>
        <v>0.135584</v>
      </c>
      <c r="BF223" s="616">
        <f t="shared" si="213"/>
        <v>0.101688</v>
      </c>
      <c r="BG223" s="616">
        <f t="shared" si="214"/>
        <v>0.0033896</v>
      </c>
      <c r="BH223" s="616">
        <f t="shared" si="215"/>
        <v>0.0101688</v>
      </c>
      <c r="BI223" s="616">
        <f t="shared" si="216"/>
        <v>0.203376</v>
      </c>
      <c r="BJ223" s="616"/>
      <c r="BK223" s="615">
        <f t="shared" si="217"/>
        <v>29.4422912</v>
      </c>
      <c r="BL223" s="616">
        <f t="shared" si="218"/>
        <v>11.006464</v>
      </c>
      <c r="BM223" s="616">
        <f t="shared" si="219"/>
        <v>5.503232</v>
      </c>
      <c r="BN223" s="616">
        <f t="shared" si="220"/>
        <v>4.127424</v>
      </c>
      <c r="BO223" s="616">
        <f t="shared" si="221"/>
        <v>0.1375808</v>
      </c>
      <c r="BP223" s="616">
        <f t="shared" si="222"/>
        <v>0.4127424</v>
      </c>
      <c r="BQ223" s="616">
        <f t="shared" si="223"/>
        <v>8.254848</v>
      </c>
      <c r="BR223" s="616">
        <f t="shared" si="224"/>
        <v>0</v>
      </c>
      <c r="BS223" s="304"/>
    </row>
    <row r="224" s="132" customFormat="1" ht="36" spans="1:71">
      <c r="A224" s="497" t="s">
        <v>202</v>
      </c>
      <c r="B224" s="497" t="s">
        <v>203</v>
      </c>
      <c r="C224" s="497" t="s">
        <v>499</v>
      </c>
      <c r="D224" s="497" t="s">
        <v>500</v>
      </c>
      <c r="E224" s="615">
        <f t="shared" si="189"/>
        <v>437.8</v>
      </c>
      <c r="F224" s="615">
        <f t="shared" si="190"/>
        <v>318.86</v>
      </c>
      <c r="G224" s="616">
        <v>184.39</v>
      </c>
      <c r="H224" s="616"/>
      <c r="I224" s="616">
        <v>66.05</v>
      </c>
      <c r="J224" s="616"/>
      <c r="K224" s="616"/>
      <c r="L224" s="616">
        <v>68.42</v>
      </c>
      <c r="M224" s="615">
        <f t="shared" si="191"/>
        <v>118.94</v>
      </c>
      <c r="N224" s="616">
        <v>39.63</v>
      </c>
      <c r="O224" s="616"/>
      <c r="P224" s="616">
        <v>40.69</v>
      </c>
      <c r="Q224" s="616">
        <v>15.12</v>
      </c>
      <c r="R224" s="616">
        <v>23.5</v>
      </c>
      <c r="S224" s="615">
        <f t="shared" si="192"/>
        <v>23.93</v>
      </c>
      <c r="T224" s="615">
        <f t="shared" si="193"/>
        <v>18.86</v>
      </c>
      <c r="U224" s="616">
        <v>10.23</v>
      </c>
      <c r="V224" s="616"/>
      <c r="W224" s="616">
        <v>6.54</v>
      </c>
      <c r="X224" s="616"/>
      <c r="Y224" s="616"/>
      <c r="Z224" s="616">
        <v>2.09</v>
      </c>
      <c r="AA224" s="615">
        <f t="shared" si="194"/>
        <v>5.07</v>
      </c>
      <c r="AB224" s="616">
        <v>2.51</v>
      </c>
      <c r="AC224" s="616"/>
      <c r="AD224" s="616">
        <v>0.96</v>
      </c>
      <c r="AE224" s="616">
        <v>1.35</v>
      </c>
      <c r="AF224" s="616">
        <v>0.25</v>
      </c>
      <c r="AG224" s="615">
        <f t="shared" si="195"/>
        <v>461.73</v>
      </c>
      <c r="AH224" s="615">
        <f t="shared" si="196"/>
        <v>337.72</v>
      </c>
      <c r="AI224" s="616">
        <f t="shared" si="197"/>
        <v>194.62</v>
      </c>
      <c r="AJ224" s="616">
        <f t="shared" si="198"/>
        <v>0</v>
      </c>
      <c r="AK224" s="616">
        <f t="shared" si="199"/>
        <v>72.59</v>
      </c>
      <c r="AL224" s="616">
        <f t="shared" si="200"/>
        <v>0</v>
      </c>
      <c r="AM224" s="616">
        <f t="shared" si="201"/>
        <v>0</v>
      </c>
      <c r="AN224" s="616">
        <f t="shared" si="202"/>
        <v>70.51</v>
      </c>
      <c r="AO224" s="615">
        <f t="shared" si="203"/>
        <v>124.01</v>
      </c>
      <c r="AP224" s="616">
        <f t="shared" si="204"/>
        <v>42.14</v>
      </c>
      <c r="AQ224" s="616">
        <f t="shared" si="205"/>
        <v>0</v>
      </c>
      <c r="AR224" s="616">
        <f t="shared" si="206"/>
        <v>41.65</v>
      </c>
      <c r="AS224" s="616">
        <f t="shared" si="207"/>
        <v>16.47</v>
      </c>
      <c r="AT224" s="637">
        <f t="shared" si="208"/>
        <v>23.75</v>
      </c>
      <c r="AU224" s="638">
        <f t="shared" si="209"/>
        <v>124.71996</v>
      </c>
      <c r="AV224" s="616">
        <f t="shared" si="229"/>
        <v>46.4112</v>
      </c>
      <c r="AW224" s="616">
        <f t="shared" si="230"/>
        <v>23.2056</v>
      </c>
      <c r="AX224" s="616">
        <f t="shared" si="231"/>
        <v>17.4042</v>
      </c>
      <c r="AY224" s="616">
        <f t="shared" si="232"/>
        <v>0.58014</v>
      </c>
      <c r="AZ224" s="616">
        <f t="shared" si="233"/>
        <v>1.74042</v>
      </c>
      <c r="BA224" s="616">
        <f t="shared" si="234"/>
        <v>34.8084</v>
      </c>
      <c r="BB224" s="616">
        <v>0.57</v>
      </c>
      <c r="BC224" s="615">
        <f t="shared" si="210"/>
        <v>8.25184</v>
      </c>
      <c r="BD224" s="616">
        <f t="shared" si="211"/>
        <v>3.0848</v>
      </c>
      <c r="BE224" s="616">
        <f t="shared" si="212"/>
        <v>1.5424</v>
      </c>
      <c r="BF224" s="616">
        <f t="shared" si="213"/>
        <v>1.1568</v>
      </c>
      <c r="BG224" s="616">
        <f t="shared" si="214"/>
        <v>0.03856</v>
      </c>
      <c r="BH224" s="616">
        <f t="shared" si="215"/>
        <v>0.11568</v>
      </c>
      <c r="BI224" s="616">
        <f t="shared" si="216"/>
        <v>2.3136</v>
      </c>
      <c r="BJ224" s="616"/>
      <c r="BK224" s="615">
        <f t="shared" si="217"/>
        <v>132.9718</v>
      </c>
      <c r="BL224" s="616">
        <f t="shared" si="218"/>
        <v>49.496</v>
      </c>
      <c r="BM224" s="616">
        <f t="shared" si="219"/>
        <v>24.748</v>
      </c>
      <c r="BN224" s="616">
        <f t="shared" si="220"/>
        <v>18.561</v>
      </c>
      <c r="BO224" s="616">
        <f t="shared" si="221"/>
        <v>0.6187</v>
      </c>
      <c r="BP224" s="616">
        <f t="shared" si="222"/>
        <v>1.8561</v>
      </c>
      <c r="BQ224" s="616">
        <f t="shared" si="223"/>
        <v>37.122</v>
      </c>
      <c r="BR224" s="616">
        <f t="shared" si="224"/>
        <v>0.57</v>
      </c>
      <c r="BS224" s="342" t="s">
        <v>501</v>
      </c>
    </row>
    <row r="225" s="132" customFormat="1" ht="36" spans="1:71">
      <c r="A225" s="497" t="s">
        <v>202</v>
      </c>
      <c r="B225" s="497" t="s">
        <v>206</v>
      </c>
      <c r="C225" s="497" t="s">
        <v>502</v>
      </c>
      <c r="D225" s="497" t="s">
        <v>503</v>
      </c>
      <c r="E225" s="615">
        <f t="shared" si="189"/>
        <v>28.03</v>
      </c>
      <c r="F225" s="615">
        <f t="shared" si="190"/>
        <v>16.59</v>
      </c>
      <c r="G225" s="655">
        <v>8.81</v>
      </c>
      <c r="H225" s="655"/>
      <c r="I225" s="655">
        <v>3.84</v>
      </c>
      <c r="J225" s="616"/>
      <c r="K225" s="616"/>
      <c r="L225" s="616">
        <v>3.94</v>
      </c>
      <c r="M225" s="615">
        <f t="shared" si="191"/>
        <v>11.44</v>
      </c>
      <c r="N225" s="655">
        <v>2.31</v>
      </c>
      <c r="O225" s="655"/>
      <c r="P225" s="655">
        <v>7.63</v>
      </c>
      <c r="Q225" s="616"/>
      <c r="R225" s="616">
        <v>1.5</v>
      </c>
      <c r="S225" s="615">
        <f t="shared" si="192"/>
        <v>2.430522</v>
      </c>
      <c r="T225" s="615">
        <f t="shared" si="193"/>
        <v>1.7169</v>
      </c>
      <c r="U225" s="616">
        <v>1.0416</v>
      </c>
      <c r="V225" s="616"/>
      <c r="W225" s="616">
        <v>0.3904</v>
      </c>
      <c r="X225" s="616"/>
      <c r="Y225" s="616"/>
      <c r="Z225" s="616">
        <v>0.2849</v>
      </c>
      <c r="AA225" s="615">
        <f t="shared" si="194"/>
        <v>0.713622</v>
      </c>
      <c r="AB225" s="616">
        <v>0.234</v>
      </c>
      <c r="AC225" s="616"/>
      <c r="AD225" s="616">
        <v>0.179622</v>
      </c>
      <c r="AE225" s="616">
        <v>0.3</v>
      </c>
      <c r="AF225" s="616"/>
      <c r="AG225" s="615">
        <f t="shared" si="195"/>
        <v>30.460522</v>
      </c>
      <c r="AH225" s="615">
        <f t="shared" si="196"/>
        <v>18.3069</v>
      </c>
      <c r="AI225" s="616">
        <f t="shared" si="197"/>
        <v>9.8516</v>
      </c>
      <c r="AJ225" s="616">
        <f t="shared" si="198"/>
        <v>0</v>
      </c>
      <c r="AK225" s="616">
        <f t="shared" si="199"/>
        <v>4.2304</v>
      </c>
      <c r="AL225" s="616">
        <f t="shared" si="200"/>
        <v>0</v>
      </c>
      <c r="AM225" s="616">
        <f t="shared" si="201"/>
        <v>0</v>
      </c>
      <c r="AN225" s="616">
        <f t="shared" si="202"/>
        <v>4.2249</v>
      </c>
      <c r="AO225" s="615">
        <f t="shared" si="203"/>
        <v>12.153622</v>
      </c>
      <c r="AP225" s="616">
        <f t="shared" si="204"/>
        <v>2.544</v>
      </c>
      <c r="AQ225" s="616">
        <f t="shared" si="205"/>
        <v>0</v>
      </c>
      <c r="AR225" s="616">
        <f t="shared" si="206"/>
        <v>7.809622</v>
      </c>
      <c r="AS225" s="616">
        <f t="shared" si="207"/>
        <v>0.3</v>
      </c>
      <c r="AT225" s="637">
        <f t="shared" si="208"/>
        <v>1.5</v>
      </c>
      <c r="AU225" s="638">
        <f t="shared" si="209"/>
        <v>6.40288</v>
      </c>
      <c r="AV225" s="616">
        <f t="shared" si="229"/>
        <v>2.3936</v>
      </c>
      <c r="AW225" s="616">
        <f t="shared" si="230"/>
        <v>1.1968</v>
      </c>
      <c r="AX225" s="616">
        <f t="shared" si="231"/>
        <v>0.8976</v>
      </c>
      <c r="AY225" s="616">
        <f t="shared" si="232"/>
        <v>0.02992</v>
      </c>
      <c r="AZ225" s="616">
        <f t="shared" si="233"/>
        <v>0.08976</v>
      </c>
      <c r="BA225" s="616">
        <f t="shared" si="234"/>
        <v>1.7952</v>
      </c>
      <c r="BB225" s="616"/>
      <c r="BC225" s="615">
        <f t="shared" si="210"/>
        <v>0.713048</v>
      </c>
      <c r="BD225" s="616">
        <f t="shared" si="211"/>
        <v>0.26656</v>
      </c>
      <c r="BE225" s="616">
        <f t="shared" si="212"/>
        <v>0.13328</v>
      </c>
      <c r="BF225" s="616">
        <f t="shared" si="213"/>
        <v>0.09996</v>
      </c>
      <c r="BG225" s="616">
        <f t="shared" si="214"/>
        <v>0.003332</v>
      </c>
      <c r="BH225" s="616">
        <f t="shared" si="215"/>
        <v>0.009996</v>
      </c>
      <c r="BI225" s="616">
        <f t="shared" si="216"/>
        <v>0.19992</v>
      </c>
      <c r="BJ225" s="616"/>
      <c r="BK225" s="615">
        <f t="shared" si="217"/>
        <v>7.115928</v>
      </c>
      <c r="BL225" s="616">
        <f t="shared" si="218"/>
        <v>2.66016</v>
      </c>
      <c r="BM225" s="616">
        <f t="shared" si="219"/>
        <v>1.33008</v>
      </c>
      <c r="BN225" s="616">
        <f t="shared" si="220"/>
        <v>0.99756</v>
      </c>
      <c r="BO225" s="616">
        <f t="shared" si="221"/>
        <v>0.033252</v>
      </c>
      <c r="BP225" s="616">
        <f t="shared" si="222"/>
        <v>0.099756</v>
      </c>
      <c r="BQ225" s="616">
        <f t="shared" si="223"/>
        <v>1.99512</v>
      </c>
      <c r="BR225" s="616">
        <f t="shared" si="224"/>
        <v>0</v>
      </c>
      <c r="BS225" s="304"/>
    </row>
    <row r="226" s="508" customFormat="1" ht="21" customHeight="1" spans="1:72">
      <c r="A226" s="647"/>
      <c r="B226" s="647"/>
      <c r="C226" s="647" t="s">
        <v>132</v>
      </c>
      <c r="D226" s="648">
        <v>208</v>
      </c>
      <c r="E226" s="612">
        <f t="shared" ref="E226:Z226" si="235">SUM(E227:E238)</f>
        <v>554.92944</v>
      </c>
      <c r="F226" s="612">
        <f t="shared" si="235"/>
        <v>472</v>
      </c>
      <c r="G226" s="612">
        <f t="shared" si="235"/>
        <v>274.0376</v>
      </c>
      <c r="H226" s="612">
        <f t="shared" si="235"/>
        <v>10.9824</v>
      </c>
      <c r="I226" s="612">
        <f t="shared" si="235"/>
        <v>88.17</v>
      </c>
      <c r="J226" s="612">
        <f t="shared" si="235"/>
        <v>0</v>
      </c>
      <c r="K226" s="612">
        <f t="shared" si="235"/>
        <v>0</v>
      </c>
      <c r="L226" s="612">
        <f t="shared" si="235"/>
        <v>98.81</v>
      </c>
      <c r="M226" s="612">
        <f t="shared" si="235"/>
        <v>82.92944</v>
      </c>
      <c r="N226" s="612">
        <f t="shared" si="235"/>
        <v>47.92944</v>
      </c>
      <c r="O226" s="612">
        <f t="shared" si="235"/>
        <v>0</v>
      </c>
      <c r="P226" s="612">
        <f t="shared" si="235"/>
        <v>0</v>
      </c>
      <c r="Q226" s="612">
        <f t="shared" si="235"/>
        <v>0</v>
      </c>
      <c r="R226" s="612">
        <f t="shared" si="235"/>
        <v>35</v>
      </c>
      <c r="S226" s="612">
        <f t="shared" ref="S226:AF226" si="236">SUM(S227:S238)</f>
        <v>39.45792</v>
      </c>
      <c r="T226" s="612">
        <f t="shared" si="236"/>
        <v>22.6983</v>
      </c>
      <c r="U226" s="612">
        <f t="shared" si="236"/>
        <v>12.7448</v>
      </c>
      <c r="V226" s="612">
        <f t="shared" si="236"/>
        <v>0</v>
      </c>
      <c r="W226" s="612">
        <f t="shared" si="236"/>
        <v>6.329</v>
      </c>
      <c r="X226" s="612">
        <f t="shared" si="236"/>
        <v>0</v>
      </c>
      <c r="Y226" s="612">
        <f t="shared" si="236"/>
        <v>0</v>
      </c>
      <c r="Z226" s="612">
        <f t="shared" si="236"/>
        <v>3.6245</v>
      </c>
      <c r="AA226" s="612">
        <f t="shared" si="236"/>
        <v>16.75962</v>
      </c>
      <c r="AB226" s="612">
        <f t="shared" si="236"/>
        <v>15.40962</v>
      </c>
      <c r="AC226" s="612">
        <f t="shared" si="236"/>
        <v>0</v>
      </c>
      <c r="AD226" s="612">
        <f t="shared" si="236"/>
        <v>0</v>
      </c>
      <c r="AE226" s="612">
        <f t="shared" si="236"/>
        <v>1.35</v>
      </c>
      <c r="AF226" s="612">
        <f t="shared" si="236"/>
        <v>0</v>
      </c>
      <c r="AG226" s="612">
        <f t="shared" ref="AG226:BB226" si="237">SUM(AG227:AG238)</f>
        <v>594.38736</v>
      </c>
      <c r="AH226" s="612">
        <f t="shared" si="237"/>
        <v>494.6983</v>
      </c>
      <c r="AI226" s="612">
        <f t="shared" si="237"/>
        <v>286.7824</v>
      </c>
      <c r="AJ226" s="612">
        <f t="shared" si="237"/>
        <v>10.9824</v>
      </c>
      <c r="AK226" s="612">
        <f t="shared" si="237"/>
        <v>94.499</v>
      </c>
      <c r="AL226" s="612">
        <f t="shared" si="237"/>
        <v>0</v>
      </c>
      <c r="AM226" s="612">
        <f t="shared" si="237"/>
        <v>0</v>
      </c>
      <c r="AN226" s="612">
        <f t="shared" si="237"/>
        <v>102.4345</v>
      </c>
      <c r="AO226" s="612">
        <f t="shared" si="237"/>
        <v>99.68906</v>
      </c>
      <c r="AP226" s="612">
        <f t="shared" si="237"/>
        <v>63.33906</v>
      </c>
      <c r="AQ226" s="612">
        <f t="shared" si="237"/>
        <v>0</v>
      </c>
      <c r="AR226" s="612">
        <f t="shared" si="237"/>
        <v>0</v>
      </c>
      <c r="AS226" s="612">
        <f t="shared" si="237"/>
        <v>1.35</v>
      </c>
      <c r="AT226" s="635">
        <f t="shared" si="237"/>
        <v>35</v>
      </c>
      <c r="AU226" s="636">
        <f t="shared" si="237"/>
        <v>2648.23912032</v>
      </c>
      <c r="AV226" s="612">
        <f t="shared" si="237"/>
        <v>67.3791104</v>
      </c>
      <c r="AW226" s="612">
        <f t="shared" si="237"/>
        <v>33.6895552</v>
      </c>
      <c r="AX226" s="612">
        <f t="shared" si="237"/>
        <v>25.2671664</v>
      </c>
      <c r="AY226" s="612">
        <f t="shared" si="237"/>
        <v>0.84223888</v>
      </c>
      <c r="AZ226" s="612">
        <f t="shared" si="237"/>
        <v>2.52671664</v>
      </c>
      <c r="BA226" s="612">
        <f t="shared" si="237"/>
        <v>50.5343328</v>
      </c>
      <c r="BB226" s="612">
        <f t="shared" si="237"/>
        <v>2468</v>
      </c>
      <c r="BC226" s="612">
        <f t="shared" ref="BC226:BR226" si="238">SUM(BC227:BC238)</f>
        <v>14.75890376</v>
      </c>
      <c r="BD226" s="612">
        <f t="shared" si="238"/>
        <v>5.5173472</v>
      </c>
      <c r="BE226" s="612">
        <f t="shared" si="238"/>
        <v>2.7586736</v>
      </c>
      <c r="BF226" s="612">
        <f t="shared" si="238"/>
        <v>2.0690052</v>
      </c>
      <c r="BG226" s="612">
        <f t="shared" si="238"/>
        <v>0.06896684</v>
      </c>
      <c r="BH226" s="612">
        <f t="shared" si="238"/>
        <v>0.20690052</v>
      </c>
      <c r="BI226" s="612">
        <f t="shared" si="238"/>
        <v>4.1380104</v>
      </c>
      <c r="BJ226" s="612">
        <f t="shared" si="238"/>
        <v>0</v>
      </c>
      <c r="BK226" s="612">
        <f t="shared" si="238"/>
        <v>2662.99802408</v>
      </c>
      <c r="BL226" s="612">
        <f t="shared" si="238"/>
        <v>72.8964576</v>
      </c>
      <c r="BM226" s="612">
        <f t="shared" si="238"/>
        <v>36.4482288</v>
      </c>
      <c r="BN226" s="612">
        <f t="shared" si="238"/>
        <v>27.3361716</v>
      </c>
      <c r="BO226" s="612">
        <f t="shared" si="238"/>
        <v>0.91120572</v>
      </c>
      <c r="BP226" s="612">
        <f t="shared" si="238"/>
        <v>2.73361716</v>
      </c>
      <c r="BQ226" s="612">
        <f t="shared" si="238"/>
        <v>54.6723432</v>
      </c>
      <c r="BR226" s="612">
        <f t="shared" si="238"/>
        <v>2468</v>
      </c>
      <c r="BS226" s="334"/>
      <c r="BT226" s="653"/>
    </row>
    <row r="227" s="132" customFormat="1" ht="24" spans="1:71">
      <c r="A227" s="497" t="s">
        <v>504</v>
      </c>
      <c r="B227" s="497" t="s">
        <v>203</v>
      </c>
      <c r="C227" s="497" t="s">
        <v>505</v>
      </c>
      <c r="D227" s="497" t="s">
        <v>506</v>
      </c>
      <c r="E227" s="615">
        <f t="shared" ref="E227:E238" si="239">F227+M227</f>
        <v>0</v>
      </c>
      <c r="F227" s="615">
        <f t="shared" ref="F227:F238" si="240">SUM(G227:L227)</f>
        <v>0</v>
      </c>
      <c r="G227" s="616"/>
      <c r="H227" s="616"/>
      <c r="I227" s="616"/>
      <c r="J227" s="616"/>
      <c r="K227" s="616"/>
      <c r="L227" s="616"/>
      <c r="M227" s="615">
        <f t="shared" ref="M227:M238" si="241">SUM(N227:R227)</f>
        <v>0</v>
      </c>
      <c r="N227" s="616"/>
      <c r="O227" s="616"/>
      <c r="P227" s="616"/>
      <c r="Q227" s="616"/>
      <c r="R227" s="616"/>
      <c r="S227" s="615">
        <f t="shared" si="192"/>
        <v>0</v>
      </c>
      <c r="T227" s="615">
        <f t="shared" si="193"/>
        <v>0</v>
      </c>
      <c r="U227" s="616"/>
      <c r="V227" s="616"/>
      <c r="W227" s="616"/>
      <c r="X227" s="616"/>
      <c r="Y227" s="616"/>
      <c r="Z227" s="616"/>
      <c r="AA227" s="615">
        <f t="shared" si="194"/>
        <v>0</v>
      </c>
      <c r="AB227" s="616"/>
      <c r="AC227" s="616"/>
      <c r="AD227" s="616"/>
      <c r="AE227" s="616"/>
      <c r="AF227" s="616"/>
      <c r="AG227" s="615">
        <f t="shared" si="195"/>
        <v>0</v>
      </c>
      <c r="AH227" s="615">
        <f t="shared" si="196"/>
        <v>0</v>
      </c>
      <c r="AI227" s="616">
        <f t="shared" si="197"/>
        <v>0</v>
      </c>
      <c r="AJ227" s="616">
        <f t="shared" si="198"/>
        <v>0</v>
      </c>
      <c r="AK227" s="616">
        <f t="shared" si="199"/>
        <v>0</v>
      </c>
      <c r="AL227" s="616">
        <f t="shared" si="200"/>
        <v>0</v>
      </c>
      <c r="AM227" s="616">
        <f t="shared" si="201"/>
        <v>0</v>
      </c>
      <c r="AN227" s="616">
        <f t="shared" si="202"/>
        <v>0</v>
      </c>
      <c r="AO227" s="615">
        <f t="shared" si="203"/>
        <v>0</v>
      </c>
      <c r="AP227" s="616">
        <f t="shared" si="204"/>
        <v>0</v>
      </c>
      <c r="AQ227" s="616">
        <f t="shared" si="205"/>
        <v>0</v>
      </c>
      <c r="AR227" s="616">
        <f t="shared" si="206"/>
        <v>0</v>
      </c>
      <c r="AS227" s="616">
        <f t="shared" si="207"/>
        <v>0</v>
      </c>
      <c r="AT227" s="637">
        <f t="shared" si="208"/>
        <v>0</v>
      </c>
      <c r="AU227" s="638">
        <f t="shared" ref="AU227:AU238" si="242">SUM(AV227:BB227)</f>
        <v>0</v>
      </c>
      <c r="AV227" s="616">
        <f t="shared" ref="AV227:AV238" si="243">(G227+H227+I227+N227)*0.16</f>
        <v>0</v>
      </c>
      <c r="AW227" s="616">
        <f t="shared" ref="AW227:AW238" si="244">(G227+H227+I227+N227)*0.08</f>
        <v>0</v>
      </c>
      <c r="AX227" s="616">
        <f t="shared" ref="AX227:AX238" si="245">(G227+H227+I227+N227)*0.06</f>
        <v>0</v>
      </c>
      <c r="AY227" s="616">
        <f t="shared" ref="AY227:AY238" si="246">(G227+H227+I227+N227)*0.002</f>
        <v>0</v>
      </c>
      <c r="AZ227" s="616">
        <f t="shared" ref="AZ227:AZ238" si="247">(G227+H227+I227+N227)*0.006</f>
        <v>0</v>
      </c>
      <c r="BA227" s="616">
        <f t="shared" ref="BA227:BA238" si="248">(G227+H227+I227+N227)*0.12</f>
        <v>0</v>
      </c>
      <c r="BB227" s="616"/>
      <c r="BC227" s="615">
        <f t="shared" si="210"/>
        <v>0</v>
      </c>
      <c r="BD227" s="616">
        <f t="shared" si="211"/>
        <v>0</v>
      </c>
      <c r="BE227" s="616">
        <f t="shared" si="212"/>
        <v>0</v>
      </c>
      <c r="BF227" s="616">
        <f t="shared" si="213"/>
        <v>0</v>
      </c>
      <c r="BG227" s="616">
        <f t="shared" si="214"/>
        <v>0</v>
      </c>
      <c r="BH227" s="616">
        <f t="shared" si="215"/>
        <v>0</v>
      </c>
      <c r="BI227" s="616">
        <f t="shared" si="216"/>
        <v>0</v>
      </c>
      <c r="BJ227" s="616"/>
      <c r="BK227" s="615">
        <f t="shared" si="217"/>
        <v>0</v>
      </c>
      <c r="BL227" s="616">
        <f t="shared" si="218"/>
        <v>0</v>
      </c>
      <c r="BM227" s="616">
        <f t="shared" si="219"/>
        <v>0</v>
      </c>
      <c r="BN227" s="616">
        <f t="shared" si="220"/>
        <v>0</v>
      </c>
      <c r="BO227" s="616">
        <f t="shared" si="221"/>
        <v>0</v>
      </c>
      <c r="BP227" s="616">
        <f t="shared" si="222"/>
        <v>0</v>
      </c>
      <c r="BQ227" s="616">
        <f t="shared" si="223"/>
        <v>0</v>
      </c>
      <c r="BR227" s="616">
        <f t="shared" si="224"/>
        <v>0</v>
      </c>
      <c r="BS227" s="304"/>
    </row>
    <row r="228" s="132" customFormat="1" ht="24" spans="1:71">
      <c r="A228" s="497" t="s">
        <v>504</v>
      </c>
      <c r="B228" s="497" t="s">
        <v>206</v>
      </c>
      <c r="C228" s="497" t="s">
        <v>507</v>
      </c>
      <c r="D228" s="497" t="s">
        <v>508</v>
      </c>
      <c r="E228" s="615">
        <f t="shared" si="239"/>
        <v>102.22</v>
      </c>
      <c r="F228" s="615">
        <f t="shared" si="240"/>
        <v>85.21</v>
      </c>
      <c r="G228" s="616">
        <v>48.76</v>
      </c>
      <c r="H228" s="616">
        <v>0</v>
      </c>
      <c r="I228" s="616">
        <v>17.52</v>
      </c>
      <c r="J228" s="616"/>
      <c r="K228" s="616"/>
      <c r="L228" s="616">
        <v>18.93</v>
      </c>
      <c r="M228" s="615">
        <f t="shared" si="241"/>
        <v>17.01</v>
      </c>
      <c r="N228" s="616">
        <v>10.51</v>
      </c>
      <c r="O228" s="616"/>
      <c r="P228" s="616"/>
      <c r="Q228" s="616"/>
      <c r="R228" s="616">
        <v>6.5</v>
      </c>
      <c r="S228" s="615">
        <f t="shared" si="192"/>
        <v>3.1914</v>
      </c>
      <c r="T228" s="615">
        <f t="shared" si="193"/>
        <v>2.5254</v>
      </c>
      <c r="U228" s="616">
        <v>1.5964</v>
      </c>
      <c r="V228" s="616"/>
      <c r="W228" s="616">
        <v>0.549</v>
      </c>
      <c r="X228" s="616"/>
      <c r="Y228" s="616"/>
      <c r="Z228" s="616">
        <v>0.38</v>
      </c>
      <c r="AA228" s="615">
        <f t="shared" si="194"/>
        <v>0.666</v>
      </c>
      <c r="AB228" s="616">
        <v>0.366</v>
      </c>
      <c r="AC228" s="616"/>
      <c r="AD228" s="616"/>
      <c r="AE228" s="616">
        <v>0.3</v>
      </c>
      <c r="AF228" s="616"/>
      <c r="AG228" s="615">
        <f t="shared" si="195"/>
        <v>105.4114</v>
      </c>
      <c r="AH228" s="615">
        <f t="shared" si="196"/>
        <v>87.7354</v>
      </c>
      <c r="AI228" s="616">
        <f t="shared" si="197"/>
        <v>50.3564</v>
      </c>
      <c r="AJ228" s="616">
        <f t="shared" si="198"/>
        <v>0</v>
      </c>
      <c r="AK228" s="616">
        <f t="shared" si="199"/>
        <v>18.069</v>
      </c>
      <c r="AL228" s="616">
        <f t="shared" si="200"/>
        <v>0</v>
      </c>
      <c r="AM228" s="616">
        <f t="shared" si="201"/>
        <v>0</v>
      </c>
      <c r="AN228" s="616">
        <f t="shared" si="202"/>
        <v>19.31</v>
      </c>
      <c r="AO228" s="615">
        <f t="shared" si="203"/>
        <v>17.676</v>
      </c>
      <c r="AP228" s="616">
        <f t="shared" si="204"/>
        <v>10.876</v>
      </c>
      <c r="AQ228" s="616">
        <f t="shared" si="205"/>
        <v>0</v>
      </c>
      <c r="AR228" s="616">
        <f t="shared" si="206"/>
        <v>0</v>
      </c>
      <c r="AS228" s="616">
        <f t="shared" si="207"/>
        <v>0.3</v>
      </c>
      <c r="AT228" s="637">
        <f t="shared" si="208"/>
        <v>6.5</v>
      </c>
      <c r="AU228" s="638">
        <f t="shared" si="242"/>
        <v>32.86612</v>
      </c>
      <c r="AV228" s="616">
        <f t="shared" si="243"/>
        <v>12.2864</v>
      </c>
      <c r="AW228" s="616">
        <f t="shared" si="244"/>
        <v>6.1432</v>
      </c>
      <c r="AX228" s="616">
        <f t="shared" si="245"/>
        <v>4.6074</v>
      </c>
      <c r="AY228" s="616">
        <f t="shared" si="246"/>
        <v>0.15358</v>
      </c>
      <c r="AZ228" s="616">
        <f t="shared" si="247"/>
        <v>0.46074</v>
      </c>
      <c r="BA228" s="616">
        <f t="shared" si="248"/>
        <v>9.2148</v>
      </c>
      <c r="BB228" s="616"/>
      <c r="BC228" s="615">
        <f t="shared" si="210"/>
        <v>1.0748792</v>
      </c>
      <c r="BD228" s="616">
        <f t="shared" si="211"/>
        <v>0.401824</v>
      </c>
      <c r="BE228" s="616">
        <f t="shared" si="212"/>
        <v>0.200912</v>
      </c>
      <c r="BF228" s="616">
        <f t="shared" si="213"/>
        <v>0.150684</v>
      </c>
      <c r="BG228" s="616">
        <f t="shared" si="214"/>
        <v>0.0050228</v>
      </c>
      <c r="BH228" s="616">
        <f t="shared" si="215"/>
        <v>0.0150684</v>
      </c>
      <c r="BI228" s="616">
        <f t="shared" si="216"/>
        <v>0.301368</v>
      </c>
      <c r="BJ228" s="616"/>
      <c r="BK228" s="615">
        <f t="shared" si="217"/>
        <v>33.9409992</v>
      </c>
      <c r="BL228" s="616">
        <f t="shared" si="218"/>
        <v>12.688224</v>
      </c>
      <c r="BM228" s="616">
        <f t="shared" si="219"/>
        <v>6.344112</v>
      </c>
      <c r="BN228" s="616">
        <f t="shared" si="220"/>
        <v>4.758084</v>
      </c>
      <c r="BO228" s="616">
        <f t="shared" si="221"/>
        <v>0.1586028</v>
      </c>
      <c r="BP228" s="616">
        <f t="shared" si="222"/>
        <v>0.4758084</v>
      </c>
      <c r="BQ228" s="616">
        <f t="shared" si="223"/>
        <v>9.516168</v>
      </c>
      <c r="BR228" s="616">
        <f t="shared" si="224"/>
        <v>0</v>
      </c>
      <c r="BS228" s="304"/>
    </row>
    <row r="229" s="132" customFormat="1" ht="24" spans="1:71">
      <c r="A229" s="497" t="s">
        <v>504</v>
      </c>
      <c r="B229" s="497" t="s">
        <v>206</v>
      </c>
      <c r="C229" s="497" t="s">
        <v>509</v>
      </c>
      <c r="D229" s="497" t="s">
        <v>510</v>
      </c>
      <c r="E229" s="615">
        <f t="shared" si="239"/>
        <v>67.2</v>
      </c>
      <c r="F229" s="615">
        <f t="shared" si="240"/>
        <v>56.09</v>
      </c>
      <c r="G229" s="396">
        <v>32.7</v>
      </c>
      <c r="H229" s="396">
        <v>0</v>
      </c>
      <c r="I229" s="396">
        <v>11.84</v>
      </c>
      <c r="J229" s="616"/>
      <c r="K229" s="616"/>
      <c r="L229" s="616">
        <v>11.55</v>
      </c>
      <c r="M229" s="615">
        <f t="shared" si="241"/>
        <v>11.11</v>
      </c>
      <c r="N229" s="616">
        <v>7.11</v>
      </c>
      <c r="O229" s="616"/>
      <c r="P229" s="616"/>
      <c r="Q229" s="616"/>
      <c r="R229" s="616">
        <v>4</v>
      </c>
      <c r="S229" s="615">
        <f t="shared" si="192"/>
        <v>3.66812</v>
      </c>
      <c r="T229" s="615">
        <f t="shared" si="193"/>
        <v>2.3345</v>
      </c>
      <c r="U229" s="616">
        <v>0.67</v>
      </c>
      <c r="V229" s="616"/>
      <c r="W229" s="616">
        <v>1.2</v>
      </c>
      <c r="X229" s="616"/>
      <c r="Y229" s="616"/>
      <c r="Z229" s="616">
        <v>0.4645</v>
      </c>
      <c r="AA229" s="615">
        <f t="shared" si="194"/>
        <v>1.33362</v>
      </c>
      <c r="AB229" s="616">
        <v>0.73362</v>
      </c>
      <c r="AC229" s="616"/>
      <c r="AD229" s="616"/>
      <c r="AE229" s="616">
        <v>0.6</v>
      </c>
      <c r="AF229" s="616"/>
      <c r="AG229" s="615">
        <f t="shared" si="195"/>
        <v>70.86812</v>
      </c>
      <c r="AH229" s="615">
        <f t="shared" si="196"/>
        <v>58.4245</v>
      </c>
      <c r="AI229" s="616">
        <f t="shared" si="197"/>
        <v>33.37</v>
      </c>
      <c r="AJ229" s="616">
        <f t="shared" si="198"/>
        <v>0</v>
      </c>
      <c r="AK229" s="616">
        <f t="shared" si="199"/>
        <v>13.04</v>
      </c>
      <c r="AL229" s="616">
        <f t="shared" si="200"/>
        <v>0</v>
      </c>
      <c r="AM229" s="616">
        <f t="shared" si="201"/>
        <v>0</v>
      </c>
      <c r="AN229" s="616">
        <f t="shared" si="202"/>
        <v>12.0145</v>
      </c>
      <c r="AO229" s="615">
        <f t="shared" si="203"/>
        <v>12.44362</v>
      </c>
      <c r="AP229" s="616">
        <f t="shared" si="204"/>
        <v>7.84362</v>
      </c>
      <c r="AQ229" s="616">
        <f t="shared" si="205"/>
        <v>0</v>
      </c>
      <c r="AR229" s="616">
        <f t="shared" si="206"/>
        <v>0</v>
      </c>
      <c r="AS229" s="616">
        <f t="shared" si="207"/>
        <v>0.6</v>
      </c>
      <c r="AT229" s="637">
        <f t="shared" si="208"/>
        <v>4</v>
      </c>
      <c r="AU229" s="638">
        <f t="shared" si="242"/>
        <v>22.1062</v>
      </c>
      <c r="AV229" s="616">
        <f t="shared" si="243"/>
        <v>8.264</v>
      </c>
      <c r="AW229" s="616">
        <f t="shared" si="244"/>
        <v>4.132</v>
      </c>
      <c r="AX229" s="616">
        <f t="shared" si="245"/>
        <v>3.099</v>
      </c>
      <c r="AY229" s="616">
        <f t="shared" si="246"/>
        <v>0.1033</v>
      </c>
      <c r="AZ229" s="616">
        <f t="shared" si="247"/>
        <v>0.3099</v>
      </c>
      <c r="BA229" s="616">
        <f t="shared" si="248"/>
        <v>6.198</v>
      </c>
      <c r="BB229" s="616"/>
      <c r="BC229" s="615">
        <f t="shared" si="210"/>
        <v>1.11434936</v>
      </c>
      <c r="BD229" s="616">
        <f t="shared" si="211"/>
        <v>0.4165792</v>
      </c>
      <c r="BE229" s="616">
        <f t="shared" si="212"/>
        <v>0.2082896</v>
      </c>
      <c r="BF229" s="616">
        <f t="shared" si="213"/>
        <v>0.1562172</v>
      </c>
      <c r="BG229" s="616">
        <f t="shared" si="214"/>
        <v>0.00520724</v>
      </c>
      <c r="BH229" s="616">
        <f t="shared" si="215"/>
        <v>0.01562172</v>
      </c>
      <c r="BI229" s="616">
        <f t="shared" si="216"/>
        <v>0.3124344</v>
      </c>
      <c r="BJ229" s="616"/>
      <c r="BK229" s="615">
        <f t="shared" si="217"/>
        <v>23.22054936</v>
      </c>
      <c r="BL229" s="616">
        <f t="shared" si="218"/>
        <v>8.6805792</v>
      </c>
      <c r="BM229" s="616">
        <f t="shared" si="219"/>
        <v>4.3402896</v>
      </c>
      <c r="BN229" s="616">
        <f t="shared" si="220"/>
        <v>3.2552172</v>
      </c>
      <c r="BO229" s="616">
        <f t="shared" si="221"/>
        <v>0.10850724</v>
      </c>
      <c r="BP229" s="616">
        <f t="shared" si="222"/>
        <v>0.32552172</v>
      </c>
      <c r="BQ229" s="616">
        <f t="shared" si="223"/>
        <v>6.5104344</v>
      </c>
      <c r="BR229" s="616">
        <f t="shared" si="224"/>
        <v>0</v>
      </c>
      <c r="BS229" s="304"/>
    </row>
    <row r="230" s="132" customFormat="1" ht="36" spans="1:71">
      <c r="A230" s="497" t="s">
        <v>504</v>
      </c>
      <c r="B230" s="497" t="s">
        <v>206</v>
      </c>
      <c r="C230" s="497" t="s">
        <v>511</v>
      </c>
      <c r="D230" s="497" t="s">
        <v>512</v>
      </c>
      <c r="E230" s="615">
        <f t="shared" si="239"/>
        <v>51.22</v>
      </c>
      <c r="F230" s="615">
        <f t="shared" si="240"/>
        <v>42.84</v>
      </c>
      <c r="G230" s="396">
        <v>25.02</v>
      </c>
      <c r="H230" s="396"/>
      <c r="I230" s="396">
        <v>8.96</v>
      </c>
      <c r="J230" s="616"/>
      <c r="K230" s="616"/>
      <c r="L230" s="616">
        <v>8.86</v>
      </c>
      <c r="M230" s="615">
        <f t="shared" si="241"/>
        <v>8.38</v>
      </c>
      <c r="N230" s="616">
        <v>5.38</v>
      </c>
      <c r="O230" s="616"/>
      <c r="P230" s="616"/>
      <c r="Q230" s="616"/>
      <c r="R230" s="616">
        <v>3</v>
      </c>
      <c r="S230" s="615">
        <f t="shared" si="192"/>
        <v>0.73</v>
      </c>
      <c r="T230" s="615">
        <f t="shared" si="193"/>
        <v>0.58</v>
      </c>
      <c r="U230" s="616">
        <v>0.58</v>
      </c>
      <c r="V230" s="616"/>
      <c r="W230" s="616"/>
      <c r="X230" s="616"/>
      <c r="Y230" s="616"/>
      <c r="Z230" s="616"/>
      <c r="AA230" s="615">
        <f t="shared" si="194"/>
        <v>0.15</v>
      </c>
      <c r="AB230" s="616"/>
      <c r="AC230" s="616"/>
      <c r="AD230" s="616"/>
      <c r="AE230" s="616">
        <v>0.15</v>
      </c>
      <c r="AF230" s="616"/>
      <c r="AG230" s="615">
        <f t="shared" si="195"/>
        <v>51.95</v>
      </c>
      <c r="AH230" s="615">
        <f t="shared" si="196"/>
        <v>43.42</v>
      </c>
      <c r="AI230" s="616">
        <f t="shared" si="197"/>
        <v>25.6</v>
      </c>
      <c r="AJ230" s="616">
        <f t="shared" si="198"/>
        <v>0</v>
      </c>
      <c r="AK230" s="616">
        <f t="shared" si="199"/>
        <v>8.96</v>
      </c>
      <c r="AL230" s="616">
        <f t="shared" si="200"/>
        <v>0</v>
      </c>
      <c r="AM230" s="616">
        <f t="shared" si="201"/>
        <v>0</v>
      </c>
      <c r="AN230" s="616">
        <f t="shared" si="202"/>
        <v>8.86</v>
      </c>
      <c r="AO230" s="615">
        <f t="shared" si="203"/>
        <v>8.53</v>
      </c>
      <c r="AP230" s="616">
        <f t="shared" si="204"/>
        <v>5.38</v>
      </c>
      <c r="AQ230" s="616">
        <f t="shared" si="205"/>
        <v>0</v>
      </c>
      <c r="AR230" s="616">
        <f t="shared" si="206"/>
        <v>0</v>
      </c>
      <c r="AS230" s="616">
        <f t="shared" si="207"/>
        <v>0.15</v>
      </c>
      <c r="AT230" s="637">
        <f t="shared" si="208"/>
        <v>3</v>
      </c>
      <c r="AU230" s="638">
        <f t="shared" si="242"/>
        <v>2484.84608</v>
      </c>
      <c r="AV230" s="616">
        <f t="shared" si="243"/>
        <v>6.2976</v>
      </c>
      <c r="AW230" s="616">
        <f t="shared" si="244"/>
        <v>3.1488</v>
      </c>
      <c r="AX230" s="616">
        <f t="shared" si="245"/>
        <v>2.3616</v>
      </c>
      <c r="AY230" s="616">
        <f t="shared" si="246"/>
        <v>0.07872</v>
      </c>
      <c r="AZ230" s="616">
        <f t="shared" si="247"/>
        <v>0.23616</v>
      </c>
      <c r="BA230" s="616">
        <f t="shared" si="248"/>
        <v>4.7232</v>
      </c>
      <c r="BB230" s="616">
        <v>2468</v>
      </c>
      <c r="BC230" s="615">
        <f t="shared" si="210"/>
        <v>0.24824</v>
      </c>
      <c r="BD230" s="616">
        <f t="shared" si="211"/>
        <v>0.0928</v>
      </c>
      <c r="BE230" s="616">
        <f t="shared" si="212"/>
        <v>0.0464</v>
      </c>
      <c r="BF230" s="616">
        <f t="shared" si="213"/>
        <v>0.0348</v>
      </c>
      <c r="BG230" s="616">
        <f t="shared" si="214"/>
        <v>0.00116</v>
      </c>
      <c r="BH230" s="616">
        <f t="shared" si="215"/>
        <v>0.00348</v>
      </c>
      <c r="BI230" s="616">
        <f t="shared" si="216"/>
        <v>0.0696</v>
      </c>
      <c r="BJ230" s="616"/>
      <c r="BK230" s="615">
        <f t="shared" si="217"/>
        <v>2485.09432</v>
      </c>
      <c r="BL230" s="616">
        <f t="shared" si="218"/>
        <v>6.3904</v>
      </c>
      <c r="BM230" s="616">
        <f t="shared" si="219"/>
        <v>3.1952</v>
      </c>
      <c r="BN230" s="616">
        <f t="shared" si="220"/>
        <v>2.3964</v>
      </c>
      <c r="BO230" s="616">
        <f t="shared" si="221"/>
        <v>0.07988</v>
      </c>
      <c r="BP230" s="616">
        <f t="shared" si="222"/>
        <v>0.23964</v>
      </c>
      <c r="BQ230" s="616">
        <f t="shared" si="223"/>
        <v>4.7928</v>
      </c>
      <c r="BR230" s="616">
        <f t="shared" si="224"/>
        <v>2468</v>
      </c>
      <c r="BS230" s="304"/>
    </row>
    <row r="231" s="132" customFormat="1" ht="36" spans="1:71">
      <c r="A231" s="497" t="s">
        <v>504</v>
      </c>
      <c r="B231" s="497" t="s">
        <v>206</v>
      </c>
      <c r="C231" s="497" t="s">
        <v>513</v>
      </c>
      <c r="D231" s="497" t="s">
        <v>512</v>
      </c>
      <c r="E231" s="615">
        <f t="shared" si="239"/>
        <v>90.73</v>
      </c>
      <c r="F231" s="615">
        <f t="shared" si="240"/>
        <v>75.81</v>
      </c>
      <c r="G231" s="616">
        <v>44.58</v>
      </c>
      <c r="H231" s="616"/>
      <c r="I231" s="616">
        <v>15.7</v>
      </c>
      <c r="J231" s="616"/>
      <c r="K231" s="616"/>
      <c r="L231" s="616">
        <v>15.53</v>
      </c>
      <c r="M231" s="615">
        <f t="shared" si="241"/>
        <v>14.92</v>
      </c>
      <c r="N231" s="616">
        <v>9.42</v>
      </c>
      <c r="O231" s="616"/>
      <c r="P231" s="616"/>
      <c r="Q231" s="616"/>
      <c r="R231" s="616">
        <v>5.5</v>
      </c>
      <c r="S231" s="615">
        <f t="shared" si="192"/>
        <v>4.19</v>
      </c>
      <c r="T231" s="615">
        <f t="shared" si="193"/>
        <v>3.6</v>
      </c>
      <c r="U231" s="616">
        <v>1.89</v>
      </c>
      <c r="V231" s="616"/>
      <c r="W231" s="616">
        <v>0.73</v>
      </c>
      <c r="X231" s="616"/>
      <c r="Y231" s="616"/>
      <c r="Z231" s="616">
        <v>0.98</v>
      </c>
      <c r="AA231" s="615">
        <f t="shared" si="194"/>
        <v>0.59</v>
      </c>
      <c r="AB231" s="616">
        <v>0.44</v>
      </c>
      <c r="AC231" s="616"/>
      <c r="AD231" s="616"/>
      <c r="AE231" s="616">
        <v>0.15</v>
      </c>
      <c r="AF231" s="616"/>
      <c r="AG231" s="615">
        <f t="shared" si="195"/>
        <v>94.92</v>
      </c>
      <c r="AH231" s="615">
        <f t="shared" si="196"/>
        <v>79.41</v>
      </c>
      <c r="AI231" s="616">
        <f t="shared" si="197"/>
        <v>46.47</v>
      </c>
      <c r="AJ231" s="616">
        <f t="shared" si="198"/>
        <v>0</v>
      </c>
      <c r="AK231" s="616">
        <f t="shared" si="199"/>
        <v>16.43</v>
      </c>
      <c r="AL231" s="616">
        <f t="shared" si="200"/>
        <v>0</v>
      </c>
      <c r="AM231" s="616">
        <f t="shared" si="201"/>
        <v>0</v>
      </c>
      <c r="AN231" s="616">
        <f t="shared" si="202"/>
        <v>16.51</v>
      </c>
      <c r="AO231" s="615">
        <f t="shared" si="203"/>
        <v>15.51</v>
      </c>
      <c r="AP231" s="616">
        <f t="shared" si="204"/>
        <v>9.86</v>
      </c>
      <c r="AQ231" s="616">
        <f t="shared" si="205"/>
        <v>0</v>
      </c>
      <c r="AR231" s="616">
        <f t="shared" si="206"/>
        <v>0</v>
      </c>
      <c r="AS231" s="616">
        <f t="shared" si="207"/>
        <v>0.15</v>
      </c>
      <c r="AT231" s="637">
        <f t="shared" si="208"/>
        <v>5.5</v>
      </c>
      <c r="AU231" s="638">
        <f t="shared" si="242"/>
        <v>29.8316</v>
      </c>
      <c r="AV231" s="616">
        <f t="shared" si="243"/>
        <v>11.152</v>
      </c>
      <c r="AW231" s="616">
        <f t="shared" si="244"/>
        <v>5.576</v>
      </c>
      <c r="AX231" s="616">
        <f t="shared" si="245"/>
        <v>4.182</v>
      </c>
      <c r="AY231" s="616">
        <f t="shared" si="246"/>
        <v>0.1394</v>
      </c>
      <c r="AZ231" s="616">
        <f t="shared" si="247"/>
        <v>0.4182</v>
      </c>
      <c r="BA231" s="616">
        <f t="shared" si="248"/>
        <v>8.364</v>
      </c>
      <c r="BB231" s="616"/>
      <c r="BC231" s="615">
        <f t="shared" si="210"/>
        <v>1.30968</v>
      </c>
      <c r="BD231" s="616">
        <f t="shared" si="211"/>
        <v>0.4896</v>
      </c>
      <c r="BE231" s="616">
        <f t="shared" si="212"/>
        <v>0.2448</v>
      </c>
      <c r="BF231" s="616">
        <f t="shared" si="213"/>
        <v>0.1836</v>
      </c>
      <c r="BG231" s="616">
        <f t="shared" si="214"/>
        <v>0.00612</v>
      </c>
      <c r="BH231" s="616">
        <f t="shared" si="215"/>
        <v>0.01836</v>
      </c>
      <c r="BI231" s="616">
        <f t="shared" si="216"/>
        <v>0.3672</v>
      </c>
      <c r="BJ231" s="616"/>
      <c r="BK231" s="615">
        <f t="shared" si="217"/>
        <v>31.14128</v>
      </c>
      <c r="BL231" s="616">
        <f t="shared" si="218"/>
        <v>11.6416</v>
      </c>
      <c r="BM231" s="616">
        <f t="shared" si="219"/>
        <v>5.8208</v>
      </c>
      <c r="BN231" s="616">
        <f t="shared" si="220"/>
        <v>4.3656</v>
      </c>
      <c r="BO231" s="616">
        <f t="shared" si="221"/>
        <v>0.14552</v>
      </c>
      <c r="BP231" s="616">
        <f t="shared" si="222"/>
        <v>0.43656</v>
      </c>
      <c r="BQ231" s="616">
        <f t="shared" si="223"/>
        <v>8.7312</v>
      </c>
      <c r="BR231" s="616">
        <f t="shared" si="224"/>
        <v>0</v>
      </c>
      <c r="BS231" s="304"/>
    </row>
    <row r="232" s="132" customFormat="1" ht="24" spans="1:71">
      <c r="A232" s="497" t="s">
        <v>504</v>
      </c>
      <c r="B232" s="497" t="s">
        <v>203</v>
      </c>
      <c r="C232" s="497" t="s">
        <v>514</v>
      </c>
      <c r="D232" s="497" t="s">
        <v>515</v>
      </c>
      <c r="E232" s="615">
        <f t="shared" si="239"/>
        <v>0</v>
      </c>
      <c r="F232" s="615">
        <f t="shared" si="240"/>
        <v>0</v>
      </c>
      <c r="G232" s="616"/>
      <c r="H232" s="616"/>
      <c r="I232" s="616"/>
      <c r="J232" s="616"/>
      <c r="K232" s="616"/>
      <c r="L232" s="616"/>
      <c r="M232" s="615">
        <f t="shared" si="241"/>
        <v>0</v>
      </c>
      <c r="N232" s="616"/>
      <c r="O232" s="616"/>
      <c r="P232" s="616"/>
      <c r="Q232" s="616"/>
      <c r="R232" s="616"/>
      <c r="S232" s="615">
        <f t="shared" si="192"/>
        <v>0</v>
      </c>
      <c r="T232" s="615">
        <f t="shared" si="193"/>
        <v>0</v>
      </c>
      <c r="U232" s="616"/>
      <c r="V232" s="616"/>
      <c r="W232" s="616"/>
      <c r="X232" s="616"/>
      <c r="Y232" s="616"/>
      <c r="Z232" s="616"/>
      <c r="AA232" s="615">
        <f t="shared" si="194"/>
        <v>0</v>
      </c>
      <c r="AB232" s="616"/>
      <c r="AC232" s="616"/>
      <c r="AD232" s="616"/>
      <c r="AE232" s="616"/>
      <c r="AF232" s="616"/>
      <c r="AG232" s="615">
        <f t="shared" si="195"/>
        <v>0</v>
      </c>
      <c r="AH232" s="615">
        <f t="shared" si="196"/>
        <v>0</v>
      </c>
      <c r="AI232" s="616">
        <f t="shared" si="197"/>
        <v>0</v>
      </c>
      <c r="AJ232" s="616">
        <f t="shared" si="198"/>
        <v>0</v>
      </c>
      <c r="AK232" s="616">
        <f t="shared" si="199"/>
        <v>0</v>
      </c>
      <c r="AL232" s="616">
        <f t="shared" si="200"/>
        <v>0</v>
      </c>
      <c r="AM232" s="616">
        <f t="shared" si="201"/>
        <v>0</v>
      </c>
      <c r="AN232" s="616">
        <f t="shared" si="202"/>
        <v>0</v>
      </c>
      <c r="AO232" s="615">
        <f t="shared" si="203"/>
        <v>0</v>
      </c>
      <c r="AP232" s="616">
        <f t="shared" si="204"/>
        <v>0</v>
      </c>
      <c r="AQ232" s="616">
        <f t="shared" si="205"/>
        <v>0</v>
      </c>
      <c r="AR232" s="616">
        <f t="shared" si="206"/>
        <v>0</v>
      </c>
      <c r="AS232" s="616">
        <f t="shared" si="207"/>
        <v>0</v>
      </c>
      <c r="AT232" s="637">
        <f t="shared" si="208"/>
        <v>0</v>
      </c>
      <c r="AU232" s="638">
        <f t="shared" si="242"/>
        <v>0</v>
      </c>
      <c r="AV232" s="616">
        <f t="shared" si="243"/>
        <v>0</v>
      </c>
      <c r="AW232" s="616">
        <f t="shared" si="244"/>
        <v>0</v>
      </c>
      <c r="AX232" s="616">
        <f t="shared" si="245"/>
        <v>0</v>
      </c>
      <c r="AY232" s="616">
        <f t="shared" si="246"/>
        <v>0</v>
      </c>
      <c r="AZ232" s="616">
        <f t="shared" si="247"/>
        <v>0</v>
      </c>
      <c r="BA232" s="616">
        <f t="shared" si="248"/>
        <v>0</v>
      </c>
      <c r="BB232" s="616"/>
      <c r="BC232" s="615">
        <f t="shared" si="210"/>
        <v>0</v>
      </c>
      <c r="BD232" s="616">
        <f t="shared" si="211"/>
        <v>0</v>
      </c>
      <c r="BE232" s="616">
        <f t="shared" si="212"/>
        <v>0</v>
      </c>
      <c r="BF232" s="616">
        <f t="shared" si="213"/>
        <v>0</v>
      </c>
      <c r="BG232" s="616">
        <f t="shared" si="214"/>
        <v>0</v>
      </c>
      <c r="BH232" s="616">
        <f t="shared" si="215"/>
        <v>0</v>
      </c>
      <c r="BI232" s="616">
        <f t="shared" si="216"/>
        <v>0</v>
      </c>
      <c r="BJ232" s="616"/>
      <c r="BK232" s="615">
        <f t="shared" si="217"/>
        <v>0</v>
      </c>
      <c r="BL232" s="616">
        <f t="shared" si="218"/>
        <v>0</v>
      </c>
      <c r="BM232" s="616">
        <f t="shared" si="219"/>
        <v>0</v>
      </c>
      <c r="BN232" s="616">
        <f t="shared" si="220"/>
        <v>0</v>
      </c>
      <c r="BO232" s="616">
        <f t="shared" si="221"/>
        <v>0</v>
      </c>
      <c r="BP232" s="616">
        <f t="shared" si="222"/>
        <v>0</v>
      </c>
      <c r="BQ232" s="616">
        <f t="shared" si="223"/>
        <v>0</v>
      </c>
      <c r="BR232" s="616">
        <f t="shared" si="224"/>
        <v>0</v>
      </c>
      <c r="BS232" s="304"/>
    </row>
    <row r="233" s="132" customFormat="1" ht="36" spans="1:71">
      <c r="A233" s="497" t="s">
        <v>504</v>
      </c>
      <c r="B233" s="497" t="s">
        <v>206</v>
      </c>
      <c r="C233" s="497" t="s">
        <v>517</v>
      </c>
      <c r="D233" s="497" t="s">
        <v>518</v>
      </c>
      <c r="E233" s="615">
        <f t="shared" si="239"/>
        <v>167.81</v>
      </c>
      <c r="F233" s="615">
        <f t="shared" si="240"/>
        <v>149.38</v>
      </c>
      <c r="G233" s="396">
        <v>87.14</v>
      </c>
      <c r="H233" s="396"/>
      <c r="I233" s="396">
        <v>31.7</v>
      </c>
      <c r="J233" s="616"/>
      <c r="K233" s="616"/>
      <c r="L233" s="616">
        <v>30.54</v>
      </c>
      <c r="M233" s="615">
        <f t="shared" si="241"/>
        <v>18.43</v>
      </c>
      <c r="N233" s="396">
        <v>7.43</v>
      </c>
      <c r="O233" s="616"/>
      <c r="P233" s="616"/>
      <c r="Q233" s="616"/>
      <c r="R233" s="616">
        <v>11</v>
      </c>
      <c r="S233" s="615">
        <f t="shared" si="192"/>
        <v>26.37</v>
      </c>
      <c r="T233" s="615">
        <f t="shared" si="193"/>
        <v>12.56</v>
      </c>
      <c r="U233" s="616">
        <v>7.39</v>
      </c>
      <c r="V233" s="616"/>
      <c r="W233" s="616">
        <v>3.75</v>
      </c>
      <c r="X233" s="616"/>
      <c r="Y233" s="616"/>
      <c r="Z233" s="616">
        <v>1.42</v>
      </c>
      <c r="AA233" s="615">
        <f t="shared" si="194"/>
        <v>13.81</v>
      </c>
      <c r="AB233" s="616">
        <v>13.81</v>
      </c>
      <c r="AC233" s="616"/>
      <c r="AD233" s="616"/>
      <c r="AE233" s="616"/>
      <c r="AF233" s="616"/>
      <c r="AG233" s="615">
        <f t="shared" si="195"/>
        <v>194.18</v>
      </c>
      <c r="AH233" s="615">
        <f t="shared" si="196"/>
        <v>161.94</v>
      </c>
      <c r="AI233" s="616">
        <f t="shared" si="197"/>
        <v>94.53</v>
      </c>
      <c r="AJ233" s="616">
        <f t="shared" si="198"/>
        <v>0</v>
      </c>
      <c r="AK233" s="616">
        <f t="shared" si="199"/>
        <v>35.45</v>
      </c>
      <c r="AL233" s="616">
        <f t="shared" si="200"/>
        <v>0</v>
      </c>
      <c r="AM233" s="616">
        <f t="shared" si="201"/>
        <v>0</v>
      </c>
      <c r="AN233" s="616">
        <f t="shared" si="202"/>
        <v>31.96</v>
      </c>
      <c r="AO233" s="615">
        <f t="shared" si="203"/>
        <v>32.24</v>
      </c>
      <c r="AP233" s="616">
        <f t="shared" si="204"/>
        <v>21.24</v>
      </c>
      <c r="AQ233" s="616">
        <f t="shared" si="205"/>
        <v>0</v>
      </c>
      <c r="AR233" s="616">
        <f t="shared" si="206"/>
        <v>0</v>
      </c>
      <c r="AS233" s="616">
        <f t="shared" si="207"/>
        <v>0</v>
      </c>
      <c r="AT233" s="637">
        <f t="shared" si="208"/>
        <v>11</v>
      </c>
      <c r="AU233" s="638">
        <f t="shared" si="242"/>
        <v>54.04356</v>
      </c>
      <c r="AV233" s="616">
        <f t="shared" si="243"/>
        <v>20.2032</v>
      </c>
      <c r="AW233" s="616">
        <f t="shared" si="244"/>
        <v>10.1016</v>
      </c>
      <c r="AX233" s="616">
        <f t="shared" si="245"/>
        <v>7.5762</v>
      </c>
      <c r="AY233" s="616">
        <f t="shared" si="246"/>
        <v>0.25254</v>
      </c>
      <c r="AZ233" s="616">
        <f t="shared" si="247"/>
        <v>0.75762</v>
      </c>
      <c r="BA233" s="616">
        <f t="shared" si="248"/>
        <v>15.1524</v>
      </c>
      <c r="BB233" s="616"/>
      <c r="BC233" s="615">
        <f t="shared" si="210"/>
        <v>10.6786</v>
      </c>
      <c r="BD233" s="616">
        <f t="shared" si="211"/>
        <v>3.992</v>
      </c>
      <c r="BE233" s="616">
        <f t="shared" si="212"/>
        <v>1.996</v>
      </c>
      <c r="BF233" s="616">
        <f t="shared" si="213"/>
        <v>1.497</v>
      </c>
      <c r="BG233" s="616">
        <f t="shared" si="214"/>
        <v>0.0499</v>
      </c>
      <c r="BH233" s="616">
        <f t="shared" si="215"/>
        <v>0.1497</v>
      </c>
      <c r="BI233" s="616">
        <f t="shared" si="216"/>
        <v>2.994</v>
      </c>
      <c r="BJ233" s="616"/>
      <c r="BK233" s="615">
        <f t="shared" si="217"/>
        <v>64.72216</v>
      </c>
      <c r="BL233" s="616">
        <f t="shared" si="218"/>
        <v>24.1952</v>
      </c>
      <c r="BM233" s="616">
        <f t="shared" si="219"/>
        <v>12.0976</v>
      </c>
      <c r="BN233" s="616">
        <f t="shared" si="220"/>
        <v>9.0732</v>
      </c>
      <c r="BO233" s="616">
        <f t="shared" si="221"/>
        <v>0.30244</v>
      </c>
      <c r="BP233" s="616">
        <f t="shared" si="222"/>
        <v>0.90732</v>
      </c>
      <c r="BQ233" s="616">
        <f t="shared" si="223"/>
        <v>18.1464</v>
      </c>
      <c r="BR233" s="616">
        <f t="shared" si="224"/>
        <v>0</v>
      </c>
      <c r="BS233" s="304"/>
    </row>
    <row r="234" s="132" customFormat="1" ht="24" spans="1:71">
      <c r="A234" s="497" t="s">
        <v>504</v>
      </c>
      <c r="B234" s="497" t="s">
        <v>203</v>
      </c>
      <c r="C234" s="497" t="s">
        <v>519</v>
      </c>
      <c r="D234" s="497" t="s">
        <v>520</v>
      </c>
      <c r="E234" s="615">
        <f t="shared" si="239"/>
        <v>0</v>
      </c>
      <c r="F234" s="615">
        <f t="shared" si="240"/>
        <v>0</v>
      </c>
      <c r="G234" s="616"/>
      <c r="H234" s="616"/>
      <c r="I234" s="616"/>
      <c r="J234" s="616"/>
      <c r="K234" s="616"/>
      <c r="L234" s="616"/>
      <c r="M234" s="615">
        <f t="shared" si="241"/>
        <v>0</v>
      </c>
      <c r="N234" s="616"/>
      <c r="O234" s="616"/>
      <c r="P234" s="616"/>
      <c r="Q234" s="616"/>
      <c r="R234" s="616"/>
      <c r="S234" s="615">
        <f t="shared" si="192"/>
        <v>0</v>
      </c>
      <c r="T234" s="615">
        <f t="shared" si="193"/>
        <v>0</v>
      </c>
      <c r="U234" s="616"/>
      <c r="V234" s="616"/>
      <c r="W234" s="616"/>
      <c r="X234" s="616"/>
      <c r="Y234" s="616"/>
      <c r="Z234" s="616"/>
      <c r="AA234" s="615">
        <f t="shared" si="194"/>
        <v>0</v>
      </c>
      <c r="AB234" s="616"/>
      <c r="AC234" s="616"/>
      <c r="AD234" s="616"/>
      <c r="AE234" s="616"/>
      <c r="AF234" s="616"/>
      <c r="AG234" s="615">
        <f t="shared" si="195"/>
        <v>0</v>
      </c>
      <c r="AH234" s="615">
        <f t="shared" si="196"/>
        <v>0</v>
      </c>
      <c r="AI234" s="616">
        <f t="shared" si="197"/>
        <v>0</v>
      </c>
      <c r="AJ234" s="616">
        <f t="shared" si="198"/>
        <v>0</v>
      </c>
      <c r="AK234" s="616">
        <f t="shared" si="199"/>
        <v>0</v>
      </c>
      <c r="AL234" s="616">
        <f t="shared" si="200"/>
        <v>0</v>
      </c>
      <c r="AM234" s="616">
        <f t="shared" si="201"/>
        <v>0</v>
      </c>
      <c r="AN234" s="616">
        <f t="shared" si="202"/>
        <v>0</v>
      </c>
      <c r="AO234" s="615">
        <f t="shared" si="203"/>
        <v>0</v>
      </c>
      <c r="AP234" s="616">
        <f t="shared" si="204"/>
        <v>0</v>
      </c>
      <c r="AQ234" s="616">
        <f t="shared" si="205"/>
        <v>0</v>
      </c>
      <c r="AR234" s="616">
        <f t="shared" si="206"/>
        <v>0</v>
      </c>
      <c r="AS234" s="616">
        <f t="shared" si="207"/>
        <v>0</v>
      </c>
      <c r="AT234" s="637">
        <f t="shared" si="208"/>
        <v>0</v>
      </c>
      <c r="AU234" s="638">
        <f t="shared" si="242"/>
        <v>0</v>
      </c>
      <c r="AV234" s="616">
        <f t="shared" si="243"/>
        <v>0</v>
      </c>
      <c r="AW234" s="616">
        <f t="shared" si="244"/>
        <v>0</v>
      </c>
      <c r="AX234" s="616">
        <f t="shared" si="245"/>
        <v>0</v>
      </c>
      <c r="AY234" s="616">
        <f t="shared" si="246"/>
        <v>0</v>
      </c>
      <c r="AZ234" s="616">
        <f t="shared" si="247"/>
        <v>0</v>
      </c>
      <c r="BA234" s="616">
        <f t="shared" si="248"/>
        <v>0</v>
      </c>
      <c r="BB234" s="616"/>
      <c r="BC234" s="615">
        <f t="shared" si="210"/>
        <v>0</v>
      </c>
      <c r="BD234" s="616">
        <f t="shared" si="211"/>
        <v>0</v>
      </c>
      <c r="BE234" s="616">
        <f t="shared" si="212"/>
        <v>0</v>
      </c>
      <c r="BF234" s="616">
        <f t="shared" si="213"/>
        <v>0</v>
      </c>
      <c r="BG234" s="616">
        <f t="shared" si="214"/>
        <v>0</v>
      </c>
      <c r="BH234" s="616">
        <f t="shared" si="215"/>
        <v>0</v>
      </c>
      <c r="BI234" s="616">
        <f t="shared" si="216"/>
        <v>0</v>
      </c>
      <c r="BJ234" s="616"/>
      <c r="BK234" s="615">
        <f t="shared" si="217"/>
        <v>0</v>
      </c>
      <c r="BL234" s="616">
        <f t="shared" si="218"/>
        <v>0</v>
      </c>
      <c r="BM234" s="616">
        <f t="shared" si="219"/>
        <v>0</v>
      </c>
      <c r="BN234" s="616">
        <f t="shared" si="220"/>
        <v>0</v>
      </c>
      <c r="BO234" s="616">
        <f t="shared" si="221"/>
        <v>0</v>
      </c>
      <c r="BP234" s="616">
        <f t="shared" si="222"/>
        <v>0</v>
      </c>
      <c r="BQ234" s="616">
        <f t="shared" si="223"/>
        <v>0</v>
      </c>
      <c r="BR234" s="616">
        <f t="shared" si="224"/>
        <v>0</v>
      </c>
      <c r="BS234" s="304"/>
    </row>
    <row r="235" s="132" customFormat="1" ht="24" spans="1:71">
      <c r="A235" s="497" t="s">
        <v>504</v>
      </c>
      <c r="B235" s="497" t="s">
        <v>206</v>
      </c>
      <c r="C235" s="497" t="s">
        <v>521</v>
      </c>
      <c r="D235" s="497" t="s">
        <v>522</v>
      </c>
      <c r="E235" s="615">
        <f t="shared" si="239"/>
        <v>15.12</v>
      </c>
      <c r="F235" s="615">
        <f t="shared" si="240"/>
        <v>12.63</v>
      </c>
      <c r="G235" s="396">
        <v>7.58</v>
      </c>
      <c r="H235" s="396"/>
      <c r="I235" s="616">
        <v>2.45</v>
      </c>
      <c r="J235" s="616"/>
      <c r="K235" s="616"/>
      <c r="L235" s="616">
        <v>2.6</v>
      </c>
      <c r="M235" s="615">
        <f t="shared" si="241"/>
        <v>2.49</v>
      </c>
      <c r="N235" s="396">
        <v>1.49</v>
      </c>
      <c r="O235" s="616"/>
      <c r="P235" s="616"/>
      <c r="Q235" s="616"/>
      <c r="R235" s="616">
        <v>1</v>
      </c>
      <c r="S235" s="615">
        <f t="shared" si="192"/>
        <v>0.39</v>
      </c>
      <c r="T235" s="615">
        <f t="shared" si="193"/>
        <v>0.39</v>
      </c>
      <c r="U235" s="616">
        <v>0.39</v>
      </c>
      <c r="V235" s="616"/>
      <c r="W235" s="616"/>
      <c r="X235" s="616"/>
      <c r="Y235" s="616"/>
      <c r="Z235" s="616"/>
      <c r="AA235" s="615">
        <f t="shared" si="194"/>
        <v>0</v>
      </c>
      <c r="AB235" s="616"/>
      <c r="AC235" s="616"/>
      <c r="AD235" s="616"/>
      <c r="AE235" s="616"/>
      <c r="AF235" s="616"/>
      <c r="AG235" s="615">
        <f t="shared" si="195"/>
        <v>15.51</v>
      </c>
      <c r="AH235" s="615">
        <f t="shared" si="196"/>
        <v>13.02</v>
      </c>
      <c r="AI235" s="616">
        <f t="shared" si="197"/>
        <v>7.97</v>
      </c>
      <c r="AJ235" s="616">
        <f t="shared" si="198"/>
        <v>0</v>
      </c>
      <c r="AK235" s="616">
        <f t="shared" si="199"/>
        <v>2.45</v>
      </c>
      <c r="AL235" s="616">
        <f t="shared" si="200"/>
        <v>0</v>
      </c>
      <c r="AM235" s="616">
        <f t="shared" si="201"/>
        <v>0</v>
      </c>
      <c r="AN235" s="616">
        <f t="shared" si="202"/>
        <v>2.6</v>
      </c>
      <c r="AO235" s="615">
        <f t="shared" si="203"/>
        <v>2.49</v>
      </c>
      <c r="AP235" s="616">
        <f t="shared" si="204"/>
        <v>1.49</v>
      </c>
      <c r="AQ235" s="616">
        <f t="shared" si="205"/>
        <v>0</v>
      </c>
      <c r="AR235" s="616">
        <f t="shared" si="206"/>
        <v>0</v>
      </c>
      <c r="AS235" s="616">
        <f t="shared" si="207"/>
        <v>0</v>
      </c>
      <c r="AT235" s="637">
        <f t="shared" si="208"/>
        <v>1</v>
      </c>
      <c r="AU235" s="638">
        <f t="shared" si="242"/>
        <v>4.93056</v>
      </c>
      <c r="AV235" s="616">
        <f t="shared" si="243"/>
        <v>1.8432</v>
      </c>
      <c r="AW235" s="616">
        <f t="shared" si="244"/>
        <v>0.9216</v>
      </c>
      <c r="AX235" s="616">
        <f t="shared" si="245"/>
        <v>0.6912</v>
      </c>
      <c r="AY235" s="616">
        <f t="shared" si="246"/>
        <v>0.02304</v>
      </c>
      <c r="AZ235" s="616">
        <f t="shared" si="247"/>
        <v>0.06912</v>
      </c>
      <c r="BA235" s="616">
        <f t="shared" si="248"/>
        <v>1.3824</v>
      </c>
      <c r="BB235" s="616"/>
      <c r="BC235" s="615">
        <f t="shared" si="210"/>
        <v>0.16692</v>
      </c>
      <c r="BD235" s="616">
        <f t="shared" si="211"/>
        <v>0.0624</v>
      </c>
      <c r="BE235" s="616">
        <f t="shared" si="212"/>
        <v>0.0312</v>
      </c>
      <c r="BF235" s="616">
        <f t="shared" si="213"/>
        <v>0.0234</v>
      </c>
      <c r="BG235" s="616">
        <f t="shared" si="214"/>
        <v>0.00078</v>
      </c>
      <c r="BH235" s="616">
        <f t="shared" si="215"/>
        <v>0.00234</v>
      </c>
      <c r="BI235" s="616">
        <f t="shared" si="216"/>
        <v>0.0468</v>
      </c>
      <c r="BJ235" s="616"/>
      <c r="BK235" s="615">
        <f t="shared" si="217"/>
        <v>5.09748</v>
      </c>
      <c r="BL235" s="616">
        <f t="shared" si="218"/>
        <v>1.9056</v>
      </c>
      <c r="BM235" s="616">
        <f t="shared" si="219"/>
        <v>0.9528</v>
      </c>
      <c r="BN235" s="616">
        <f t="shared" si="220"/>
        <v>0.7146</v>
      </c>
      <c r="BO235" s="616">
        <f t="shared" si="221"/>
        <v>0.02382</v>
      </c>
      <c r="BP235" s="616">
        <f t="shared" si="222"/>
        <v>0.07146</v>
      </c>
      <c r="BQ235" s="616">
        <f t="shared" si="223"/>
        <v>1.4292</v>
      </c>
      <c r="BR235" s="616">
        <f t="shared" si="224"/>
        <v>0</v>
      </c>
      <c r="BS235" s="304"/>
    </row>
    <row r="236" s="132" customFormat="1" ht="24" spans="1:71">
      <c r="A236" s="497" t="s">
        <v>504</v>
      </c>
      <c r="B236" s="497" t="s">
        <v>203</v>
      </c>
      <c r="C236" s="497" t="s">
        <v>523</v>
      </c>
      <c r="D236" s="497" t="s">
        <v>524</v>
      </c>
      <c r="E236" s="615">
        <f t="shared" si="239"/>
        <v>0</v>
      </c>
      <c r="F236" s="615">
        <f t="shared" si="240"/>
        <v>0</v>
      </c>
      <c r="G236" s="616"/>
      <c r="H236" s="616"/>
      <c r="I236" s="616"/>
      <c r="J236" s="616"/>
      <c r="K236" s="616"/>
      <c r="L236" s="616"/>
      <c r="M236" s="615">
        <f t="shared" si="241"/>
        <v>0</v>
      </c>
      <c r="N236" s="616"/>
      <c r="O236" s="616"/>
      <c r="P236" s="616"/>
      <c r="Q236" s="616"/>
      <c r="R236" s="616"/>
      <c r="S236" s="615">
        <f t="shared" si="192"/>
        <v>0</v>
      </c>
      <c r="T236" s="615">
        <f t="shared" si="193"/>
        <v>0</v>
      </c>
      <c r="U236" s="616"/>
      <c r="V236" s="616"/>
      <c r="W236" s="616"/>
      <c r="X236" s="616"/>
      <c r="Y236" s="616"/>
      <c r="Z236" s="616"/>
      <c r="AA236" s="615">
        <f t="shared" si="194"/>
        <v>0</v>
      </c>
      <c r="AB236" s="616"/>
      <c r="AC236" s="616"/>
      <c r="AD236" s="616"/>
      <c r="AE236" s="616"/>
      <c r="AF236" s="616"/>
      <c r="AG236" s="615">
        <f t="shared" si="195"/>
        <v>0</v>
      </c>
      <c r="AH236" s="615">
        <f t="shared" si="196"/>
        <v>0</v>
      </c>
      <c r="AI236" s="616">
        <f t="shared" si="197"/>
        <v>0</v>
      </c>
      <c r="AJ236" s="616">
        <f t="shared" si="198"/>
        <v>0</v>
      </c>
      <c r="AK236" s="616">
        <f t="shared" si="199"/>
        <v>0</v>
      </c>
      <c r="AL236" s="616">
        <f t="shared" si="200"/>
        <v>0</v>
      </c>
      <c r="AM236" s="616">
        <f t="shared" si="201"/>
        <v>0</v>
      </c>
      <c r="AN236" s="616">
        <f t="shared" si="202"/>
        <v>0</v>
      </c>
      <c r="AO236" s="615">
        <f t="shared" si="203"/>
        <v>0</v>
      </c>
      <c r="AP236" s="616">
        <f t="shared" si="204"/>
        <v>0</v>
      </c>
      <c r="AQ236" s="616">
        <f t="shared" si="205"/>
        <v>0</v>
      </c>
      <c r="AR236" s="616">
        <f t="shared" si="206"/>
        <v>0</v>
      </c>
      <c r="AS236" s="616">
        <f t="shared" si="207"/>
        <v>0</v>
      </c>
      <c r="AT236" s="637">
        <f t="shared" si="208"/>
        <v>0</v>
      </c>
      <c r="AU236" s="638">
        <f t="shared" si="242"/>
        <v>0</v>
      </c>
      <c r="AV236" s="616">
        <f t="shared" si="243"/>
        <v>0</v>
      </c>
      <c r="AW236" s="616">
        <f t="shared" si="244"/>
        <v>0</v>
      </c>
      <c r="AX236" s="616">
        <f t="shared" si="245"/>
        <v>0</v>
      </c>
      <c r="AY236" s="616">
        <f t="shared" si="246"/>
        <v>0</v>
      </c>
      <c r="AZ236" s="616">
        <f t="shared" si="247"/>
        <v>0</v>
      </c>
      <c r="BA236" s="616">
        <f t="shared" si="248"/>
        <v>0</v>
      </c>
      <c r="BB236" s="616"/>
      <c r="BC236" s="615">
        <f t="shared" si="210"/>
        <v>0</v>
      </c>
      <c r="BD236" s="616">
        <f t="shared" si="211"/>
        <v>0</v>
      </c>
      <c r="BE236" s="616">
        <f t="shared" si="212"/>
        <v>0</v>
      </c>
      <c r="BF236" s="616">
        <f t="shared" si="213"/>
        <v>0</v>
      </c>
      <c r="BG236" s="616">
        <f t="shared" si="214"/>
        <v>0</v>
      </c>
      <c r="BH236" s="616">
        <f t="shared" si="215"/>
        <v>0</v>
      </c>
      <c r="BI236" s="616">
        <f t="shared" si="216"/>
        <v>0</v>
      </c>
      <c r="BJ236" s="616"/>
      <c r="BK236" s="615">
        <f t="shared" si="217"/>
        <v>0</v>
      </c>
      <c r="BL236" s="616">
        <f t="shared" si="218"/>
        <v>0</v>
      </c>
      <c r="BM236" s="616">
        <f t="shared" si="219"/>
        <v>0</v>
      </c>
      <c r="BN236" s="616">
        <f t="shared" si="220"/>
        <v>0</v>
      </c>
      <c r="BO236" s="616">
        <f t="shared" si="221"/>
        <v>0</v>
      </c>
      <c r="BP236" s="616">
        <f t="shared" si="222"/>
        <v>0</v>
      </c>
      <c r="BQ236" s="616">
        <f t="shared" si="223"/>
        <v>0</v>
      </c>
      <c r="BR236" s="616">
        <f t="shared" si="224"/>
        <v>0</v>
      </c>
      <c r="BS236" s="304"/>
    </row>
    <row r="237" s="132" customFormat="1" ht="24" spans="1:71">
      <c r="A237" s="497" t="s">
        <v>504</v>
      </c>
      <c r="B237" s="497" t="s">
        <v>203</v>
      </c>
      <c r="C237" s="497" t="s">
        <v>525</v>
      </c>
      <c r="D237" s="497" t="s">
        <v>526</v>
      </c>
      <c r="E237" s="615">
        <f t="shared" si="239"/>
        <v>0</v>
      </c>
      <c r="F237" s="615">
        <f t="shared" si="240"/>
        <v>0</v>
      </c>
      <c r="G237" s="616"/>
      <c r="H237" s="616"/>
      <c r="I237" s="616"/>
      <c r="J237" s="616"/>
      <c r="K237" s="616"/>
      <c r="L237" s="616"/>
      <c r="M237" s="615">
        <f t="shared" si="241"/>
        <v>0</v>
      </c>
      <c r="N237" s="616"/>
      <c r="O237" s="616"/>
      <c r="P237" s="616"/>
      <c r="Q237" s="616"/>
      <c r="R237" s="616"/>
      <c r="S237" s="615">
        <f t="shared" si="192"/>
        <v>0</v>
      </c>
      <c r="T237" s="615">
        <f t="shared" si="193"/>
        <v>0</v>
      </c>
      <c r="U237" s="616"/>
      <c r="V237" s="616"/>
      <c r="W237" s="616"/>
      <c r="X237" s="616"/>
      <c r="Y237" s="616"/>
      <c r="Z237" s="616"/>
      <c r="AA237" s="615">
        <f t="shared" si="194"/>
        <v>0</v>
      </c>
      <c r="AB237" s="616"/>
      <c r="AC237" s="616"/>
      <c r="AD237" s="616"/>
      <c r="AE237" s="616"/>
      <c r="AF237" s="616"/>
      <c r="AG237" s="615">
        <f t="shared" si="195"/>
        <v>0</v>
      </c>
      <c r="AH237" s="615">
        <f t="shared" si="196"/>
        <v>0</v>
      </c>
      <c r="AI237" s="616">
        <f t="shared" si="197"/>
        <v>0</v>
      </c>
      <c r="AJ237" s="616">
        <f t="shared" si="198"/>
        <v>0</v>
      </c>
      <c r="AK237" s="616">
        <f t="shared" si="199"/>
        <v>0</v>
      </c>
      <c r="AL237" s="616">
        <f t="shared" si="200"/>
        <v>0</v>
      </c>
      <c r="AM237" s="616">
        <f t="shared" si="201"/>
        <v>0</v>
      </c>
      <c r="AN237" s="616">
        <f t="shared" si="202"/>
        <v>0</v>
      </c>
      <c r="AO237" s="615">
        <f t="shared" si="203"/>
        <v>0</v>
      </c>
      <c r="AP237" s="616">
        <f t="shared" si="204"/>
        <v>0</v>
      </c>
      <c r="AQ237" s="616">
        <f t="shared" si="205"/>
        <v>0</v>
      </c>
      <c r="AR237" s="616">
        <f t="shared" si="206"/>
        <v>0</v>
      </c>
      <c r="AS237" s="616">
        <f t="shared" si="207"/>
        <v>0</v>
      </c>
      <c r="AT237" s="637">
        <f t="shared" si="208"/>
        <v>0</v>
      </c>
      <c r="AU237" s="638">
        <f t="shared" si="242"/>
        <v>0</v>
      </c>
      <c r="AV237" s="616">
        <f t="shared" si="243"/>
        <v>0</v>
      </c>
      <c r="AW237" s="616">
        <f t="shared" si="244"/>
        <v>0</v>
      </c>
      <c r="AX237" s="616">
        <f t="shared" si="245"/>
        <v>0</v>
      </c>
      <c r="AY237" s="616">
        <f t="shared" si="246"/>
        <v>0</v>
      </c>
      <c r="AZ237" s="616">
        <f t="shared" si="247"/>
        <v>0</v>
      </c>
      <c r="BA237" s="616">
        <f t="shared" si="248"/>
        <v>0</v>
      </c>
      <c r="BB237" s="616"/>
      <c r="BC237" s="615">
        <f t="shared" si="210"/>
        <v>0</v>
      </c>
      <c r="BD237" s="616">
        <f t="shared" si="211"/>
        <v>0</v>
      </c>
      <c r="BE237" s="616">
        <f t="shared" si="212"/>
        <v>0</v>
      </c>
      <c r="BF237" s="616">
        <f t="shared" si="213"/>
        <v>0</v>
      </c>
      <c r="BG237" s="616">
        <f t="shared" si="214"/>
        <v>0</v>
      </c>
      <c r="BH237" s="616">
        <f t="shared" si="215"/>
        <v>0</v>
      </c>
      <c r="BI237" s="616">
        <f t="shared" si="216"/>
        <v>0</v>
      </c>
      <c r="BJ237" s="616"/>
      <c r="BK237" s="615">
        <f t="shared" si="217"/>
        <v>0</v>
      </c>
      <c r="BL237" s="616">
        <f t="shared" si="218"/>
        <v>0</v>
      </c>
      <c r="BM237" s="616">
        <f t="shared" si="219"/>
        <v>0</v>
      </c>
      <c r="BN237" s="616">
        <f t="shared" si="220"/>
        <v>0</v>
      </c>
      <c r="BO237" s="616">
        <f t="shared" si="221"/>
        <v>0</v>
      </c>
      <c r="BP237" s="616">
        <f t="shared" si="222"/>
        <v>0</v>
      </c>
      <c r="BQ237" s="616">
        <f t="shared" si="223"/>
        <v>0</v>
      </c>
      <c r="BR237" s="616">
        <f t="shared" si="224"/>
        <v>0</v>
      </c>
      <c r="BS237" s="304"/>
    </row>
    <row r="238" s="132" customFormat="1" ht="24" spans="1:71">
      <c r="A238" s="497" t="s">
        <v>504</v>
      </c>
      <c r="B238" s="497" t="s">
        <v>206</v>
      </c>
      <c r="C238" s="497" t="s">
        <v>527</v>
      </c>
      <c r="D238" s="497" t="s">
        <v>528</v>
      </c>
      <c r="E238" s="615">
        <f t="shared" si="239"/>
        <v>60.62944</v>
      </c>
      <c r="F238" s="615">
        <f t="shared" si="240"/>
        <v>50.04</v>
      </c>
      <c r="G238" s="657">
        <v>28.2576</v>
      </c>
      <c r="H238" s="657">
        <v>10.9824</v>
      </c>
      <c r="I238" s="616"/>
      <c r="J238" s="616"/>
      <c r="K238" s="616"/>
      <c r="L238" s="616">
        <v>10.8</v>
      </c>
      <c r="M238" s="615">
        <f t="shared" si="241"/>
        <v>10.58944</v>
      </c>
      <c r="N238" s="657">
        <v>6.58944</v>
      </c>
      <c r="O238" s="616"/>
      <c r="P238" s="616"/>
      <c r="Q238" s="650"/>
      <c r="R238" s="616">
        <v>4</v>
      </c>
      <c r="S238" s="615">
        <f t="shared" si="192"/>
        <v>0.9184</v>
      </c>
      <c r="T238" s="615">
        <f t="shared" si="193"/>
        <v>0.7084</v>
      </c>
      <c r="U238" s="616">
        <v>0.2284</v>
      </c>
      <c r="V238" s="616"/>
      <c r="W238" s="616">
        <v>0.1</v>
      </c>
      <c r="X238" s="616"/>
      <c r="Y238" s="616"/>
      <c r="Z238" s="616">
        <v>0.38</v>
      </c>
      <c r="AA238" s="615">
        <f t="shared" si="194"/>
        <v>0.21</v>
      </c>
      <c r="AB238" s="616">
        <v>0.06</v>
      </c>
      <c r="AC238" s="616"/>
      <c r="AD238" s="616"/>
      <c r="AE238" s="616">
        <v>0.15</v>
      </c>
      <c r="AF238" s="616"/>
      <c r="AG238" s="615">
        <f t="shared" si="195"/>
        <v>61.54784</v>
      </c>
      <c r="AH238" s="615">
        <f t="shared" si="196"/>
        <v>50.7484</v>
      </c>
      <c r="AI238" s="616">
        <f t="shared" si="197"/>
        <v>28.486</v>
      </c>
      <c r="AJ238" s="616">
        <f t="shared" si="198"/>
        <v>10.9824</v>
      </c>
      <c r="AK238" s="616">
        <f t="shared" si="199"/>
        <v>0.1</v>
      </c>
      <c r="AL238" s="616">
        <f t="shared" si="200"/>
        <v>0</v>
      </c>
      <c r="AM238" s="616">
        <f t="shared" si="201"/>
        <v>0</v>
      </c>
      <c r="AN238" s="616">
        <f t="shared" si="202"/>
        <v>11.18</v>
      </c>
      <c r="AO238" s="615">
        <f t="shared" si="203"/>
        <v>10.79944</v>
      </c>
      <c r="AP238" s="616">
        <f t="shared" si="204"/>
        <v>6.64944</v>
      </c>
      <c r="AQ238" s="616">
        <f t="shared" si="205"/>
        <v>0</v>
      </c>
      <c r="AR238" s="616">
        <f t="shared" si="206"/>
        <v>0</v>
      </c>
      <c r="AS238" s="616">
        <f t="shared" si="207"/>
        <v>0.15</v>
      </c>
      <c r="AT238" s="637">
        <f t="shared" si="208"/>
        <v>4</v>
      </c>
      <c r="AU238" s="638">
        <f t="shared" si="242"/>
        <v>19.61500032</v>
      </c>
      <c r="AV238" s="616">
        <f t="shared" si="243"/>
        <v>7.3327104</v>
      </c>
      <c r="AW238" s="616">
        <f t="shared" si="244"/>
        <v>3.6663552</v>
      </c>
      <c r="AX238" s="616">
        <f t="shared" si="245"/>
        <v>2.7497664</v>
      </c>
      <c r="AY238" s="616">
        <f t="shared" si="246"/>
        <v>0.09165888</v>
      </c>
      <c r="AZ238" s="616">
        <f t="shared" si="247"/>
        <v>0.27497664</v>
      </c>
      <c r="BA238" s="616">
        <f t="shared" si="248"/>
        <v>5.4995328</v>
      </c>
      <c r="BB238" s="616"/>
      <c r="BC238" s="615">
        <f t="shared" si="210"/>
        <v>0.1662352</v>
      </c>
      <c r="BD238" s="616">
        <f t="shared" si="211"/>
        <v>0.062144</v>
      </c>
      <c r="BE238" s="616">
        <f t="shared" si="212"/>
        <v>0.031072</v>
      </c>
      <c r="BF238" s="616">
        <f t="shared" si="213"/>
        <v>0.023304</v>
      </c>
      <c r="BG238" s="616">
        <f t="shared" si="214"/>
        <v>0.0007768</v>
      </c>
      <c r="BH238" s="616">
        <f t="shared" si="215"/>
        <v>0.0023304</v>
      </c>
      <c r="BI238" s="616">
        <f t="shared" si="216"/>
        <v>0.046608</v>
      </c>
      <c r="BJ238" s="616"/>
      <c r="BK238" s="615">
        <f t="shared" si="217"/>
        <v>19.78123552</v>
      </c>
      <c r="BL238" s="616">
        <f t="shared" si="218"/>
        <v>7.3948544</v>
      </c>
      <c r="BM238" s="616">
        <f t="shared" si="219"/>
        <v>3.6974272</v>
      </c>
      <c r="BN238" s="616">
        <f t="shared" si="220"/>
        <v>2.7730704</v>
      </c>
      <c r="BO238" s="616">
        <f t="shared" si="221"/>
        <v>0.09243568</v>
      </c>
      <c r="BP238" s="616">
        <f t="shared" si="222"/>
        <v>0.27730704</v>
      </c>
      <c r="BQ238" s="616">
        <f t="shared" si="223"/>
        <v>5.5461408</v>
      </c>
      <c r="BR238" s="616">
        <f t="shared" si="224"/>
        <v>0</v>
      </c>
      <c r="BS238" s="304"/>
    </row>
    <row r="239" s="508" customFormat="1" ht="21" customHeight="1" spans="1:72">
      <c r="A239" s="647"/>
      <c r="B239" s="647"/>
      <c r="C239" s="647" t="s">
        <v>133</v>
      </c>
      <c r="D239" s="648">
        <v>210</v>
      </c>
      <c r="E239" s="612">
        <f t="shared" ref="E239:Z239" si="249">SUM(E240:E264)</f>
        <v>4203.2425</v>
      </c>
      <c r="F239" s="612">
        <f t="shared" si="249"/>
        <v>3473.7088</v>
      </c>
      <c r="G239" s="612">
        <f t="shared" si="249"/>
        <v>1950.2492</v>
      </c>
      <c r="H239" s="612">
        <f t="shared" si="249"/>
        <v>40.2704</v>
      </c>
      <c r="I239" s="612">
        <f t="shared" si="249"/>
        <v>717.4592</v>
      </c>
      <c r="J239" s="612">
        <f t="shared" si="249"/>
        <v>114.48</v>
      </c>
      <c r="K239" s="612">
        <f t="shared" si="249"/>
        <v>22.43</v>
      </c>
      <c r="L239" s="612">
        <f t="shared" si="249"/>
        <v>628.82</v>
      </c>
      <c r="M239" s="612">
        <f t="shared" si="249"/>
        <v>729.5337</v>
      </c>
      <c r="N239" s="612">
        <f t="shared" si="249"/>
        <v>430.4937</v>
      </c>
      <c r="O239" s="612">
        <f t="shared" si="249"/>
        <v>0</v>
      </c>
      <c r="P239" s="612">
        <f t="shared" si="249"/>
        <v>2.54</v>
      </c>
      <c r="Q239" s="612">
        <f t="shared" si="249"/>
        <v>80</v>
      </c>
      <c r="R239" s="612">
        <f t="shared" si="249"/>
        <v>216.5</v>
      </c>
      <c r="S239" s="612">
        <f t="shared" ref="S239:AF239" si="250">SUM(S240:S264)</f>
        <v>384.63</v>
      </c>
      <c r="T239" s="612">
        <f t="shared" si="250"/>
        <v>293.742</v>
      </c>
      <c r="U239" s="612">
        <f t="shared" si="250"/>
        <v>103.56</v>
      </c>
      <c r="V239" s="612">
        <f t="shared" si="250"/>
        <v>1.635</v>
      </c>
      <c r="W239" s="612">
        <f t="shared" si="250"/>
        <v>42.687</v>
      </c>
      <c r="X239" s="612">
        <f t="shared" si="250"/>
        <v>4.85</v>
      </c>
      <c r="Y239" s="612">
        <f t="shared" si="250"/>
        <v>1.27</v>
      </c>
      <c r="Z239" s="612">
        <f t="shared" si="250"/>
        <v>139.74</v>
      </c>
      <c r="AA239" s="612">
        <f t="shared" si="250"/>
        <v>90.888</v>
      </c>
      <c r="AB239" s="612">
        <f t="shared" si="250"/>
        <v>23.404</v>
      </c>
      <c r="AC239" s="612">
        <f t="shared" si="250"/>
        <v>0</v>
      </c>
      <c r="AD239" s="612">
        <f t="shared" si="250"/>
        <v>0</v>
      </c>
      <c r="AE239" s="612">
        <f t="shared" si="250"/>
        <v>17.044</v>
      </c>
      <c r="AF239" s="612">
        <f t="shared" si="250"/>
        <v>50.44</v>
      </c>
      <c r="AG239" s="612">
        <f t="shared" ref="AG239:BB239" si="251">SUM(AG240:AG264)</f>
        <v>4587.8725</v>
      </c>
      <c r="AH239" s="612">
        <f t="shared" si="251"/>
        <v>3767.4508</v>
      </c>
      <c r="AI239" s="612">
        <f t="shared" si="251"/>
        <v>2053.8092</v>
      </c>
      <c r="AJ239" s="612">
        <f t="shared" si="251"/>
        <v>41.9054</v>
      </c>
      <c r="AK239" s="612">
        <f t="shared" si="251"/>
        <v>760.1462</v>
      </c>
      <c r="AL239" s="612">
        <f t="shared" si="251"/>
        <v>119.33</v>
      </c>
      <c r="AM239" s="612">
        <f t="shared" si="251"/>
        <v>23.7</v>
      </c>
      <c r="AN239" s="612">
        <f t="shared" si="251"/>
        <v>768.56</v>
      </c>
      <c r="AO239" s="612">
        <f t="shared" si="251"/>
        <v>820.4217</v>
      </c>
      <c r="AP239" s="612">
        <f t="shared" si="251"/>
        <v>453.8977</v>
      </c>
      <c r="AQ239" s="612">
        <f t="shared" si="251"/>
        <v>0</v>
      </c>
      <c r="AR239" s="612">
        <f t="shared" si="251"/>
        <v>2.54</v>
      </c>
      <c r="AS239" s="612">
        <f t="shared" si="251"/>
        <v>97.044</v>
      </c>
      <c r="AT239" s="635">
        <f t="shared" si="251"/>
        <v>266.94</v>
      </c>
      <c r="AU239" s="636">
        <f t="shared" si="251"/>
        <v>1343.26623</v>
      </c>
      <c r="AV239" s="612">
        <f t="shared" si="251"/>
        <v>502.1556</v>
      </c>
      <c r="AW239" s="612">
        <f t="shared" si="251"/>
        <v>251.0778</v>
      </c>
      <c r="AX239" s="612">
        <f t="shared" si="251"/>
        <v>188.30835</v>
      </c>
      <c r="AY239" s="612">
        <f t="shared" si="251"/>
        <v>6.276945</v>
      </c>
      <c r="AZ239" s="612">
        <f t="shared" si="251"/>
        <v>18.830835</v>
      </c>
      <c r="BA239" s="612">
        <f t="shared" si="251"/>
        <v>376.6167</v>
      </c>
      <c r="BB239" s="612">
        <f t="shared" si="251"/>
        <v>0</v>
      </c>
      <c r="BC239" s="612">
        <f t="shared" ref="BC239:BR239" si="252">SUM(BC240:BC264)</f>
        <v>73.310408</v>
      </c>
      <c r="BD239" s="612">
        <f t="shared" si="252"/>
        <v>27.40576</v>
      </c>
      <c r="BE239" s="612">
        <f t="shared" si="252"/>
        <v>13.70288</v>
      </c>
      <c r="BF239" s="612">
        <f t="shared" si="252"/>
        <v>10.27716</v>
      </c>
      <c r="BG239" s="612">
        <f t="shared" si="252"/>
        <v>0.342572</v>
      </c>
      <c r="BH239" s="612">
        <f t="shared" si="252"/>
        <v>1.027716</v>
      </c>
      <c r="BI239" s="612">
        <f t="shared" si="252"/>
        <v>20.55432</v>
      </c>
      <c r="BJ239" s="612">
        <f t="shared" si="252"/>
        <v>0</v>
      </c>
      <c r="BK239" s="612">
        <f t="shared" si="252"/>
        <v>1416.576638</v>
      </c>
      <c r="BL239" s="612">
        <f t="shared" si="252"/>
        <v>529.56136</v>
      </c>
      <c r="BM239" s="612">
        <f t="shared" si="252"/>
        <v>264.78068</v>
      </c>
      <c r="BN239" s="612">
        <f t="shared" si="252"/>
        <v>198.58551</v>
      </c>
      <c r="BO239" s="612">
        <f t="shared" si="252"/>
        <v>6.619517</v>
      </c>
      <c r="BP239" s="612">
        <f t="shared" si="252"/>
        <v>19.858551</v>
      </c>
      <c r="BQ239" s="612">
        <f t="shared" si="252"/>
        <v>397.17102</v>
      </c>
      <c r="BR239" s="612">
        <f t="shared" si="252"/>
        <v>0</v>
      </c>
      <c r="BS239" s="334"/>
      <c r="BT239" s="653"/>
    </row>
    <row r="240" s="132" customFormat="1" ht="24" spans="1:71">
      <c r="A240" s="497" t="s">
        <v>504</v>
      </c>
      <c r="B240" s="497" t="s">
        <v>203</v>
      </c>
      <c r="C240" s="497" t="s">
        <v>529</v>
      </c>
      <c r="D240" s="497" t="s">
        <v>530</v>
      </c>
      <c r="E240" s="615">
        <f t="shared" ref="E240:E264" si="253">F240+M240</f>
        <v>0</v>
      </c>
      <c r="F240" s="615">
        <f t="shared" ref="F240:F264" si="254">SUM(G240:L240)</f>
        <v>0</v>
      </c>
      <c r="G240" s="616"/>
      <c r="H240" s="616"/>
      <c r="I240" s="616"/>
      <c r="J240" s="616"/>
      <c r="K240" s="616"/>
      <c r="L240" s="616"/>
      <c r="M240" s="615">
        <f t="shared" ref="M240:M264" si="255">SUM(N240:R240)</f>
        <v>0</v>
      </c>
      <c r="N240" s="616"/>
      <c r="O240" s="616"/>
      <c r="P240" s="616"/>
      <c r="Q240" s="616"/>
      <c r="R240" s="616"/>
      <c r="S240" s="615">
        <f t="shared" si="192"/>
        <v>0</v>
      </c>
      <c r="T240" s="615">
        <f t="shared" si="193"/>
        <v>0</v>
      </c>
      <c r="U240" s="616"/>
      <c r="V240" s="616"/>
      <c r="W240" s="616"/>
      <c r="X240" s="616"/>
      <c r="Y240" s="616"/>
      <c r="Z240" s="616"/>
      <c r="AA240" s="615">
        <f t="shared" si="194"/>
        <v>0</v>
      </c>
      <c r="AB240" s="616"/>
      <c r="AC240" s="616"/>
      <c r="AD240" s="616"/>
      <c r="AE240" s="616"/>
      <c r="AF240" s="616"/>
      <c r="AG240" s="615">
        <f t="shared" si="195"/>
        <v>0</v>
      </c>
      <c r="AH240" s="615">
        <f t="shared" si="196"/>
        <v>0</v>
      </c>
      <c r="AI240" s="616">
        <f t="shared" si="197"/>
        <v>0</v>
      </c>
      <c r="AJ240" s="616">
        <f t="shared" si="198"/>
        <v>0</v>
      </c>
      <c r="AK240" s="616">
        <f t="shared" si="199"/>
        <v>0</v>
      </c>
      <c r="AL240" s="616">
        <f t="shared" si="200"/>
        <v>0</v>
      </c>
      <c r="AM240" s="616">
        <f t="shared" si="201"/>
        <v>0</v>
      </c>
      <c r="AN240" s="616">
        <f t="shared" si="202"/>
        <v>0</v>
      </c>
      <c r="AO240" s="615">
        <f t="shared" si="203"/>
        <v>0</v>
      </c>
      <c r="AP240" s="616">
        <f t="shared" si="204"/>
        <v>0</v>
      </c>
      <c r="AQ240" s="616">
        <f t="shared" si="205"/>
        <v>0</v>
      </c>
      <c r="AR240" s="616">
        <f t="shared" si="206"/>
        <v>0</v>
      </c>
      <c r="AS240" s="616">
        <f t="shared" si="207"/>
        <v>0</v>
      </c>
      <c r="AT240" s="637">
        <f t="shared" si="208"/>
        <v>0</v>
      </c>
      <c r="AU240" s="638">
        <f t="shared" ref="AU240:AU264" si="256">SUM(AV240:BB240)</f>
        <v>0</v>
      </c>
      <c r="AV240" s="616">
        <f t="shared" ref="AV240:AV264" si="257">(G240+H240+I240+N240)*0.16</f>
        <v>0</v>
      </c>
      <c r="AW240" s="616">
        <f t="shared" ref="AW240:AW264" si="258">(G240+H240+I240+N240)*0.08</f>
        <v>0</v>
      </c>
      <c r="AX240" s="616">
        <f t="shared" ref="AX240:AX264" si="259">(G240+H240+I240+N240)*0.06</f>
        <v>0</v>
      </c>
      <c r="AY240" s="616">
        <f t="shared" ref="AY240:AY264" si="260">(G240+H240+I240+N240)*0.002</f>
        <v>0</v>
      </c>
      <c r="AZ240" s="616">
        <f t="shared" ref="AZ240:AZ264" si="261">(G240+H240+I240+N240)*0.006</f>
        <v>0</v>
      </c>
      <c r="BA240" s="616">
        <f t="shared" ref="BA240:BA264" si="262">(G240+H240+I240+N240)*0.12</f>
        <v>0</v>
      </c>
      <c r="BB240" s="616"/>
      <c r="BC240" s="615">
        <f t="shared" si="210"/>
        <v>0</v>
      </c>
      <c r="BD240" s="616">
        <f t="shared" si="211"/>
        <v>0</v>
      </c>
      <c r="BE240" s="616">
        <f t="shared" si="212"/>
        <v>0</v>
      </c>
      <c r="BF240" s="616">
        <f t="shared" si="213"/>
        <v>0</v>
      </c>
      <c r="BG240" s="616">
        <f t="shared" si="214"/>
        <v>0</v>
      </c>
      <c r="BH240" s="616">
        <f t="shared" si="215"/>
        <v>0</v>
      </c>
      <c r="BI240" s="616">
        <f t="shared" si="216"/>
        <v>0</v>
      </c>
      <c r="BJ240" s="616"/>
      <c r="BK240" s="615">
        <f t="shared" si="217"/>
        <v>0</v>
      </c>
      <c r="BL240" s="616">
        <f t="shared" si="218"/>
        <v>0</v>
      </c>
      <c r="BM240" s="616">
        <f t="shared" si="219"/>
        <v>0</v>
      </c>
      <c r="BN240" s="616">
        <f t="shared" si="220"/>
        <v>0</v>
      </c>
      <c r="BO240" s="616">
        <f t="shared" si="221"/>
        <v>0</v>
      </c>
      <c r="BP240" s="616">
        <f t="shared" si="222"/>
        <v>0</v>
      </c>
      <c r="BQ240" s="616">
        <f t="shared" si="223"/>
        <v>0</v>
      </c>
      <c r="BR240" s="616">
        <f t="shared" si="224"/>
        <v>0</v>
      </c>
      <c r="BS240" s="304"/>
    </row>
    <row r="241" s="132" customFormat="1" ht="24" spans="1:71">
      <c r="A241" s="497" t="s">
        <v>504</v>
      </c>
      <c r="B241" s="497" t="s">
        <v>206</v>
      </c>
      <c r="C241" s="497" t="s">
        <v>531</v>
      </c>
      <c r="D241" s="497" t="s">
        <v>532</v>
      </c>
      <c r="E241" s="615">
        <f t="shared" si="253"/>
        <v>222.82</v>
      </c>
      <c r="F241" s="615">
        <f t="shared" si="254"/>
        <v>187.23</v>
      </c>
      <c r="G241" s="396">
        <v>111.24</v>
      </c>
      <c r="H241" s="396"/>
      <c r="I241" s="396">
        <v>38.47</v>
      </c>
      <c r="J241" s="396"/>
      <c r="K241" s="396">
        <v>0.01</v>
      </c>
      <c r="L241" s="616">
        <v>37.51</v>
      </c>
      <c r="M241" s="615">
        <f t="shared" si="255"/>
        <v>35.59</v>
      </c>
      <c r="N241" s="396">
        <v>23.09</v>
      </c>
      <c r="O241" s="616"/>
      <c r="P241" s="616"/>
      <c r="Q241" s="650"/>
      <c r="R241" s="616">
        <v>12.5</v>
      </c>
      <c r="S241" s="615">
        <f t="shared" si="192"/>
        <v>11.194</v>
      </c>
      <c r="T241" s="615">
        <f t="shared" si="193"/>
        <v>8.82</v>
      </c>
      <c r="U241" s="616">
        <v>6.21</v>
      </c>
      <c r="V241" s="616"/>
      <c r="W241" s="616">
        <v>1.3</v>
      </c>
      <c r="X241" s="616"/>
      <c r="Y241" s="616"/>
      <c r="Z241" s="616">
        <v>1.31</v>
      </c>
      <c r="AA241" s="615">
        <f t="shared" si="194"/>
        <v>2.374</v>
      </c>
      <c r="AB241" s="616">
        <v>0.78</v>
      </c>
      <c r="AC241" s="616"/>
      <c r="AD241" s="616"/>
      <c r="AE241" s="616">
        <v>1.594</v>
      </c>
      <c r="AF241" s="616"/>
      <c r="AG241" s="615">
        <f t="shared" si="195"/>
        <v>234.014</v>
      </c>
      <c r="AH241" s="615">
        <f t="shared" si="196"/>
        <v>196.05</v>
      </c>
      <c r="AI241" s="616">
        <f t="shared" si="197"/>
        <v>117.45</v>
      </c>
      <c r="AJ241" s="616">
        <f t="shared" si="198"/>
        <v>0</v>
      </c>
      <c r="AK241" s="616">
        <f t="shared" si="199"/>
        <v>39.77</v>
      </c>
      <c r="AL241" s="616">
        <f t="shared" si="200"/>
        <v>0</v>
      </c>
      <c r="AM241" s="616">
        <f t="shared" si="201"/>
        <v>0.01</v>
      </c>
      <c r="AN241" s="616">
        <f t="shared" si="202"/>
        <v>38.82</v>
      </c>
      <c r="AO241" s="615">
        <f t="shared" si="203"/>
        <v>37.964</v>
      </c>
      <c r="AP241" s="616">
        <f t="shared" si="204"/>
        <v>23.87</v>
      </c>
      <c r="AQ241" s="616">
        <f t="shared" si="205"/>
        <v>0</v>
      </c>
      <c r="AR241" s="616">
        <f t="shared" si="206"/>
        <v>0</v>
      </c>
      <c r="AS241" s="616">
        <f t="shared" si="207"/>
        <v>1.594</v>
      </c>
      <c r="AT241" s="637">
        <f t="shared" si="208"/>
        <v>12.5</v>
      </c>
      <c r="AU241" s="638">
        <f t="shared" si="256"/>
        <v>73.9584</v>
      </c>
      <c r="AV241" s="616">
        <f t="shared" si="257"/>
        <v>27.648</v>
      </c>
      <c r="AW241" s="616">
        <f t="shared" si="258"/>
        <v>13.824</v>
      </c>
      <c r="AX241" s="616">
        <f t="shared" si="259"/>
        <v>10.368</v>
      </c>
      <c r="AY241" s="616">
        <f t="shared" si="260"/>
        <v>0.3456</v>
      </c>
      <c r="AZ241" s="616">
        <f t="shared" si="261"/>
        <v>1.0368</v>
      </c>
      <c r="BA241" s="616">
        <f t="shared" si="262"/>
        <v>20.736</v>
      </c>
      <c r="BB241" s="616"/>
      <c r="BC241" s="615">
        <f t="shared" si="210"/>
        <v>3.54812</v>
      </c>
      <c r="BD241" s="616">
        <f t="shared" si="211"/>
        <v>1.3264</v>
      </c>
      <c r="BE241" s="616">
        <f t="shared" si="212"/>
        <v>0.6632</v>
      </c>
      <c r="BF241" s="616">
        <f t="shared" si="213"/>
        <v>0.4974</v>
      </c>
      <c r="BG241" s="616">
        <f t="shared" si="214"/>
        <v>0.01658</v>
      </c>
      <c r="BH241" s="616">
        <f t="shared" si="215"/>
        <v>0.04974</v>
      </c>
      <c r="BI241" s="616">
        <f t="shared" si="216"/>
        <v>0.9948</v>
      </c>
      <c r="BJ241" s="616"/>
      <c r="BK241" s="615">
        <f t="shared" si="217"/>
        <v>77.50652</v>
      </c>
      <c r="BL241" s="616">
        <f t="shared" si="218"/>
        <v>28.9744</v>
      </c>
      <c r="BM241" s="616">
        <f t="shared" si="219"/>
        <v>14.4872</v>
      </c>
      <c r="BN241" s="616">
        <f t="shared" si="220"/>
        <v>10.8654</v>
      </c>
      <c r="BO241" s="616">
        <f t="shared" si="221"/>
        <v>0.36218</v>
      </c>
      <c r="BP241" s="616">
        <f t="shared" si="222"/>
        <v>1.08654</v>
      </c>
      <c r="BQ241" s="616">
        <f t="shared" si="223"/>
        <v>21.7308</v>
      </c>
      <c r="BR241" s="616">
        <f t="shared" si="224"/>
        <v>0</v>
      </c>
      <c r="BS241" s="304"/>
    </row>
    <row r="242" s="132" customFormat="1" ht="24" spans="1:71">
      <c r="A242" s="497" t="s">
        <v>504</v>
      </c>
      <c r="B242" s="497" t="s">
        <v>483</v>
      </c>
      <c r="C242" s="497" t="s">
        <v>533</v>
      </c>
      <c r="D242" s="497" t="s">
        <v>534</v>
      </c>
      <c r="E242" s="615">
        <f t="shared" si="253"/>
        <v>0</v>
      </c>
      <c r="F242" s="615">
        <f t="shared" si="254"/>
        <v>0</v>
      </c>
      <c r="G242" s="616"/>
      <c r="H242" s="616"/>
      <c r="I242" s="616"/>
      <c r="J242" s="616"/>
      <c r="K242" s="616"/>
      <c r="L242" s="616"/>
      <c r="M242" s="615">
        <f t="shared" si="255"/>
        <v>0</v>
      </c>
      <c r="N242" s="616"/>
      <c r="O242" s="616"/>
      <c r="P242" s="616"/>
      <c r="Q242" s="616"/>
      <c r="R242" s="616"/>
      <c r="S242" s="615">
        <f t="shared" si="192"/>
        <v>0.3</v>
      </c>
      <c r="T242" s="615">
        <f t="shared" si="193"/>
        <v>0</v>
      </c>
      <c r="U242" s="616"/>
      <c r="V242" s="616"/>
      <c r="W242" s="616"/>
      <c r="X242" s="616"/>
      <c r="Y242" s="616"/>
      <c r="Z242" s="616"/>
      <c r="AA242" s="615">
        <f t="shared" si="194"/>
        <v>0.3</v>
      </c>
      <c r="AB242" s="616"/>
      <c r="AC242" s="616"/>
      <c r="AD242" s="616"/>
      <c r="AE242" s="616">
        <v>0.3</v>
      </c>
      <c r="AF242" s="616"/>
      <c r="AG242" s="615">
        <f t="shared" si="195"/>
        <v>0.3</v>
      </c>
      <c r="AH242" s="615">
        <f t="shared" si="196"/>
        <v>0</v>
      </c>
      <c r="AI242" s="616">
        <f t="shared" si="197"/>
        <v>0</v>
      </c>
      <c r="AJ242" s="616">
        <f t="shared" si="198"/>
        <v>0</v>
      </c>
      <c r="AK242" s="616">
        <f t="shared" si="199"/>
        <v>0</v>
      </c>
      <c r="AL242" s="616">
        <f t="shared" si="200"/>
        <v>0</v>
      </c>
      <c r="AM242" s="616">
        <f t="shared" si="201"/>
        <v>0</v>
      </c>
      <c r="AN242" s="616">
        <f t="shared" si="202"/>
        <v>0</v>
      </c>
      <c r="AO242" s="615">
        <f t="shared" si="203"/>
        <v>0.3</v>
      </c>
      <c r="AP242" s="616">
        <f t="shared" si="204"/>
        <v>0</v>
      </c>
      <c r="AQ242" s="616">
        <f t="shared" si="205"/>
        <v>0</v>
      </c>
      <c r="AR242" s="616">
        <f t="shared" si="206"/>
        <v>0</v>
      </c>
      <c r="AS242" s="616">
        <f t="shared" si="207"/>
        <v>0.3</v>
      </c>
      <c r="AT242" s="637">
        <f t="shared" si="208"/>
        <v>0</v>
      </c>
      <c r="AU242" s="638">
        <f t="shared" si="256"/>
        <v>0</v>
      </c>
      <c r="AV242" s="616">
        <f t="shared" si="257"/>
        <v>0</v>
      </c>
      <c r="AW242" s="616">
        <f t="shared" si="258"/>
        <v>0</v>
      </c>
      <c r="AX242" s="616">
        <f t="shared" si="259"/>
        <v>0</v>
      </c>
      <c r="AY242" s="616">
        <f t="shared" si="260"/>
        <v>0</v>
      </c>
      <c r="AZ242" s="616">
        <f t="shared" si="261"/>
        <v>0</v>
      </c>
      <c r="BA242" s="616">
        <f t="shared" si="262"/>
        <v>0</v>
      </c>
      <c r="BB242" s="616"/>
      <c r="BC242" s="615">
        <f t="shared" si="210"/>
        <v>0</v>
      </c>
      <c r="BD242" s="616">
        <f t="shared" si="211"/>
        <v>0</v>
      </c>
      <c r="BE242" s="616">
        <f t="shared" si="212"/>
        <v>0</v>
      </c>
      <c r="BF242" s="616">
        <f t="shared" si="213"/>
        <v>0</v>
      </c>
      <c r="BG242" s="616">
        <f t="shared" si="214"/>
        <v>0</v>
      </c>
      <c r="BH242" s="616">
        <f t="shared" si="215"/>
        <v>0</v>
      </c>
      <c r="BI242" s="616">
        <f t="shared" si="216"/>
        <v>0</v>
      </c>
      <c r="BJ242" s="616"/>
      <c r="BK242" s="615">
        <f t="shared" si="217"/>
        <v>0</v>
      </c>
      <c r="BL242" s="616">
        <f t="shared" si="218"/>
        <v>0</v>
      </c>
      <c r="BM242" s="616">
        <f t="shared" si="219"/>
        <v>0</v>
      </c>
      <c r="BN242" s="616">
        <f t="shared" si="220"/>
        <v>0</v>
      </c>
      <c r="BO242" s="616">
        <f t="shared" si="221"/>
        <v>0</v>
      </c>
      <c r="BP242" s="616">
        <f t="shared" si="222"/>
        <v>0</v>
      </c>
      <c r="BQ242" s="616">
        <f t="shared" si="223"/>
        <v>0</v>
      </c>
      <c r="BR242" s="616">
        <f t="shared" si="224"/>
        <v>0</v>
      </c>
      <c r="BS242" s="304"/>
    </row>
    <row r="243" s="132" customFormat="1" ht="26" customHeight="1" spans="1:71">
      <c r="A243" s="497" t="s">
        <v>504</v>
      </c>
      <c r="B243" s="497" t="s">
        <v>483</v>
      </c>
      <c r="C243" s="497" t="s">
        <v>535</v>
      </c>
      <c r="D243" s="497" t="s">
        <v>536</v>
      </c>
      <c r="E243" s="615">
        <f t="shared" si="253"/>
        <v>0</v>
      </c>
      <c r="F243" s="615">
        <f t="shared" si="254"/>
        <v>0</v>
      </c>
      <c r="G243" s="616"/>
      <c r="H243" s="616"/>
      <c r="I243" s="616"/>
      <c r="J243" s="616"/>
      <c r="K243" s="616"/>
      <c r="L243" s="616"/>
      <c r="M243" s="615">
        <f t="shared" si="255"/>
        <v>0</v>
      </c>
      <c r="N243" s="616"/>
      <c r="O243" s="616"/>
      <c r="P243" s="616"/>
      <c r="Q243" s="616"/>
      <c r="R243" s="616"/>
      <c r="S243" s="615">
        <f t="shared" si="192"/>
        <v>0.3</v>
      </c>
      <c r="T243" s="615">
        <f t="shared" si="193"/>
        <v>0</v>
      </c>
      <c r="U243" s="616"/>
      <c r="V243" s="616"/>
      <c r="W243" s="616"/>
      <c r="X243" s="616"/>
      <c r="Y243" s="616"/>
      <c r="Z243" s="616"/>
      <c r="AA243" s="615">
        <f t="shared" si="194"/>
        <v>0.3</v>
      </c>
      <c r="AB243" s="616"/>
      <c r="AC243" s="616"/>
      <c r="AD243" s="616"/>
      <c r="AE243" s="616">
        <v>0.3</v>
      </c>
      <c r="AF243" s="616"/>
      <c r="AG243" s="615">
        <f t="shared" si="195"/>
        <v>0.3</v>
      </c>
      <c r="AH243" s="615">
        <f t="shared" si="196"/>
        <v>0</v>
      </c>
      <c r="AI243" s="616">
        <f t="shared" si="197"/>
        <v>0</v>
      </c>
      <c r="AJ243" s="616">
        <f t="shared" si="198"/>
        <v>0</v>
      </c>
      <c r="AK243" s="616">
        <f t="shared" si="199"/>
        <v>0</v>
      </c>
      <c r="AL243" s="616">
        <f t="shared" si="200"/>
        <v>0</v>
      </c>
      <c r="AM243" s="616">
        <f t="shared" si="201"/>
        <v>0</v>
      </c>
      <c r="AN243" s="616">
        <f t="shared" si="202"/>
        <v>0</v>
      </c>
      <c r="AO243" s="615">
        <f t="shared" si="203"/>
        <v>0.3</v>
      </c>
      <c r="AP243" s="616">
        <f t="shared" si="204"/>
        <v>0</v>
      </c>
      <c r="AQ243" s="616">
        <f t="shared" si="205"/>
        <v>0</v>
      </c>
      <c r="AR243" s="616">
        <f t="shared" si="206"/>
        <v>0</v>
      </c>
      <c r="AS243" s="616">
        <f t="shared" si="207"/>
        <v>0.3</v>
      </c>
      <c r="AT243" s="637">
        <f t="shared" si="208"/>
        <v>0</v>
      </c>
      <c r="AU243" s="638">
        <f t="shared" si="256"/>
        <v>0</v>
      </c>
      <c r="AV243" s="616">
        <f t="shared" si="257"/>
        <v>0</v>
      </c>
      <c r="AW243" s="616">
        <f t="shared" si="258"/>
        <v>0</v>
      </c>
      <c r="AX243" s="616">
        <f t="shared" si="259"/>
        <v>0</v>
      </c>
      <c r="AY243" s="616">
        <f t="shared" si="260"/>
        <v>0</v>
      </c>
      <c r="AZ243" s="616">
        <f t="shared" si="261"/>
        <v>0</v>
      </c>
      <c r="BA243" s="616">
        <f t="shared" si="262"/>
        <v>0</v>
      </c>
      <c r="BB243" s="616"/>
      <c r="BC243" s="615">
        <f t="shared" si="210"/>
        <v>0</v>
      </c>
      <c r="BD243" s="616">
        <f t="shared" si="211"/>
        <v>0</v>
      </c>
      <c r="BE243" s="616">
        <f t="shared" si="212"/>
        <v>0</v>
      </c>
      <c r="BF243" s="616">
        <f t="shared" si="213"/>
        <v>0</v>
      </c>
      <c r="BG243" s="616">
        <f t="shared" si="214"/>
        <v>0</v>
      </c>
      <c r="BH243" s="616">
        <f t="shared" si="215"/>
        <v>0</v>
      </c>
      <c r="BI243" s="616">
        <f t="shared" si="216"/>
        <v>0</v>
      </c>
      <c r="BJ243" s="616"/>
      <c r="BK243" s="615">
        <f t="shared" si="217"/>
        <v>0</v>
      </c>
      <c r="BL243" s="616">
        <f t="shared" si="218"/>
        <v>0</v>
      </c>
      <c r="BM243" s="616">
        <f t="shared" si="219"/>
        <v>0</v>
      </c>
      <c r="BN243" s="616">
        <f t="shared" si="220"/>
        <v>0</v>
      </c>
      <c r="BO243" s="616">
        <f t="shared" si="221"/>
        <v>0</v>
      </c>
      <c r="BP243" s="616">
        <f t="shared" si="222"/>
        <v>0</v>
      </c>
      <c r="BQ243" s="616">
        <f t="shared" si="223"/>
        <v>0</v>
      </c>
      <c r="BR243" s="616">
        <f t="shared" si="224"/>
        <v>0</v>
      </c>
      <c r="BS243" s="304"/>
    </row>
    <row r="244" s="132" customFormat="1" ht="26" customHeight="1" spans="1:71">
      <c r="A244" s="497" t="s">
        <v>504</v>
      </c>
      <c r="B244" s="497" t="s">
        <v>203</v>
      </c>
      <c r="C244" s="497" t="s">
        <v>537</v>
      </c>
      <c r="D244" s="497" t="s">
        <v>538</v>
      </c>
      <c r="E244" s="615">
        <f t="shared" si="253"/>
        <v>802.82</v>
      </c>
      <c r="F244" s="615">
        <f t="shared" si="254"/>
        <v>536.32</v>
      </c>
      <c r="G244" s="616"/>
      <c r="H244" s="616"/>
      <c r="I244" s="616"/>
      <c r="J244" s="616"/>
      <c r="K244" s="616"/>
      <c r="L244" s="616">
        <v>536.32</v>
      </c>
      <c r="M244" s="615">
        <f t="shared" si="255"/>
        <v>266.5</v>
      </c>
      <c r="N244" s="616"/>
      <c r="O244" s="616"/>
      <c r="P244" s="616"/>
      <c r="Q244" s="396">
        <v>80</v>
      </c>
      <c r="R244" s="616">
        <v>186.5</v>
      </c>
      <c r="S244" s="615">
        <f t="shared" si="192"/>
        <v>35.49</v>
      </c>
      <c r="T244" s="615">
        <f t="shared" si="193"/>
        <v>20.05</v>
      </c>
      <c r="U244" s="616"/>
      <c r="V244" s="616"/>
      <c r="W244" s="616"/>
      <c r="X244" s="616"/>
      <c r="Y244" s="616"/>
      <c r="Z244" s="616">
        <v>20.05</v>
      </c>
      <c r="AA244" s="615">
        <f t="shared" si="194"/>
        <v>15.44</v>
      </c>
      <c r="AB244" s="616"/>
      <c r="AC244" s="616"/>
      <c r="AD244" s="616"/>
      <c r="AE244" s="616"/>
      <c r="AF244" s="616">
        <v>15.44</v>
      </c>
      <c r="AG244" s="615">
        <f t="shared" si="195"/>
        <v>838.31</v>
      </c>
      <c r="AH244" s="615">
        <f t="shared" si="196"/>
        <v>556.37</v>
      </c>
      <c r="AI244" s="616">
        <f t="shared" si="197"/>
        <v>0</v>
      </c>
      <c r="AJ244" s="616">
        <f t="shared" si="198"/>
        <v>0</v>
      </c>
      <c r="AK244" s="616">
        <f t="shared" si="199"/>
        <v>0</v>
      </c>
      <c r="AL244" s="616">
        <f t="shared" si="200"/>
        <v>0</v>
      </c>
      <c r="AM244" s="616">
        <f t="shared" si="201"/>
        <v>0</v>
      </c>
      <c r="AN244" s="616">
        <f t="shared" si="202"/>
        <v>556.37</v>
      </c>
      <c r="AO244" s="615">
        <f t="shared" si="203"/>
        <v>281.94</v>
      </c>
      <c r="AP244" s="616">
        <f t="shared" si="204"/>
        <v>0</v>
      </c>
      <c r="AQ244" s="616">
        <f t="shared" si="205"/>
        <v>0</v>
      </c>
      <c r="AR244" s="616">
        <f t="shared" si="206"/>
        <v>0</v>
      </c>
      <c r="AS244" s="616">
        <f t="shared" si="207"/>
        <v>80</v>
      </c>
      <c r="AT244" s="637">
        <f t="shared" si="208"/>
        <v>201.94</v>
      </c>
      <c r="AU244" s="638">
        <f t="shared" si="256"/>
        <v>0</v>
      </c>
      <c r="AV244" s="616">
        <f t="shared" si="257"/>
        <v>0</v>
      </c>
      <c r="AW244" s="616">
        <f t="shared" si="258"/>
        <v>0</v>
      </c>
      <c r="AX244" s="616">
        <f t="shared" si="259"/>
        <v>0</v>
      </c>
      <c r="AY244" s="616">
        <f t="shared" si="260"/>
        <v>0</v>
      </c>
      <c r="AZ244" s="616">
        <f t="shared" si="261"/>
        <v>0</v>
      </c>
      <c r="BA244" s="616">
        <f t="shared" si="262"/>
        <v>0</v>
      </c>
      <c r="BB244" s="616"/>
      <c r="BC244" s="615">
        <f t="shared" si="210"/>
        <v>0</v>
      </c>
      <c r="BD244" s="616">
        <f t="shared" si="211"/>
        <v>0</v>
      </c>
      <c r="BE244" s="616">
        <f t="shared" si="212"/>
        <v>0</v>
      </c>
      <c r="BF244" s="616">
        <f t="shared" si="213"/>
        <v>0</v>
      </c>
      <c r="BG244" s="616">
        <f t="shared" si="214"/>
        <v>0</v>
      </c>
      <c r="BH244" s="616">
        <f t="shared" si="215"/>
        <v>0</v>
      </c>
      <c r="BI244" s="616">
        <f t="shared" si="216"/>
        <v>0</v>
      </c>
      <c r="BJ244" s="616"/>
      <c r="BK244" s="615">
        <f t="shared" si="217"/>
        <v>0</v>
      </c>
      <c r="BL244" s="616">
        <f t="shared" si="218"/>
        <v>0</v>
      </c>
      <c r="BM244" s="616">
        <f t="shared" si="219"/>
        <v>0</v>
      </c>
      <c r="BN244" s="616">
        <f t="shared" si="220"/>
        <v>0</v>
      </c>
      <c r="BO244" s="616">
        <f t="shared" si="221"/>
        <v>0</v>
      </c>
      <c r="BP244" s="616">
        <f t="shared" si="222"/>
        <v>0</v>
      </c>
      <c r="BQ244" s="616">
        <f t="shared" si="223"/>
        <v>0</v>
      </c>
      <c r="BR244" s="616">
        <f t="shared" si="224"/>
        <v>0</v>
      </c>
      <c r="BS244" s="304" t="s">
        <v>716</v>
      </c>
    </row>
    <row r="245" s="132" customFormat="1" ht="24" spans="1:71">
      <c r="A245" s="497" t="s">
        <v>504</v>
      </c>
      <c r="B245" s="497" t="s">
        <v>206</v>
      </c>
      <c r="C245" s="497" t="s">
        <v>539</v>
      </c>
      <c r="D245" s="497" t="s">
        <v>540</v>
      </c>
      <c r="E245" s="615">
        <f t="shared" si="253"/>
        <v>124.63</v>
      </c>
      <c r="F245" s="615">
        <f t="shared" si="254"/>
        <v>107.91</v>
      </c>
      <c r="G245" s="616">
        <v>70.42</v>
      </c>
      <c r="H245" s="616">
        <v>1.7</v>
      </c>
      <c r="I245" s="616">
        <v>27.87</v>
      </c>
      <c r="J245" s="616">
        <v>7.92</v>
      </c>
      <c r="K245" s="616"/>
      <c r="L245" s="616"/>
      <c r="M245" s="615">
        <f t="shared" si="255"/>
        <v>16.72</v>
      </c>
      <c r="N245" s="616">
        <v>16.72</v>
      </c>
      <c r="O245" s="616"/>
      <c r="P245" s="616"/>
      <c r="Q245" s="618"/>
      <c r="R245" s="616"/>
      <c r="S245" s="615">
        <f t="shared" si="192"/>
        <v>26.51</v>
      </c>
      <c r="T245" s="615">
        <f t="shared" si="193"/>
        <v>22.04</v>
      </c>
      <c r="U245" s="616">
        <v>13.9</v>
      </c>
      <c r="V245" s="616">
        <v>0.35</v>
      </c>
      <c r="W245" s="616">
        <v>6.42</v>
      </c>
      <c r="X245" s="616">
        <v>1.37</v>
      </c>
      <c r="Y245" s="616"/>
      <c r="Z245" s="616"/>
      <c r="AA245" s="615">
        <f t="shared" si="194"/>
        <v>4.47</v>
      </c>
      <c r="AB245" s="616">
        <v>3.87</v>
      </c>
      <c r="AC245" s="616"/>
      <c r="AD245" s="616"/>
      <c r="AE245" s="616">
        <v>0.6</v>
      </c>
      <c r="AF245" s="616"/>
      <c r="AG245" s="615">
        <f t="shared" si="195"/>
        <v>151.14</v>
      </c>
      <c r="AH245" s="615">
        <f t="shared" si="196"/>
        <v>129.95</v>
      </c>
      <c r="AI245" s="616">
        <f t="shared" si="197"/>
        <v>84.32</v>
      </c>
      <c r="AJ245" s="616">
        <f t="shared" si="198"/>
        <v>2.05</v>
      </c>
      <c r="AK245" s="616">
        <f t="shared" si="199"/>
        <v>34.29</v>
      </c>
      <c r="AL245" s="616">
        <f t="shared" si="200"/>
        <v>9.29</v>
      </c>
      <c r="AM245" s="616">
        <f t="shared" si="201"/>
        <v>0</v>
      </c>
      <c r="AN245" s="616">
        <f t="shared" si="202"/>
        <v>0</v>
      </c>
      <c r="AO245" s="615">
        <f t="shared" si="203"/>
        <v>21.19</v>
      </c>
      <c r="AP245" s="616">
        <f t="shared" si="204"/>
        <v>20.59</v>
      </c>
      <c r="AQ245" s="616">
        <f t="shared" si="205"/>
        <v>0</v>
      </c>
      <c r="AR245" s="616">
        <f t="shared" si="206"/>
        <v>0</v>
      </c>
      <c r="AS245" s="616">
        <f t="shared" si="207"/>
        <v>0.6</v>
      </c>
      <c r="AT245" s="637">
        <f t="shared" si="208"/>
        <v>0</v>
      </c>
      <c r="AU245" s="638">
        <f t="shared" si="256"/>
        <v>49.95188</v>
      </c>
      <c r="AV245" s="616">
        <f t="shared" si="257"/>
        <v>18.6736</v>
      </c>
      <c r="AW245" s="616">
        <f t="shared" si="258"/>
        <v>9.3368</v>
      </c>
      <c r="AX245" s="616">
        <f t="shared" si="259"/>
        <v>7.0026</v>
      </c>
      <c r="AY245" s="616">
        <f t="shared" si="260"/>
        <v>0.23342</v>
      </c>
      <c r="AZ245" s="616">
        <f t="shared" si="261"/>
        <v>0.70026</v>
      </c>
      <c r="BA245" s="616">
        <f t="shared" si="262"/>
        <v>14.0052</v>
      </c>
      <c r="BB245" s="616"/>
      <c r="BC245" s="615">
        <f t="shared" si="210"/>
        <v>10.50312</v>
      </c>
      <c r="BD245" s="616">
        <f t="shared" si="211"/>
        <v>3.9264</v>
      </c>
      <c r="BE245" s="616">
        <f t="shared" si="212"/>
        <v>1.9632</v>
      </c>
      <c r="BF245" s="616">
        <f t="shared" si="213"/>
        <v>1.4724</v>
      </c>
      <c r="BG245" s="616">
        <f t="shared" si="214"/>
        <v>0.04908</v>
      </c>
      <c r="BH245" s="616">
        <f t="shared" si="215"/>
        <v>0.14724</v>
      </c>
      <c r="BI245" s="616">
        <f t="shared" si="216"/>
        <v>2.9448</v>
      </c>
      <c r="BJ245" s="616"/>
      <c r="BK245" s="615">
        <f t="shared" si="217"/>
        <v>60.455</v>
      </c>
      <c r="BL245" s="616">
        <f t="shared" si="218"/>
        <v>22.6</v>
      </c>
      <c r="BM245" s="616">
        <f t="shared" si="219"/>
        <v>11.3</v>
      </c>
      <c r="BN245" s="616">
        <f t="shared" si="220"/>
        <v>8.475</v>
      </c>
      <c r="BO245" s="616">
        <f t="shared" si="221"/>
        <v>0.2825</v>
      </c>
      <c r="BP245" s="616">
        <f t="shared" si="222"/>
        <v>0.8475</v>
      </c>
      <c r="BQ245" s="616">
        <f t="shared" si="223"/>
        <v>16.95</v>
      </c>
      <c r="BR245" s="616">
        <f t="shared" si="224"/>
        <v>0</v>
      </c>
      <c r="BS245" s="304"/>
    </row>
    <row r="246" s="132" customFormat="1" ht="24" spans="1:71">
      <c r="A246" s="497" t="s">
        <v>504</v>
      </c>
      <c r="B246" s="497" t="s">
        <v>206</v>
      </c>
      <c r="C246" s="497" t="s">
        <v>541</v>
      </c>
      <c r="D246" s="497" t="s">
        <v>540</v>
      </c>
      <c r="E246" s="615">
        <f t="shared" si="253"/>
        <v>139.85</v>
      </c>
      <c r="F246" s="615">
        <f t="shared" si="254"/>
        <v>120.91</v>
      </c>
      <c r="G246" s="616">
        <v>80.46</v>
      </c>
      <c r="H246" s="616">
        <v>1.69</v>
      </c>
      <c r="I246" s="616">
        <v>31.56</v>
      </c>
      <c r="J246" s="616">
        <v>7.2</v>
      </c>
      <c r="K246" s="650"/>
      <c r="L246" s="616"/>
      <c r="M246" s="615">
        <f t="shared" si="255"/>
        <v>18.94</v>
      </c>
      <c r="N246" s="616">
        <v>18.94</v>
      </c>
      <c r="O246" s="616"/>
      <c r="P246" s="616"/>
      <c r="Q246" s="616"/>
      <c r="R246" s="616"/>
      <c r="S246" s="615">
        <f t="shared" si="192"/>
        <v>-3.57</v>
      </c>
      <c r="T246" s="615">
        <f t="shared" si="193"/>
        <v>-3.71</v>
      </c>
      <c r="U246" s="616">
        <v>-2.8</v>
      </c>
      <c r="V246" s="616">
        <v>-0.07</v>
      </c>
      <c r="W246" s="616">
        <v>-0.84</v>
      </c>
      <c r="X246" s="616">
        <v>0</v>
      </c>
      <c r="Y246" s="616"/>
      <c r="Z246" s="616"/>
      <c r="AA246" s="615">
        <f t="shared" si="194"/>
        <v>0.14</v>
      </c>
      <c r="AB246" s="616">
        <v>-0.46</v>
      </c>
      <c r="AC246" s="616"/>
      <c r="AD246" s="616"/>
      <c r="AE246" s="616">
        <v>0.6</v>
      </c>
      <c r="AF246" s="616"/>
      <c r="AG246" s="615">
        <f t="shared" si="195"/>
        <v>136.28</v>
      </c>
      <c r="AH246" s="615">
        <f t="shared" si="196"/>
        <v>117.2</v>
      </c>
      <c r="AI246" s="616">
        <f t="shared" si="197"/>
        <v>77.66</v>
      </c>
      <c r="AJ246" s="616">
        <f t="shared" si="198"/>
        <v>1.62</v>
      </c>
      <c r="AK246" s="616">
        <f t="shared" si="199"/>
        <v>30.72</v>
      </c>
      <c r="AL246" s="616">
        <f t="shared" si="200"/>
        <v>7.2</v>
      </c>
      <c r="AM246" s="616">
        <f t="shared" si="201"/>
        <v>0</v>
      </c>
      <c r="AN246" s="616">
        <f t="shared" si="202"/>
        <v>0</v>
      </c>
      <c r="AO246" s="615">
        <f t="shared" si="203"/>
        <v>19.08</v>
      </c>
      <c r="AP246" s="616">
        <f t="shared" si="204"/>
        <v>18.48</v>
      </c>
      <c r="AQ246" s="616">
        <f t="shared" si="205"/>
        <v>0</v>
      </c>
      <c r="AR246" s="616">
        <f t="shared" si="206"/>
        <v>0</v>
      </c>
      <c r="AS246" s="616">
        <f t="shared" si="207"/>
        <v>0.6</v>
      </c>
      <c r="AT246" s="637">
        <f t="shared" si="208"/>
        <v>0</v>
      </c>
      <c r="AU246" s="638">
        <f t="shared" si="256"/>
        <v>56.7742</v>
      </c>
      <c r="AV246" s="616">
        <f t="shared" si="257"/>
        <v>21.224</v>
      </c>
      <c r="AW246" s="616">
        <f t="shared" si="258"/>
        <v>10.612</v>
      </c>
      <c r="AX246" s="616">
        <f t="shared" si="259"/>
        <v>7.959</v>
      </c>
      <c r="AY246" s="616">
        <f t="shared" si="260"/>
        <v>0.2653</v>
      </c>
      <c r="AZ246" s="616">
        <f t="shared" si="261"/>
        <v>0.7959</v>
      </c>
      <c r="BA246" s="616">
        <f t="shared" si="262"/>
        <v>15.918</v>
      </c>
      <c r="BB246" s="616"/>
      <c r="BC246" s="615">
        <f t="shared" si="210"/>
        <v>-1.78476</v>
      </c>
      <c r="BD246" s="616">
        <f t="shared" si="211"/>
        <v>-0.6672</v>
      </c>
      <c r="BE246" s="616">
        <f t="shared" si="212"/>
        <v>-0.3336</v>
      </c>
      <c r="BF246" s="616">
        <f t="shared" si="213"/>
        <v>-0.2502</v>
      </c>
      <c r="BG246" s="616">
        <f t="shared" si="214"/>
        <v>-0.00834</v>
      </c>
      <c r="BH246" s="616">
        <f t="shared" si="215"/>
        <v>-0.02502</v>
      </c>
      <c r="BI246" s="616">
        <f t="shared" si="216"/>
        <v>-0.5004</v>
      </c>
      <c r="BJ246" s="616"/>
      <c r="BK246" s="615">
        <f t="shared" si="217"/>
        <v>54.98944</v>
      </c>
      <c r="BL246" s="616">
        <f t="shared" si="218"/>
        <v>20.5568</v>
      </c>
      <c r="BM246" s="616">
        <f t="shared" si="219"/>
        <v>10.2784</v>
      </c>
      <c r="BN246" s="616">
        <f t="shared" si="220"/>
        <v>7.7088</v>
      </c>
      <c r="BO246" s="616">
        <f t="shared" si="221"/>
        <v>0.25696</v>
      </c>
      <c r="BP246" s="616">
        <f t="shared" si="222"/>
        <v>0.77088</v>
      </c>
      <c r="BQ246" s="616">
        <f t="shared" si="223"/>
        <v>15.4176</v>
      </c>
      <c r="BR246" s="616">
        <f t="shared" si="224"/>
        <v>0</v>
      </c>
      <c r="BS246" s="304"/>
    </row>
    <row r="247" s="132" customFormat="1" ht="24" spans="1:71">
      <c r="A247" s="497" t="s">
        <v>504</v>
      </c>
      <c r="B247" s="497" t="s">
        <v>206</v>
      </c>
      <c r="C247" s="497" t="s">
        <v>542</v>
      </c>
      <c r="D247" s="497" t="s">
        <v>540</v>
      </c>
      <c r="E247" s="615">
        <f t="shared" si="253"/>
        <v>70.4914</v>
      </c>
      <c r="F247" s="615">
        <f t="shared" si="254"/>
        <v>60.9528</v>
      </c>
      <c r="G247" s="616">
        <v>39.4896</v>
      </c>
      <c r="H247" s="616">
        <v>0.8856</v>
      </c>
      <c r="I247" s="616">
        <v>15.8976</v>
      </c>
      <c r="J247" s="616">
        <v>4.68</v>
      </c>
      <c r="K247" s="650"/>
      <c r="L247" s="616"/>
      <c r="M247" s="615">
        <f t="shared" si="255"/>
        <v>9.5386</v>
      </c>
      <c r="N247" s="616">
        <v>9.5386</v>
      </c>
      <c r="O247" s="616"/>
      <c r="P247" s="616"/>
      <c r="Q247" s="616"/>
      <c r="R247" s="616"/>
      <c r="S247" s="615">
        <f t="shared" si="192"/>
        <v>23.47</v>
      </c>
      <c r="T247" s="615">
        <f t="shared" si="193"/>
        <v>19.73</v>
      </c>
      <c r="U247" s="616">
        <v>12.09</v>
      </c>
      <c r="V247" s="616">
        <v>0.36</v>
      </c>
      <c r="W247" s="616">
        <v>5.69</v>
      </c>
      <c r="X247" s="616">
        <v>1.59</v>
      </c>
      <c r="Y247" s="616"/>
      <c r="Z247" s="616"/>
      <c r="AA247" s="615">
        <f t="shared" si="194"/>
        <v>3.74</v>
      </c>
      <c r="AB247" s="616">
        <v>3.44</v>
      </c>
      <c r="AC247" s="616"/>
      <c r="AD247" s="616"/>
      <c r="AE247" s="616">
        <v>0.3</v>
      </c>
      <c r="AF247" s="616"/>
      <c r="AG247" s="615">
        <f t="shared" si="195"/>
        <v>93.9614</v>
      </c>
      <c r="AH247" s="615">
        <f t="shared" si="196"/>
        <v>80.6828</v>
      </c>
      <c r="AI247" s="616">
        <f t="shared" si="197"/>
        <v>51.5796</v>
      </c>
      <c r="AJ247" s="616">
        <f t="shared" si="198"/>
        <v>1.2456</v>
      </c>
      <c r="AK247" s="616">
        <f t="shared" si="199"/>
        <v>21.5876</v>
      </c>
      <c r="AL247" s="616">
        <f t="shared" si="200"/>
        <v>6.27</v>
      </c>
      <c r="AM247" s="616">
        <f t="shared" si="201"/>
        <v>0</v>
      </c>
      <c r="AN247" s="616">
        <f t="shared" si="202"/>
        <v>0</v>
      </c>
      <c r="AO247" s="615">
        <f t="shared" si="203"/>
        <v>13.2786</v>
      </c>
      <c r="AP247" s="616">
        <f t="shared" si="204"/>
        <v>12.9786</v>
      </c>
      <c r="AQ247" s="616">
        <f t="shared" si="205"/>
        <v>0</v>
      </c>
      <c r="AR247" s="616">
        <f t="shared" si="206"/>
        <v>0</v>
      </c>
      <c r="AS247" s="616">
        <f t="shared" si="207"/>
        <v>0.3</v>
      </c>
      <c r="AT247" s="637">
        <f t="shared" si="208"/>
        <v>0</v>
      </c>
      <c r="AU247" s="638">
        <f t="shared" si="256"/>
        <v>28.1672792</v>
      </c>
      <c r="AV247" s="616">
        <f t="shared" si="257"/>
        <v>10.529824</v>
      </c>
      <c r="AW247" s="616">
        <f t="shared" si="258"/>
        <v>5.264912</v>
      </c>
      <c r="AX247" s="616">
        <f t="shared" si="259"/>
        <v>3.948684</v>
      </c>
      <c r="AY247" s="616">
        <f t="shared" si="260"/>
        <v>0.1316228</v>
      </c>
      <c r="AZ247" s="616">
        <f t="shared" si="261"/>
        <v>0.3948684</v>
      </c>
      <c r="BA247" s="616">
        <f t="shared" si="262"/>
        <v>7.897368</v>
      </c>
      <c r="BB247" s="616"/>
      <c r="BC247" s="615">
        <f t="shared" si="210"/>
        <v>9.23624</v>
      </c>
      <c r="BD247" s="616">
        <f t="shared" si="211"/>
        <v>3.4528</v>
      </c>
      <c r="BE247" s="616">
        <f t="shared" si="212"/>
        <v>1.7264</v>
      </c>
      <c r="BF247" s="616">
        <f t="shared" si="213"/>
        <v>1.2948</v>
      </c>
      <c r="BG247" s="616">
        <f t="shared" si="214"/>
        <v>0.04316</v>
      </c>
      <c r="BH247" s="616">
        <f t="shared" si="215"/>
        <v>0.12948</v>
      </c>
      <c r="BI247" s="616">
        <f t="shared" si="216"/>
        <v>2.5896</v>
      </c>
      <c r="BJ247" s="616"/>
      <c r="BK247" s="615">
        <f t="shared" si="217"/>
        <v>37.4035192</v>
      </c>
      <c r="BL247" s="616">
        <f t="shared" si="218"/>
        <v>13.982624</v>
      </c>
      <c r="BM247" s="616">
        <f t="shared" si="219"/>
        <v>6.991312</v>
      </c>
      <c r="BN247" s="616">
        <f t="shared" si="220"/>
        <v>5.243484</v>
      </c>
      <c r="BO247" s="616">
        <f t="shared" si="221"/>
        <v>0.1747828</v>
      </c>
      <c r="BP247" s="616">
        <f t="shared" si="222"/>
        <v>0.5243484</v>
      </c>
      <c r="BQ247" s="616">
        <f t="shared" si="223"/>
        <v>10.486968</v>
      </c>
      <c r="BR247" s="616">
        <f t="shared" si="224"/>
        <v>0</v>
      </c>
      <c r="BS247" s="304"/>
    </row>
    <row r="248" s="132" customFormat="1" ht="24" spans="1:71">
      <c r="A248" s="497" t="s">
        <v>504</v>
      </c>
      <c r="B248" s="497" t="s">
        <v>206</v>
      </c>
      <c r="C248" s="497" t="s">
        <v>543</v>
      </c>
      <c r="D248" s="497" t="s">
        <v>540</v>
      </c>
      <c r="E248" s="615">
        <f t="shared" si="253"/>
        <v>102.77</v>
      </c>
      <c r="F248" s="615">
        <f t="shared" si="254"/>
        <v>90.23</v>
      </c>
      <c r="G248" s="616">
        <v>65.15</v>
      </c>
      <c r="H248" s="616">
        <v>1.06</v>
      </c>
      <c r="I248" s="616">
        <v>20.9</v>
      </c>
      <c r="J248" s="616">
        <v>3.12</v>
      </c>
      <c r="K248" s="650"/>
      <c r="L248" s="616"/>
      <c r="M248" s="615">
        <f t="shared" si="255"/>
        <v>12.54</v>
      </c>
      <c r="N248" s="616">
        <v>12.54</v>
      </c>
      <c r="O248" s="616"/>
      <c r="P248" s="616"/>
      <c r="Q248" s="616"/>
      <c r="R248" s="616"/>
      <c r="S248" s="615">
        <f t="shared" si="192"/>
        <v>6.93</v>
      </c>
      <c r="T248" s="615">
        <f t="shared" si="193"/>
        <v>6.03</v>
      </c>
      <c r="U248" s="616">
        <v>4.3</v>
      </c>
      <c r="V248" s="616">
        <v>0.07</v>
      </c>
      <c r="W248" s="616">
        <v>1.5</v>
      </c>
      <c r="X248" s="616">
        <v>0.16</v>
      </c>
      <c r="Y248" s="616"/>
      <c r="Z248" s="616"/>
      <c r="AA248" s="615">
        <f t="shared" si="194"/>
        <v>0.9</v>
      </c>
      <c r="AB248" s="616">
        <v>0.45</v>
      </c>
      <c r="AC248" s="616"/>
      <c r="AD248" s="616"/>
      <c r="AE248" s="616">
        <v>0.45</v>
      </c>
      <c r="AF248" s="616"/>
      <c r="AG248" s="615">
        <f t="shared" si="195"/>
        <v>109.7</v>
      </c>
      <c r="AH248" s="615">
        <f t="shared" si="196"/>
        <v>96.26</v>
      </c>
      <c r="AI248" s="616">
        <f t="shared" si="197"/>
        <v>69.45</v>
      </c>
      <c r="AJ248" s="616">
        <f t="shared" si="198"/>
        <v>1.13</v>
      </c>
      <c r="AK248" s="616">
        <f t="shared" si="199"/>
        <v>22.4</v>
      </c>
      <c r="AL248" s="616">
        <f t="shared" si="200"/>
        <v>3.28</v>
      </c>
      <c r="AM248" s="616">
        <f t="shared" si="201"/>
        <v>0</v>
      </c>
      <c r="AN248" s="616">
        <f t="shared" si="202"/>
        <v>0</v>
      </c>
      <c r="AO248" s="615">
        <f t="shared" si="203"/>
        <v>13.44</v>
      </c>
      <c r="AP248" s="616">
        <f t="shared" si="204"/>
        <v>12.99</v>
      </c>
      <c r="AQ248" s="616">
        <f t="shared" si="205"/>
        <v>0</v>
      </c>
      <c r="AR248" s="616">
        <f t="shared" si="206"/>
        <v>0</v>
      </c>
      <c r="AS248" s="616">
        <f t="shared" si="207"/>
        <v>0.45</v>
      </c>
      <c r="AT248" s="637">
        <f t="shared" si="208"/>
        <v>0</v>
      </c>
      <c r="AU248" s="638">
        <f t="shared" si="256"/>
        <v>42.6502</v>
      </c>
      <c r="AV248" s="616">
        <f t="shared" si="257"/>
        <v>15.944</v>
      </c>
      <c r="AW248" s="616">
        <f t="shared" si="258"/>
        <v>7.972</v>
      </c>
      <c r="AX248" s="616">
        <f t="shared" si="259"/>
        <v>5.979</v>
      </c>
      <c r="AY248" s="616">
        <f t="shared" si="260"/>
        <v>0.1993</v>
      </c>
      <c r="AZ248" s="616">
        <f t="shared" si="261"/>
        <v>0.5979</v>
      </c>
      <c r="BA248" s="616">
        <f t="shared" si="262"/>
        <v>11.958</v>
      </c>
      <c r="BB248" s="616"/>
      <c r="BC248" s="615">
        <f t="shared" si="210"/>
        <v>2.70496</v>
      </c>
      <c r="BD248" s="616">
        <f t="shared" si="211"/>
        <v>1.0112</v>
      </c>
      <c r="BE248" s="616">
        <f t="shared" si="212"/>
        <v>0.5056</v>
      </c>
      <c r="BF248" s="616">
        <f t="shared" si="213"/>
        <v>0.3792</v>
      </c>
      <c r="BG248" s="616">
        <f t="shared" si="214"/>
        <v>0.01264</v>
      </c>
      <c r="BH248" s="616">
        <f t="shared" si="215"/>
        <v>0.03792</v>
      </c>
      <c r="BI248" s="616">
        <f t="shared" si="216"/>
        <v>0.7584</v>
      </c>
      <c r="BJ248" s="616"/>
      <c r="BK248" s="615">
        <f t="shared" si="217"/>
        <v>45.35516</v>
      </c>
      <c r="BL248" s="616">
        <f t="shared" si="218"/>
        <v>16.9552</v>
      </c>
      <c r="BM248" s="616">
        <f t="shared" si="219"/>
        <v>8.4776</v>
      </c>
      <c r="BN248" s="616">
        <f t="shared" si="220"/>
        <v>6.3582</v>
      </c>
      <c r="BO248" s="616">
        <f t="shared" si="221"/>
        <v>0.21194</v>
      </c>
      <c r="BP248" s="616">
        <f t="shared" si="222"/>
        <v>0.63582</v>
      </c>
      <c r="BQ248" s="616">
        <f t="shared" si="223"/>
        <v>12.7164</v>
      </c>
      <c r="BR248" s="616">
        <f t="shared" si="224"/>
        <v>0</v>
      </c>
      <c r="BS248" s="304"/>
    </row>
    <row r="249" s="132" customFormat="1" ht="24" spans="1:71">
      <c r="A249" s="497" t="s">
        <v>504</v>
      </c>
      <c r="B249" s="497" t="s">
        <v>206</v>
      </c>
      <c r="C249" s="497" t="s">
        <v>544</v>
      </c>
      <c r="D249" s="497" t="s">
        <v>540</v>
      </c>
      <c r="E249" s="615">
        <f t="shared" si="253"/>
        <v>79.3474</v>
      </c>
      <c r="F249" s="615">
        <f t="shared" si="254"/>
        <v>68.4084</v>
      </c>
      <c r="G249" s="616">
        <v>42.3888</v>
      </c>
      <c r="H249" s="616">
        <v>1.068</v>
      </c>
      <c r="I249" s="616">
        <v>18.2316</v>
      </c>
      <c r="J249" s="616">
        <v>6.72</v>
      </c>
      <c r="K249" s="650"/>
      <c r="L249" s="616"/>
      <c r="M249" s="615">
        <f t="shared" si="255"/>
        <v>10.939</v>
      </c>
      <c r="N249" s="616">
        <v>10.939</v>
      </c>
      <c r="O249" s="616"/>
      <c r="P249" s="616"/>
      <c r="Q249" s="616"/>
      <c r="R249" s="616"/>
      <c r="S249" s="615">
        <f t="shared" si="192"/>
        <v>-1.21</v>
      </c>
      <c r="T249" s="615">
        <f t="shared" si="193"/>
        <v>-1.8</v>
      </c>
      <c r="U249" s="616">
        <v>-0.72</v>
      </c>
      <c r="V249" s="616">
        <v>-0.04</v>
      </c>
      <c r="W249" s="616">
        <v>-0.18</v>
      </c>
      <c r="X249" s="616">
        <v>-0.86</v>
      </c>
      <c r="Y249" s="616"/>
      <c r="Z249" s="616"/>
      <c r="AA249" s="615">
        <f t="shared" si="194"/>
        <v>0.59</v>
      </c>
      <c r="AB249" s="616">
        <v>-0.01</v>
      </c>
      <c r="AC249" s="616"/>
      <c r="AD249" s="616"/>
      <c r="AE249" s="616">
        <v>0.6</v>
      </c>
      <c r="AF249" s="616"/>
      <c r="AG249" s="615">
        <f t="shared" si="195"/>
        <v>78.1374</v>
      </c>
      <c r="AH249" s="615">
        <f t="shared" si="196"/>
        <v>66.6084</v>
      </c>
      <c r="AI249" s="616">
        <f t="shared" si="197"/>
        <v>41.6688</v>
      </c>
      <c r="AJ249" s="616">
        <f t="shared" si="198"/>
        <v>1.028</v>
      </c>
      <c r="AK249" s="616">
        <f t="shared" si="199"/>
        <v>18.0516</v>
      </c>
      <c r="AL249" s="616">
        <f t="shared" si="200"/>
        <v>5.86</v>
      </c>
      <c r="AM249" s="616">
        <f t="shared" si="201"/>
        <v>0</v>
      </c>
      <c r="AN249" s="616">
        <f t="shared" si="202"/>
        <v>0</v>
      </c>
      <c r="AO249" s="615">
        <f t="shared" si="203"/>
        <v>11.529</v>
      </c>
      <c r="AP249" s="616">
        <f t="shared" si="204"/>
        <v>10.929</v>
      </c>
      <c r="AQ249" s="616">
        <f t="shared" si="205"/>
        <v>0</v>
      </c>
      <c r="AR249" s="616">
        <f t="shared" si="206"/>
        <v>0</v>
      </c>
      <c r="AS249" s="616">
        <f t="shared" si="207"/>
        <v>0.6</v>
      </c>
      <c r="AT249" s="637">
        <f t="shared" si="208"/>
        <v>0</v>
      </c>
      <c r="AU249" s="638">
        <f t="shared" si="256"/>
        <v>31.0845272</v>
      </c>
      <c r="AV249" s="616">
        <f t="shared" si="257"/>
        <v>11.620384</v>
      </c>
      <c r="AW249" s="616">
        <f t="shared" si="258"/>
        <v>5.810192</v>
      </c>
      <c r="AX249" s="616">
        <f t="shared" si="259"/>
        <v>4.357644</v>
      </c>
      <c r="AY249" s="616">
        <f t="shared" si="260"/>
        <v>0.1452548</v>
      </c>
      <c r="AZ249" s="616">
        <f t="shared" si="261"/>
        <v>0.4357644</v>
      </c>
      <c r="BA249" s="616">
        <f t="shared" si="262"/>
        <v>8.715288</v>
      </c>
      <c r="BB249" s="616"/>
      <c r="BC249" s="615">
        <f t="shared" si="210"/>
        <v>-0.4066</v>
      </c>
      <c r="BD249" s="616">
        <f t="shared" si="211"/>
        <v>-0.152</v>
      </c>
      <c r="BE249" s="616">
        <f t="shared" si="212"/>
        <v>-0.076</v>
      </c>
      <c r="BF249" s="616">
        <f t="shared" si="213"/>
        <v>-0.057</v>
      </c>
      <c r="BG249" s="616">
        <f t="shared" si="214"/>
        <v>-0.0019</v>
      </c>
      <c r="BH249" s="616">
        <f t="shared" si="215"/>
        <v>-0.0057</v>
      </c>
      <c r="BI249" s="616">
        <f t="shared" si="216"/>
        <v>-0.114</v>
      </c>
      <c r="BJ249" s="616"/>
      <c r="BK249" s="615">
        <f t="shared" si="217"/>
        <v>30.6779272</v>
      </c>
      <c r="BL249" s="616">
        <f t="shared" si="218"/>
        <v>11.468384</v>
      </c>
      <c r="BM249" s="616">
        <f t="shared" si="219"/>
        <v>5.734192</v>
      </c>
      <c r="BN249" s="616">
        <f t="shared" si="220"/>
        <v>4.300644</v>
      </c>
      <c r="BO249" s="616">
        <f t="shared" si="221"/>
        <v>0.1433548</v>
      </c>
      <c r="BP249" s="616">
        <f t="shared" si="222"/>
        <v>0.4300644</v>
      </c>
      <c r="BQ249" s="616">
        <f t="shared" si="223"/>
        <v>8.601288</v>
      </c>
      <c r="BR249" s="616">
        <f t="shared" si="224"/>
        <v>0</v>
      </c>
      <c r="BS249" s="304"/>
    </row>
    <row r="250" s="132" customFormat="1" ht="24" spans="1:71">
      <c r="A250" s="497" t="s">
        <v>504</v>
      </c>
      <c r="B250" s="497" t="s">
        <v>206</v>
      </c>
      <c r="C250" s="497" t="s">
        <v>545</v>
      </c>
      <c r="D250" s="497" t="s">
        <v>546</v>
      </c>
      <c r="E250" s="615">
        <f t="shared" si="253"/>
        <v>289.36</v>
      </c>
      <c r="F250" s="615">
        <f t="shared" si="254"/>
        <v>252.34</v>
      </c>
      <c r="G250" s="616">
        <v>177.96</v>
      </c>
      <c r="H250" s="616">
        <v>3.08</v>
      </c>
      <c r="I250" s="616">
        <v>61.7</v>
      </c>
      <c r="J250" s="616">
        <v>9.6</v>
      </c>
      <c r="K250" s="650"/>
      <c r="L250" s="616"/>
      <c r="M250" s="615">
        <f t="shared" si="255"/>
        <v>37.02</v>
      </c>
      <c r="N250" s="616">
        <v>37.02</v>
      </c>
      <c r="O250" s="616"/>
      <c r="P250" s="616"/>
      <c r="Q250" s="616"/>
      <c r="R250" s="616"/>
      <c r="S250" s="615">
        <f t="shared" si="192"/>
        <v>27.21</v>
      </c>
      <c r="T250" s="615">
        <f t="shared" si="193"/>
        <v>22.53</v>
      </c>
      <c r="U250" s="616">
        <v>16.28</v>
      </c>
      <c r="V250" s="616">
        <v>0.28</v>
      </c>
      <c r="W250" s="616">
        <v>6.15</v>
      </c>
      <c r="X250" s="616">
        <v>-0.18</v>
      </c>
      <c r="Y250" s="616"/>
      <c r="Z250" s="616"/>
      <c r="AA250" s="615">
        <f t="shared" si="194"/>
        <v>4.68</v>
      </c>
      <c r="AB250" s="616">
        <v>3.48</v>
      </c>
      <c r="AC250" s="616"/>
      <c r="AD250" s="616"/>
      <c r="AE250" s="616">
        <v>1.2</v>
      </c>
      <c r="AF250" s="616"/>
      <c r="AG250" s="615">
        <f t="shared" si="195"/>
        <v>316.57</v>
      </c>
      <c r="AH250" s="615">
        <f t="shared" si="196"/>
        <v>274.87</v>
      </c>
      <c r="AI250" s="616">
        <f t="shared" si="197"/>
        <v>194.24</v>
      </c>
      <c r="AJ250" s="616">
        <f t="shared" si="198"/>
        <v>3.36</v>
      </c>
      <c r="AK250" s="616">
        <f t="shared" si="199"/>
        <v>67.85</v>
      </c>
      <c r="AL250" s="616">
        <f t="shared" si="200"/>
        <v>9.42</v>
      </c>
      <c r="AM250" s="616">
        <f t="shared" si="201"/>
        <v>0</v>
      </c>
      <c r="AN250" s="616">
        <f t="shared" si="202"/>
        <v>0</v>
      </c>
      <c r="AO250" s="615">
        <f t="shared" si="203"/>
        <v>41.7</v>
      </c>
      <c r="AP250" s="616">
        <f t="shared" si="204"/>
        <v>40.5</v>
      </c>
      <c r="AQ250" s="616">
        <f t="shared" si="205"/>
        <v>0</v>
      </c>
      <c r="AR250" s="616">
        <f t="shared" si="206"/>
        <v>0</v>
      </c>
      <c r="AS250" s="616">
        <f t="shared" si="207"/>
        <v>1.2</v>
      </c>
      <c r="AT250" s="637">
        <f t="shared" si="208"/>
        <v>0</v>
      </c>
      <c r="AU250" s="638">
        <f t="shared" si="256"/>
        <v>119.73728</v>
      </c>
      <c r="AV250" s="616">
        <f t="shared" si="257"/>
        <v>44.7616</v>
      </c>
      <c r="AW250" s="616">
        <f t="shared" si="258"/>
        <v>22.3808</v>
      </c>
      <c r="AX250" s="616">
        <f t="shared" si="259"/>
        <v>16.7856</v>
      </c>
      <c r="AY250" s="616">
        <f t="shared" si="260"/>
        <v>0.55952</v>
      </c>
      <c r="AZ250" s="616">
        <f t="shared" si="261"/>
        <v>1.67856</v>
      </c>
      <c r="BA250" s="616">
        <f t="shared" si="262"/>
        <v>33.5712</v>
      </c>
      <c r="BB250" s="616"/>
      <c r="BC250" s="615">
        <f t="shared" si="210"/>
        <v>11.20932</v>
      </c>
      <c r="BD250" s="616">
        <f t="shared" si="211"/>
        <v>4.1904</v>
      </c>
      <c r="BE250" s="616">
        <f t="shared" si="212"/>
        <v>2.0952</v>
      </c>
      <c r="BF250" s="616">
        <f t="shared" si="213"/>
        <v>1.5714</v>
      </c>
      <c r="BG250" s="616">
        <f t="shared" si="214"/>
        <v>0.05238</v>
      </c>
      <c r="BH250" s="616">
        <f t="shared" si="215"/>
        <v>0.15714</v>
      </c>
      <c r="BI250" s="616">
        <f t="shared" si="216"/>
        <v>3.1428</v>
      </c>
      <c r="BJ250" s="616"/>
      <c r="BK250" s="615">
        <f t="shared" si="217"/>
        <v>130.9466</v>
      </c>
      <c r="BL250" s="616">
        <f t="shared" si="218"/>
        <v>48.952</v>
      </c>
      <c r="BM250" s="616">
        <f t="shared" si="219"/>
        <v>24.476</v>
      </c>
      <c r="BN250" s="616">
        <f t="shared" si="220"/>
        <v>18.357</v>
      </c>
      <c r="BO250" s="616">
        <f t="shared" si="221"/>
        <v>0.6119</v>
      </c>
      <c r="BP250" s="616">
        <f t="shared" si="222"/>
        <v>1.8357</v>
      </c>
      <c r="BQ250" s="616">
        <f t="shared" si="223"/>
        <v>36.714</v>
      </c>
      <c r="BR250" s="616">
        <f t="shared" si="224"/>
        <v>0</v>
      </c>
      <c r="BS250" s="304"/>
    </row>
    <row r="251" s="132" customFormat="1" ht="24" spans="1:71">
      <c r="A251" s="497" t="s">
        <v>504</v>
      </c>
      <c r="B251" s="497" t="s">
        <v>206</v>
      </c>
      <c r="C251" s="497" t="s">
        <v>547</v>
      </c>
      <c r="D251" s="497" t="s">
        <v>540</v>
      </c>
      <c r="E251" s="615">
        <f t="shared" si="253"/>
        <v>71.1895</v>
      </c>
      <c r="F251" s="615">
        <f t="shared" si="254"/>
        <v>61.4004</v>
      </c>
      <c r="G251" s="616">
        <v>38.8236</v>
      </c>
      <c r="H251" s="616">
        <v>0.9816</v>
      </c>
      <c r="I251" s="616">
        <v>16.3152</v>
      </c>
      <c r="J251" s="616">
        <v>5.28</v>
      </c>
      <c r="K251" s="650"/>
      <c r="L251" s="616"/>
      <c r="M251" s="615">
        <f t="shared" si="255"/>
        <v>9.7891</v>
      </c>
      <c r="N251" s="616">
        <v>9.7891</v>
      </c>
      <c r="O251" s="616"/>
      <c r="P251" s="616"/>
      <c r="Q251" s="616"/>
      <c r="R251" s="616"/>
      <c r="S251" s="615">
        <f t="shared" si="192"/>
        <v>3.052</v>
      </c>
      <c r="T251" s="615">
        <f t="shared" si="193"/>
        <v>2.252</v>
      </c>
      <c r="U251" s="616">
        <v>1.55</v>
      </c>
      <c r="V251" s="616">
        <v>0.015</v>
      </c>
      <c r="W251" s="616">
        <v>0.747</v>
      </c>
      <c r="X251" s="616">
        <v>-0.06</v>
      </c>
      <c r="Y251" s="616"/>
      <c r="Z251" s="616"/>
      <c r="AA251" s="615">
        <f t="shared" si="194"/>
        <v>0.8</v>
      </c>
      <c r="AB251" s="616">
        <v>0.5</v>
      </c>
      <c r="AC251" s="616"/>
      <c r="AD251" s="616"/>
      <c r="AE251" s="616">
        <v>0.3</v>
      </c>
      <c r="AF251" s="616"/>
      <c r="AG251" s="615">
        <f t="shared" si="195"/>
        <v>74.2415</v>
      </c>
      <c r="AH251" s="615">
        <f t="shared" si="196"/>
        <v>63.6524</v>
      </c>
      <c r="AI251" s="616">
        <f t="shared" si="197"/>
        <v>40.3736</v>
      </c>
      <c r="AJ251" s="616">
        <f t="shared" si="198"/>
        <v>0.9966</v>
      </c>
      <c r="AK251" s="616">
        <f t="shared" si="199"/>
        <v>17.0622</v>
      </c>
      <c r="AL251" s="616">
        <f t="shared" si="200"/>
        <v>5.22</v>
      </c>
      <c r="AM251" s="616">
        <f t="shared" si="201"/>
        <v>0</v>
      </c>
      <c r="AN251" s="616">
        <f t="shared" si="202"/>
        <v>0</v>
      </c>
      <c r="AO251" s="615">
        <f t="shared" si="203"/>
        <v>10.5891</v>
      </c>
      <c r="AP251" s="616">
        <f t="shared" si="204"/>
        <v>10.2891</v>
      </c>
      <c r="AQ251" s="616">
        <f t="shared" si="205"/>
        <v>0</v>
      </c>
      <c r="AR251" s="616">
        <f t="shared" si="206"/>
        <v>0</v>
      </c>
      <c r="AS251" s="616">
        <f t="shared" si="207"/>
        <v>0.3</v>
      </c>
      <c r="AT251" s="637">
        <f t="shared" si="208"/>
        <v>0</v>
      </c>
      <c r="AU251" s="638">
        <f t="shared" si="256"/>
        <v>28.209266</v>
      </c>
      <c r="AV251" s="616">
        <f t="shared" si="257"/>
        <v>10.54552</v>
      </c>
      <c r="AW251" s="616">
        <f t="shared" si="258"/>
        <v>5.27276</v>
      </c>
      <c r="AX251" s="616">
        <f t="shared" si="259"/>
        <v>3.95457</v>
      </c>
      <c r="AY251" s="616">
        <f t="shared" si="260"/>
        <v>0.131819</v>
      </c>
      <c r="AZ251" s="616">
        <f t="shared" si="261"/>
        <v>0.395457</v>
      </c>
      <c r="BA251" s="616">
        <f t="shared" si="262"/>
        <v>7.90914</v>
      </c>
      <c r="BB251" s="616"/>
      <c r="BC251" s="615">
        <f t="shared" si="210"/>
        <v>1.203536</v>
      </c>
      <c r="BD251" s="616">
        <f t="shared" si="211"/>
        <v>0.44992</v>
      </c>
      <c r="BE251" s="616">
        <f t="shared" si="212"/>
        <v>0.22496</v>
      </c>
      <c r="BF251" s="616">
        <f t="shared" si="213"/>
        <v>0.16872</v>
      </c>
      <c r="BG251" s="616">
        <f t="shared" si="214"/>
        <v>0.005624</v>
      </c>
      <c r="BH251" s="616">
        <f t="shared" si="215"/>
        <v>0.016872</v>
      </c>
      <c r="BI251" s="616">
        <f t="shared" si="216"/>
        <v>0.33744</v>
      </c>
      <c r="BJ251" s="616"/>
      <c r="BK251" s="615">
        <f t="shared" si="217"/>
        <v>29.412802</v>
      </c>
      <c r="BL251" s="616">
        <f t="shared" si="218"/>
        <v>10.99544</v>
      </c>
      <c r="BM251" s="616">
        <f t="shared" si="219"/>
        <v>5.49772</v>
      </c>
      <c r="BN251" s="616">
        <f t="shared" si="220"/>
        <v>4.12329</v>
      </c>
      <c r="BO251" s="616">
        <f t="shared" si="221"/>
        <v>0.137443</v>
      </c>
      <c r="BP251" s="616">
        <f t="shared" si="222"/>
        <v>0.412329</v>
      </c>
      <c r="BQ251" s="616">
        <f t="shared" si="223"/>
        <v>8.24658</v>
      </c>
      <c r="BR251" s="616">
        <f t="shared" si="224"/>
        <v>0</v>
      </c>
      <c r="BS251" s="304"/>
    </row>
    <row r="252" s="132" customFormat="1" ht="24" spans="1:71">
      <c r="A252" s="497" t="s">
        <v>504</v>
      </c>
      <c r="B252" s="497" t="s">
        <v>206</v>
      </c>
      <c r="C252" s="497" t="s">
        <v>548</v>
      </c>
      <c r="D252" s="497" t="s">
        <v>540</v>
      </c>
      <c r="E252" s="615">
        <f t="shared" si="253"/>
        <v>74.4096</v>
      </c>
      <c r="F252" s="615">
        <f t="shared" si="254"/>
        <v>64.5672</v>
      </c>
      <c r="G252" s="616">
        <v>40.9812</v>
      </c>
      <c r="H252" s="616">
        <v>0.942</v>
      </c>
      <c r="I252" s="616">
        <v>16.404</v>
      </c>
      <c r="J252" s="616">
        <v>6.24</v>
      </c>
      <c r="K252" s="650"/>
      <c r="L252" s="616"/>
      <c r="M252" s="615">
        <f t="shared" si="255"/>
        <v>9.8424</v>
      </c>
      <c r="N252" s="616">
        <v>9.8424</v>
      </c>
      <c r="O252" s="616"/>
      <c r="P252" s="616"/>
      <c r="Q252" s="616"/>
      <c r="R252" s="616"/>
      <c r="S252" s="615">
        <f t="shared" si="192"/>
        <v>2.28</v>
      </c>
      <c r="T252" s="615">
        <f t="shared" si="193"/>
        <v>1.75</v>
      </c>
      <c r="U252" s="616">
        <v>1.23</v>
      </c>
      <c r="V252" s="616">
        <v>0.01</v>
      </c>
      <c r="W252" s="616">
        <v>0.41</v>
      </c>
      <c r="X252" s="616">
        <v>0.1</v>
      </c>
      <c r="Y252" s="616"/>
      <c r="Z252" s="616"/>
      <c r="AA252" s="615">
        <f t="shared" si="194"/>
        <v>0.53</v>
      </c>
      <c r="AB252" s="616">
        <v>0.23</v>
      </c>
      <c r="AC252" s="616"/>
      <c r="AD252" s="616"/>
      <c r="AE252" s="616">
        <v>0.3</v>
      </c>
      <c r="AF252" s="616"/>
      <c r="AG252" s="615">
        <f t="shared" si="195"/>
        <v>76.6896</v>
      </c>
      <c r="AH252" s="615">
        <f t="shared" si="196"/>
        <v>66.3172</v>
      </c>
      <c r="AI252" s="616">
        <f t="shared" si="197"/>
        <v>42.2112</v>
      </c>
      <c r="AJ252" s="616">
        <f t="shared" si="198"/>
        <v>0.952</v>
      </c>
      <c r="AK252" s="616">
        <f t="shared" si="199"/>
        <v>16.814</v>
      </c>
      <c r="AL252" s="616">
        <f t="shared" si="200"/>
        <v>6.34</v>
      </c>
      <c r="AM252" s="616">
        <f t="shared" si="201"/>
        <v>0</v>
      </c>
      <c r="AN252" s="616">
        <f t="shared" si="202"/>
        <v>0</v>
      </c>
      <c r="AO252" s="615">
        <f t="shared" si="203"/>
        <v>10.3724</v>
      </c>
      <c r="AP252" s="616">
        <f t="shared" si="204"/>
        <v>10.0724</v>
      </c>
      <c r="AQ252" s="616">
        <f t="shared" si="205"/>
        <v>0</v>
      </c>
      <c r="AR252" s="616">
        <f t="shared" si="206"/>
        <v>0</v>
      </c>
      <c r="AS252" s="616">
        <f t="shared" si="207"/>
        <v>0.3</v>
      </c>
      <c r="AT252" s="637">
        <f t="shared" si="208"/>
        <v>0</v>
      </c>
      <c r="AU252" s="638">
        <f t="shared" si="256"/>
        <v>29.1765888</v>
      </c>
      <c r="AV252" s="616">
        <f t="shared" si="257"/>
        <v>10.907136</v>
      </c>
      <c r="AW252" s="616">
        <f t="shared" si="258"/>
        <v>5.453568</v>
      </c>
      <c r="AX252" s="616">
        <f t="shared" si="259"/>
        <v>4.090176</v>
      </c>
      <c r="AY252" s="616">
        <f t="shared" si="260"/>
        <v>0.1363392</v>
      </c>
      <c r="AZ252" s="616">
        <f t="shared" si="261"/>
        <v>0.4090176</v>
      </c>
      <c r="BA252" s="616">
        <f t="shared" si="262"/>
        <v>8.180352</v>
      </c>
      <c r="BB252" s="616"/>
      <c r="BC252" s="615">
        <f t="shared" si="210"/>
        <v>0.80464</v>
      </c>
      <c r="BD252" s="616">
        <f t="shared" si="211"/>
        <v>0.3008</v>
      </c>
      <c r="BE252" s="616">
        <f t="shared" si="212"/>
        <v>0.1504</v>
      </c>
      <c r="BF252" s="616">
        <f t="shared" si="213"/>
        <v>0.1128</v>
      </c>
      <c r="BG252" s="616">
        <f t="shared" si="214"/>
        <v>0.00376</v>
      </c>
      <c r="BH252" s="616">
        <f t="shared" si="215"/>
        <v>0.01128</v>
      </c>
      <c r="BI252" s="616">
        <f t="shared" si="216"/>
        <v>0.2256</v>
      </c>
      <c r="BJ252" s="616"/>
      <c r="BK252" s="615">
        <f t="shared" si="217"/>
        <v>29.9812288</v>
      </c>
      <c r="BL252" s="616">
        <f t="shared" si="218"/>
        <v>11.207936</v>
      </c>
      <c r="BM252" s="616">
        <f t="shared" si="219"/>
        <v>5.603968</v>
      </c>
      <c r="BN252" s="616">
        <f t="shared" si="220"/>
        <v>4.202976</v>
      </c>
      <c r="BO252" s="616">
        <f t="shared" si="221"/>
        <v>0.1400992</v>
      </c>
      <c r="BP252" s="616">
        <f t="shared" si="222"/>
        <v>0.4202976</v>
      </c>
      <c r="BQ252" s="616">
        <f t="shared" si="223"/>
        <v>8.405952</v>
      </c>
      <c r="BR252" s="616">
        <f t="shared" si="224"/>
        <v>0</v>
      </c>
      <c r="BS252" s="304"/>
    </row>
    <row r="253" s="132" customFormat="1" ht="24" spans="1:71">
      <c r="A253" s="497" t="s">
        <v>504</v>
      </c>
      <c r="B253" s="497" t="s">
        <v>206</v>
      </c>
      <c r="C253" s="497" t="s">
        <v>549</v>
      </c>
      <c r="D253" s="497" t="s">
        <v>540</v>
      </c>
      <c r="E253" s="615">
        <f t="shared" si="253"/>
        <v>182.3518</v>
      </c>
      <c r="F253" s="615">
        <f t="shared" si="254"/>
        <v>158.7336</v>
      </c>
      <c r="G253" s="616">
        <v>111.6696</v>
      </c>
      <c r="H253" s="616">
        <v>1.9404</v>
      </c>
      <c r="I253" s="616">
        <v>39.3636</v>
      </c>
      <c r="J253" s="616">
        <v>5.76</v>
      </c>
      <c r="K253" s="650"/>
      <c r="L253" s="616"/>
      <c r="M253" s="615">
        <f t="shared" si="255"/>
        <v>23.6182</v>
      </c>
      <c r="N253" s="616">
        <v>23.6182</v>
      </c>
      <c r="O253" s="616"/>
      <c r="P253" s="616"/>
      <c r="Q253" s="616"/>
      <c r="R253" s="616"/>
      <c r="S253" s="615">
        <f t="shared" si="192"/>
        <v>6.22</v>
      </c>
      <c r="T253" s="615">
        <f t="shared" si="193"/>
        <v>4.96</v>
      </c>
      <c r="U253" s="616">
        <v>4.11</v>
      </c>
      <c r="V253" s="616"/>
      <c r="W253" s="616">
        <v>0.85</v>
      </c>
      <c r="X253" s="616"/>
      <c r="Y253" s="616"/>
      <c r="Z253" s="616"/>
      <c r="AA253" s="615">
        <f t="shared" si="194"/>
        <v>1.26</v>
      </c>
      <c r="AB253" s="616">
        <v>0.51</v>
      </c>
      <c r="AC253" s="616"/>
      <c r="AD253" s="616"/>
      <c r="AE253" s="616">
        <v>0.75</v>
      </c>
      <c r="AF253" s="616"/>
      <c r="AG253" s="615">
        <f t="shared" si="195"/>
        <v>188.5718</v>
      </c>
      <c r="AH253" s="615">
        <f t="shared" si="196"/>
        <v>163.6936</v>
      </c>
      <c r="AI253" s="616">
        <f t="shared" si="197"/>
        <v>115.7796</v>
      </c>
      <c r="AJ253" s="616">
        <f t="shared" si="198"/>
        <v>1.9404</v>
      </c>
      <c r="AK253" s="616">
        <f t="shared" si="199"/>
        <v>40.2136</v>
      </c>
      <c r="AL253" s="616">
        <f t="shared" si="200"/>
        <v>5.76</v>
      </c>
      <c r="AM253" s="616">
        <f t="shared" si="201"/>
        <v>0</v>
      </c>
      <c r="AN253" s="616">
        <f t="shared" si="202"/>
        <v>0</v>
      </c>
      <c r="AO253" s="615">
        <f t="shared" si="203"/>
        <v>24.8782</v>
      </c>
      <c r="AP253" s="616">
        <f t="shared" si="204"/>
        <v>24.1282</v>
      </c>
      <c r="AQ253" s="616">
        <f t="shared" si="205"/>
        <v>0</v>
      </c>
      <c r="AR253" s="616">
        <f t="shared" si="206"/>
        <v>0</v>
      </c>
      <c r="AS253" s="616">
        <f t="shared" si="207"/>
        <v>0.75</v>
      </c>
      <c r="AT253" s="637">
        <f t="shared" si="208"/>
        <v>0</v>
      </c>
      <c r="AU253" s="638">
        <f t="shared" si="256"/>
        <v>75.5812904</v>
      </c>
      <c r="AV253" s="616">
        <f t="shared" si="257"/>
        <v>28.254688</v>
      </c>
      <c r="AW253" s="616">
        <f t="shared" si="258"/>
        <v>14.127344</v>
      </c>
      <c r="AX253" s="616">
        <f t="shared" si="259"/>
        <v>10.595508</v>
      </c>
      <c r="AY253" s="616">
        <f t="shared" si="260"/>
        <v>0.3531836</v>
      </c>
      <c r="AZ253" s="616">
        <f t="shared" si="261"/>
        <v>1.0595508</v>
      </c>
      <c r="BA253" s="616">
        <f t="shared" si="262"/>
        <v>21.191016</v>
      </c>
      <c r="BB253" s="616"/>
      <c r="BC253" s="615">
        <f t="shared" si="210"/>
        <v>2.34116</v>
      </c>
      <c r="BD253" s="616">
        <f t="shared" si="211"/>
        <v>0.8752</v>
      </c>
      <c r="BE253" s="616">
        <f t="shared" si="212"/>
        <v>0.4376</v>
      </c>
      <c r="BF253" s="616">
        <f t="shared" si="213"/>
        <v>0.3282</v>
      </c>
      <c r="BG253" s="616">
        <f t="shared" si="214"/>
        <v>0.01094</v>
      </c>
      <c r="BH253" s="616">
        <f t="shared" si="215"/>
        <v>0.03282</v>
      </c>
      <c r="BI253" s="616">
        <f t="shared" si="216"/>
        <v>0.6564</v>
      </c>
      <c r="BJ253" s="616"/>
      <c r="BK253" s="615">
        <f t="shared" si="217"/>
        <v>77.9224504</v>
      </c>
      <c r="BL253" s="616">
        <f t="shared" si="218"/>
        <v>29.129888</v>
      </c>
      <c r="BM253" s="616">
        <f t="shared" si="219"/>
        <v>14.564944</v>
      </c>
      <c r="BN253" s="616">
        <f t="shared" si="220"/>
        <v>10.923708</v>
      </c>
      <c r="BO253" s="616">
        <f t="shared" si="221"/>
        <v>0.3641236</v>
      </c>
      <c r="BP253" s="616">
        <f t="shared" si="222"/>
        <v>1.0923708</v>
      </c>
      <c r="BQ253" s="616">
        <f t="shared" si="223"/>
        <v>21.847416</v>
      </c>
      <c r="BR253" s="616">
        <f t="shared" si="224"/>
        <v>0</v>
      </c>
      <c r="BS253" s="304"/>
    </row>
    <row r="254" s="132" customFormat="1" ht="24" spans="1:71">
      <c r="A254" s="497" t="s">
        <v>504</v>
      </c>
      <c r="B254" s="497" t="s">
        <v>206</v>
      </c>
      <c r="C254" s="497" t="s">
        <v>550</v>
      </c>
      <c r="D254" s="497" t="s">
        <v>540</v>
      </c>
      <c r="E254" s="615">
        <f t="shared" si="253"/>
        <v>107.74</v>
      </c>
      <c r="F254" s="615">
        <f t="shared" si="254"/>
        <v>93.58</v>
      </c>
      <c r="G254" s="616">
        <v>62.55</v>
      </c>
      <c r="H254" s="616">
        <v>1.31</v>
      </c>
      <c r="I254" s="616">
        <v>23.6</v>
      </c>
      <c r="J254" s="616">
        <v>6.12</v>
      </c>
      <c r="K254" s="650"/>
      <c r="L254" s="616"/>
      <c r="M254" s="615">
        <f t="shared" si="255"/>
        <v>14.16</v>
      </c>
      <c r="N254" s="616">
        <v>14.16</v>
      </c>
      <c r="O254" s="616"/>
      <c r="P254" s="616"/>
      <c r="Q254" s="616"/>
      <c r="R254" s="616"/>
      <c r="S254" s="615">
        <f t="shared" si="192"/>
        <v>9.56</v>
      </c>
      <c r="T254" s="615">
        <f t="shared" si="193"/>
        <v>7.8</v>
      </c>
      <c r="U254" s="616">
        <v>5.45</v>
      </c>
      <c r="V254" s="616">
        <v>0.14</v>
      </c>
      <c r="W254" s="616">
        <v>2.31</v>
      </c>
      <c r="X254" s="616">
        <v>-0.0999999999999999</v>
      </c>
      <c r="Y254" s="616"/>
      <c r="Z254" s="616"/>
      <c r="AA254" s="615">
        <f t="shared" si="194"/>
        <v>1.76</v>
      </c>
      <c r="AB254" s="616">
        <v>1.31</v>
      </c>
      <c r="AC254" s="616"/>
      <c r="AD254" s="616"/>
      <c r="AE254" s="616">
        <v>0.45</v>
      </c>
      <c r="AF254" s="616"/>
      <c r="AG254" s="615">
        <f t="shared" si="195"/>
        <v>117.3</v>
      </c>
      <c r="AH254" s="615">
        <f t="shared" si="196"/>
        <v>101.38</v>
      </c>
      <c r="AI254" s="616">
        <f t="shared" si="197"/>
        <v>68</v>
      </c>
      <c r="AJ254" s="616">
        <f t="shared" si="198"/>
        <v>1.45</v>
      </c>
      <c r="AK254" s="616">
        <f t="shared" si="199"/>
        <v>25.91</v>
      </c>
      <c r="AL254" s="616">
        <f t="shared" si="200"/>
        <v>6.02</v>
      </c>
      <c r="AM254" s="616">
        <f t="shared" si="201"/>
        <v>0</v>
      </c>
      <c r="AN254" s="616">
        <f t="shared" si="202"/>
        <v>0</v>
      </c>
      <c r="AO254" s="615">
        <f t="shared" si="203"/>
        <v>15.92</v>
      </c>
      <c r="AP254" s="616">
        <f t="shared" si="204"/>
        <v>15.47</v>
      </c>
      <c r="AQ254" s="616">
        <f t="shared" si="205"/>
        <v>0</v>
      </c>
      <c r="AR254" s="616">
        <f t="shared" si="206"/>
        <v>0</v>
      </c>
      <c r="AS254" s="616">
        <f t="shared" si="207"/>
        <v>0.45</v>
      </c>
      <c r="AT254" s="637">
        <f t="shared" si="208"/>
        <v>0</v>
      </c>
      <c r="AU254" s="638">
        <f t="shared" si="256"/>
        <v>43.49336</v>
      </c>
      <c r="AV254" s="616">
        <f t="shared" si="257"/>
        <v>16.2592</v>
      </c>
      <c r="AW254" s="616">
        <f t="shared" si="258"/>
        <v>8.1296</v>
      </c>
      <c r="AX254" s="616">
        <f t="shared" si="259"/>
        <v>6.0972</v>
      </c>
      <c r="AY254" s="616">
        <f t="shared" si="260"/>
        <v>0.20324</v>
      </c>
      <c r="AZ254" s="616">
        <f t="shared" si="261"/>
        <v>0.60972</v>
      </c>
      <c r="BA254" s="616">
        <f t="shared" si="262"/>
        <v>12.1944</v>
      </c>
      <c r="BB254" s="616"/>
      <c r="BC254" s="615">
        <f t="shared" si="210"/>
        <v>3.94188</v>
      </c>
      <c r="BD254" s="616">
        <f t="shared" si="211"/>
        <v>1.4736</v>
      </c>
      <c r="BE254" s="616">
        <f t="shared" si="212"/>
        <v>0.7368</v>
      </c>
      <c r="BF254" s="616">
        <f t="shared" si="213"/>
        <v>0.5526</v>
      </c>
      <c r="BG254" s="616">
        <f t="shared" si="214"/>
        <v>0.01842</v>
      </c>
      <c r="BH254" s="616">
        <f t="shared" si="215"/>
        <v>0.05526</v>
      </c>
      <c r="BI254" s="616">
        <f t="shared" si="216"/>
        <v>1.1052</v>
      </c>
      <c r="BJ254" s="616"/>
      <c r="BK254" s="615">
        <f t="shared" si="217"/>
        <v>47.43524</v>
      </c>
      <c r="BL254" s="616">
        <f t="shared" si="218"/>
        <v>17.7328</v>
      </c>
      <c r="BM254" s="616">
        <f t="shared" si="219"/>
        <v>8.8664</v>
      </c>
      <c r="BN254" s="616">
        <f t="shared" si="220"/>
        <v>6.6498</v>
      </c>
      <c r="BO254" s="616">
        <f t="shared" si="221"/>
        <v>0.22166</v>
      </c>
      <c r="BP254" s="616">
        <f t="shared" si="222"/>
        <v>0.66498</v>
      </c>
      <c r="BQ254" s="616">
        <f t="shared" si="223"/>
        <v>13.2996</v>
      </c>
      <c r="BR254" s="616">
        <f t="shared" si="224"/>
        <v>0</v>
      </c>
      <c r="BS254" s="304"/>
    </row>
    <row r="255" s="132" customFormat="1" ht="24" spans="1:71">
      <c r="A255" s="497" t="s">
        <v>504</v>
      </c>
      <c r="B255" s="497" t="s">
        <v>206</v>
      </c>
      <c r="C255" s="497" t="s">
        <v>551</v>
      </c>
      <c r="D255" s="497" t="s">
        <v>540</v>
      </c>
      <c r="E255" s="615">
        <f t="shared" si="253"/>
        <v>334.8869</v>
      </c>
      <c r="F255" s="615">
        <f t="shared" si="254"/>
        <v>291.7416</v>
      </c>
      <c r="G255" s="616">
        <v>204.912</v>
      </c>
      <c r="H255" s="616">
        <v>3.6408</v>
      </c>
      <c r="I255" s="616">
        <v>71.9088</v>
      </c>
      <c r="J255" s="616">
        <v>11.28</v>
      </c>
      <c r="K255" s="650"/>
      <c r="L255" s="616"/>
      <c r="M255" s="615">
        <f t="shared" si="255"/>
        <v>43.1453</v>
      </c>
      <c r="N255" s="616">
        <v>43.1453</v>
      </c>
      <c r="O255" s="616"/>
      <c r="P255" s="616"/>
      <c r="Q255" s="616"/>
      <c r="R255" s="616"/>
      <c r="S255" s="615">
        <f t="shared" si="192"/>
        <v>14.82</v>
      </c>
      <c r="T255" s="615">
        <f t="shared" si="193"/>
        <v>11.07</v>
      </c>
      <c r="U255" s="616">
        <v>6.35</v>
      </c>
      <c r="V255" s="616">
        <v>0.24</v>
      </c>
      <c r="W255" s="616">
        <v>3.74</v>
      </c>
      <c r="X255" s="616">
        <v>0.74</v>
      </c>
      <c r="Y255" s="616"/>
      <c r="Z255" s="616"/>
      <c r="AA255" s="615">
        <f t="shared" si="194"/>
        <v>3.75</v>
      </c>
      <c r="AB255" s="616">
        <v>2.25</v>
      </c>
      <c r="AC255" s="616"/>
      <c r="AD255" s="616"/>
      <c r="AE255" s="616">
        <f>0.15+1.35</f>
        <v>1.5</v>
      </c>
      <c r="AF255" s="616"/>
      <c r="AG255" s="615">
        <f t="shared" si="195"/>
        <v>349.7069</v>
      </c>
      <c r="AH255" s="615">
        <f t="shared" si="196"/>
        <v>302.8116</v>
      </c>
      <c r="AI255" s="616">
        <f t="shared" si="197"/>
        <v>211.262</v>
      </c>
      <c r="AJ255" s="616">
        <f t="shared" si="198"/>
        <v>3.8808</v>
      </c>
      <c r="AK255" s="616">
        <f t="shared" si="199"/>
        <v>75.6488</v>
      </c>
      <c r="AL255" s="616">
        <f t="shared" si="200"/>
        <v>12.02</v>
      </c>
      <c r="AM255" s="616">
        <f t="shared" si="201"/>
        <v>0</v>
      </c>
      <c r="AN255" s="616">
        <f t="shared" si="202"/>
        <v>0</v>
      </c>
      <c r="AO255" s="615">
        <f t="shared" si="203"/>
        <v>46.8953</v>
      </c>
      <c r="AP255" s="616">
        <f t="shared" si="204"/>
        <v>45.3953</v>
      </c>
      <c r="AQ255" s="616">
        <f t="shared" si="205"/>
        <v>0</v>
      </c>
      <c r="AR255" s="616">
        <f t="shared" si="206"/>
        <v>0</v>
      </c>
      <c r="AS255" s="616">
        <f t="shared" si="207"/>
        <v>1.5</v>
      </c>
      <c r="AT255" s="637">
        <f t="shared" si="208"/>
        <v>0</v>
      </c>
      <c r="AU255" s="638">
        <f t="shared" si="256"/>
        <v>138.5037532</v>
      </c>
      <c r="AV255" s="616">
        <f t="shared" si="257"/>
        <v>51.777104</v>
      </c>
      <c r="AW255" s="616">
        <f t="shared" si="258"/>
        <v>25.888552</v>
      </c>
      <c r="AX255" s="616">
        <f t="shared" si="259"/>
        <v>19.416414</v>
      </c>
      <c r="AY255" s="616">
        <f t="shared" si="260"/>
        <v>0.6472138</v>
      </c>
      <c r="AZ255" s="616">
        <f t="shared" si="261"/>
        <v>1.9416414</v>
      </c>
      <c r="BA255" s="616">
        <f t="shared" si="262"/>
        <v>38.832828</v>
      </c>
      <c r="BB255" s="616"/>
      <c r="BC255" s="615">
        <f t="shared" si="210"/>
        <v>5.38424</v>
      </c>
      <c r="BD255" s="616">
        <f t="shared" si="211"/>
        <v>2.0128</v>
      </c>
      <c r="BE255" s="616">
        <f t="shared" si="212"/>
        <v>1.0064</v>
      </c>
      <c r="BF255" s="616">
        <f t="shared" si="213"/>
        <v>0.7548</v>
      </c>
      <c r="BG255" s="616">
        <f t="shared" si="214"/>
        <v>0.02516</v>
      </c>
      <c r="BH255" s="616">
        <f t="shared" si="215"/>
        <v>0.07548</v>
      </c>
      <c r="BI255" s="616">
        <f t="shared" si="216"/>
        <v>1.5096</v>
      </c>
      <c r="BJ255" s="616"/>
      <c r="BK255" s="615">
        <f t="shared" si="217"/>
        <v>143.8879932</v>
      </c>
      <c r="BL255" s="616">
        <f t="shared" si="218"/>
        <v>53.789904</v>
      </c>
      <c r="BM255" s="616">
        <f t="shared" si="219"/>
        <v>26.894952</v>
      </c>
      <c r="BN255" s="616">
        <f t="shared" si="220"/>
        <v>20.171214</v>
      </c>
      <c r="BO255" s="616">
        <f t="shared" si="221"/>
        <v>0.6723738</v>
      </c>
      <c r="BP255" s="616">
        <f t="shared" si="222"/>
        <v>2.0171214</v>
      </c>
      <c r="BQ255" s="616">
        <f t="shared" si="223"/>
        <v>40.342428</v>
      </c>
      <c r="BR255" s="616">
        <f t="shared" si="224"/>
        <v>0</v>
      </c>
      <c r="BS255" s="304"/>
    </row>
    <row r="256" s="132" customFormat="1" ht="24" spans="1:71">
      <c r="A256" s="497" t="s">
        <v>504</v>
      </c>
      <c r="B256" s="497" t="s">
        <v>206</v>
      </c>
      <c r="C256" s="497" t="s">
        <v>552</v>
      </c>
      <c r="D256" s="497" t="s">
        <v>540</v>
      </c>
      <c r="E256" s="615">
        <f t="shared" si="253"/>
        <v>293.3921</v>
      </c>
      <c r="F256" s="615">
        <f t="shared" si="254"/>
        <v>255.1788</v>
      </c>
      <c r="G256" s="616">
        <v>179.2548</v>
      </c>
      <c r="H256" s="616">
        <v>3.1152</v>
      </c>
      <c r="I256" s="616">
        <v>63.6888</v>
      </c>
      <c r="J256" s="616">
        <v>9.12</v>
      </c>
      <c r="K256" s="650"/>
      <c r="L256" s="616"/>
      <c r="M256" s="615">
        <f t="shared" si="255"/>
        <v>38.2133</v>
      </c>
      <c r="N256" s="616">
        <v>38.2133</v>
      </c>
      <c r="O256" s="616"/>
      <c r="P256" s="616"/>
      <c r="Q256" s="616"/>
      <c r="R256" s="616"/>
      <c r="S256" s="615">
        <f t="shared" si="192"/>
        <v>11.19</v>
      </c>
      <c r="T256" s="615">
        <f t="shared" si="193"/>
        <v>7.89</v>
      </c>
      <c r="U256" s="616">
        <v>4.13</v>
      </c>
      <c r="V256" s="616">
        <v>0.01</v>
      </c>
      <c r="W256" s="616">
        <v>2.35</v>
      </c>
      <c r="X256" s="616">
        <v>1.4</v>
      </c>
      <c r="Y256" s="616"/>
      <c r="Z256" s="616"/>
      <c r="AA256" s="615">
        <f t="shared" si="194"/>
        <v>3.3</v>
      </c>
      <c r="AB256" s="616">
        <v>1.5</v>
      </c>
      <c r="AC256" s="616"/>
      <c r="AD256" s="616"/>
      <c r="AE256" s="616">
        <f>0.15+1.65</f>
        <v>1.8</v>
      </c>
      <c r="AF256" s="616"/>
      <c r="AG256" s="615">
        <f t="shared" si="195"/>
        <v>304.5821</v>
      </c>
      <c r="AH256" s="615">
        <f t="shared" si="196"/>
        <v>263.0688</v>
      </c>
      <c r="AI256" s="616">
        <f t="shared" si="197"/>
        <v>183.3848</v>
      </c>
      <c r="AJ256" s="616">
        <f t="shared" si="198"/>
        <v>3.1252</v>
      </c>
      <c r="AK256" s="616">
        <f t="shared" si="199"/>
        <v>66.0388</v>
      </c>
      <c r="AL256" s="616">
        <f t="shared" si="200"/>
        <v>10.52</v>
      </c>
      <c r="AM256" s="616">
        <f t="shared" si="201"/>
        <v>0</v>
      </c>
      <c r="AN256" s="616">
        <f t="shared" si="202"/>
        <v>0</v>
      </c>
      <c r="AO256" s="615">
        <f t="shared" si="203"/>
        <v>41.5133</v>
      </c>
      <c r="AP256" s="616">
        <f t="shared" si="204"/>
        <v>39.7133</v>
      </c>
      <c r="AQ256" s="616">
        <f t="shared" si="205"/>
        <v>0</v>
      </c>
      <c r="AR256" s="616">
        <f t="shared" si="206"/>
        <v>0</v>
      </c>
      <c r="AS256" s="616">
        <f t="shared" si="207"/>
        <v>1.8</v>
      </c>
      <c r="AT256" s="637">
        <f t="shared" si="208"/>
        <v>0</v>
      </c>
      <c r="AU256" s="638">
        <f t="shared" si="256"/>
        <v>121.6684588</v>
      </c>
      <c r="AV256" s="616">
        <f t="shared" si="257"/>
        <v>45.483536</v>
      </c>
      <c r="AW256" s="616">
        <f t="shared" si="258"/>
        <v>22.741768</v>
      </c>
      <c r="AX256" s="616">
        <f t="shared" si="259"/>
        <v>17.056326</v>
      </c>
      <c r="AY256" s="616">
        <f t="shared" si="260"/>
        <v>0.5685442</v>
      </c>
      <c r="AZ256" s="616">
        <f t="shared" si="261"/>
        <v>1.7056326</v>
      </c>
      <c r="BA256" s="616">
        <f t="shared" si="262"/>
        <v>34.112652</v>
      </c>
      <c r="BB256" s="616"/>
      <c r="BC256" s="615">
        <f t="shared" si="210"/>
        <v>3.41972</v>
      </c>
      <c r="BD256" s="616">
        <f t="shared" si="211"/>
        <v>1.2784</v>
      </c>
      <c r="BE256" s="616">
        <f t="shared" si="212"/>
        <v>0.6392</v>
      </c>
      <c r="BF256" s="616">
        <f t="shared" si="213"/>
        <v>0.4794</v>
      </c>
      <c r="BG256" s="616">
        <f t="shared" si="214"/>
        <v>0.01598</v>
      </c>
      <c r="BH256" s="616">
        <f t="shared" si="215"/>
        <v>0.04794</v>
      </c>
      <c r="BI256" s="616">
        <f t="shared" si="216"/>
        <v>0.9588</v>
      </c>
      <c r="BJ256" s="616"/>
      <c r="BK256" s="615">
        <f t="shared" si="217"/>
        <v>125.0881788</v>
      </c>
      <c r="BL256" s="616">
        <f t="shared" si="218"/>
        <v>46.761936</v>
      </c>
      <c r="BM256" s="616">
        <f t="shared" si="219"/>
        <v>23.380968</v>
      </c>
      <c r="BN256" s="616">
        <f t="shared" si="220"/>
        <v>17.535726</v>
      </c>
      <c r="BO256" s="616">
        <f t="shared" si="221"/>
        <v>0.5845242</v>
      </c>
      <c r="BP256" s="616">
        <f t="shared" si="222"/>
        <v>1.7535726</v>
      </c>
      <c r="BQ256" s="616">
        <f t="shared" si="223"/>
        <v>35.071452</v>
      </c>
      <c r="BR256" s="616">
        <f t="shared" si="224"/>
        <v>0</v>
      </c>
      <c r="BS256" s="304"/>
    </row>
    <row r="257" s="132" customFormat="1" ht="24" spans="1:71">
      <c r="A257" s="497" t="s">
        <v>504</v>
      </c>
      <c r="B257" s="497" t="s">
        <v>206</v>
      </c>
      <c r="C257" s="497" t="s">
        <v>553</v>
      </c>
      <c r="D257" s="497" t="s">
        <v>540</v>
      </c>
      <c r="E257" s="615">
        <f t="shared" si="253"/>
        <v>85.25</v>
      </c>
      <c r="F257" s="615">
        <f t="shared" si="254"/>
        <v>74.17</v>
      </c>
      <c r="G257" s="616">
        <v>47.9</v>
      </c>
      <c r="H257" s="616">
        <v>1.08</v>
      </c>
      <c r="I257" s="616">
        <v>18.47</v>
      </c>
      <c r="J257" s="616">
        <v>6.72</v>
      </c>
      <c r="K257" s="650"/>
      <c r="L257" s="616"/>
      <c r="M257" s="615">
        <f t="shared" si="255"/>
        <v>11.08</v>
      </c>
      <c r="N257" s="616">
        <v>11.08</v>
      </c>
      <c r="O257" s="616"/>
      <c r="P257" s="616"/>
      <c r="Q257" s="616"/>
      <c r="R257" s="616"/>
      <c r="S257" s="615">
        <f t="shared" si="192"/>
        <v>3.58</v>
      </c>
      <c r="T257" s="615">
        <f t="shared" si="193"/>
        <v>2.54</v>
      </c>
      <c r="U257" s="616">
        <v>1.83</v>
      </c>
      <c r="V257" s="616">
        <v>0.04</v>
      </c>
      <c r="W257" s="616">
        <v>0.65</v>
      </c>
      <c r="X257" s="616">
        <v>0.02</v>
      </c>
      <c r="Y257" s="616"/>
      <c r="Z257" s="616"/>
      <c r="AA257" s="615">
        <f t="shared" si="194"/>
        <v>1.04</v>
      </c>
      <c r="AB257" s="616">
        <v>0.59</v>
      </c>
      <c r="AC257" s="616"/>
      <c r="AD257" s="616"/>
      <c r="AE257" s="616">
        <v>0.45</v>
      </c>
      <c r="AF257" s="616"/>
      <c r="AG257" s="615">
        <f t="shared" si="195"/>
        <v>88.83</v>
      </c>
      <c r="AH257" s="615">
        <f t="shared" si="196"/>
        <v>76.71</v>
      </c>
      <c r="AI257" s="616">
        <f t="shared" si="197"/>
        <v>49.73</v>
      </c>
      <c r="AJ257" s="616">
        <f t="shared" si="198"/>
        <v>1.12</v>
      </c>
      <c r="AK257" s="616">
        <f t="shared" si="199"/>
        <v>19.12</v>
      </c>
      <c r="AL257" s="616">
        <f t="shared" si="200"/>
        <v>6.74</v>
      </c>
      <c r="AM257" s="616">
        <f t="shared" si="201"/>
        <v>0</v>
      </c>
      <c r="AN257" s="616">
        <f t="shared" si="202"/>
        <v>0</v>
      </c>
      <c r="AO257" s="615">
        <f t="shared" si="203"/>
        <v>12.12</v>
      </c>
      <c r="AP257" s="616">
        <f t="shared" si="204"/>
        <v>11.67</v>
      </c>
      <c r="AQ257" s="616">
        <f t="shared" si="205"/>
        <v>0</v>
      </c>
      <c r="AR257" s="616">
        <f t="shared" si="206"/>
        <v>0</v>
      </c>
      <c r="AS257" s="616">
        <f t="shared" si="207"/>
        <v>0.45</v>
      </c>
      <c r="AT257" s="637">
        <f t="shared" si="208"/>
        <v>0</v>
      </c>
      <c r="AU257" s="638">
        <f t="shared" si="256"/>
        <v>33.61084</v>
      </c>
      <c r="AV257" s="616">
        <f t="shared" si="257"/>
        <v>12.5648</v>
      </c>
      <c r="AW257" s="616">
        <f t="shared" si="258"/>
        <v>6.2824</v>
      </c>
      <c r="AX257" s="616">
        <f t="shared" si="259"/>
        <v>4.7118</v>
      </c>
      <c r="AY257" s="616">
        <f t="shared" si="260"/>
        <v>0.15706</v>
      </c>
      <c r="AZ257" s="616">
        <f t="shared" si="261"/>
        <v>0.47118</v>
      </c>
      <c r="BA257" s="616">
        <f t="shared" si="262"/>
        <v>9.4236</v>
      </c>
      <c r="BB257" s="616"/>
      <c r="BC257" s="615">
        <f t="shared" si="210"/>
        <v>1.33108</v>
      </c>
      <c r="BD257" s="616">
        <f t="shared" si="211"/>
        <v>0.4976</v>
      </c>
      <c r="BE257" s="616">
        <f t="shared" si="212"/>
        <v>0.2488</v>
      </c>
      <c r="BF257" s="616">
        <f t="shared" si="213"/>
        <v>0.1866</v>
      </c>
      <c r="BG257" s="616">
        <f t="shared" si="214"/>
        <v>0.00622</v>
      </c>
      <c r="BH257" s="616">
        <f t="shared" si="215"/>
        <v>0.01866</v>
      </c>
      <c r="BI257" s="616">
        <f t="shared" si="216"/>
        <v>0.3732</v>
      </c>
      <c r="BJ257" s="616"/>
      <c r="BK257" s="615">
        <f t="shared" si="217"/>
        <v>34.94192</v>
      </c>
      <c r="BL257" s="616">
        <f t="shared" si="218"/>
        <v>13.0624</v>
      </c>
      <c r="BM257" s="616">
        <f t="shared" si="219"/>
        <v>6.5312</v>
      </c>
      <c r="BN257" s="616">
        <f t="shared" si="220"/>
        <v>4.8984</v>
      </c>
      <c r="BO257" s="616">
        <f t="shared" si="221"/>
        <v>0.16328</v>
      </c>
      <c r="BP257" s="616">
        <f t="shared" si="222"/>
        <v>0.48984</v>
      </c>
      <c r="BQ257" s="616">
        <f t="shared" si="223"/>
        <v>9.7968</v>
      </c>
      <c r="BR257" s="616">
        <f t="shared" si="224"/>
        <v>0</v>
      </c>
      <c r="BS257" s="304"/>
    </row>
    <row r="258" s="132" customFormat="1" ht="24" spans="1:71">
      <c r="A258" s="497" t="s">
        <v>504</v>
      </c>
      <c r="B258" s="497" t="s">
        <v>206</v>
      </c>
      <c r="C258" s="497" t="s">
        <v>554</v>
      </c>
      <c r="D258" s="497" t="s">
        <v>540</v>
      </c>
      <c r="E258" s="615">
        <f t="shared" si="253"/>
        <v>102.06</v>
      </c>
      <c r="F258" s="615">
        <f t="shared" si="254"/>
        <v>88.11</v>
      </c>
      <c r="G258" s="616">
        <v>55.41</v>
      </c>
      <c r="H258" s="616">
        <v>1.3</v>
      </c>
      <c r="I258" s="616">
        <v>23.24</v>
      </c>
      <c r="J258" s="616">
        <v>8.16</v>
      </c>
      <c r="K258" s="650"/>
      <c r="L258" s="616"/>
      <c r="M258" s="615">
        <f t="shared" si="255"/>
        <v>13.95</v>
      </c>
      <c r="N258" s="616">
        <v>13.95</v>
      </c>
      <c r="O258" s="616"/>
      <c r="P258" s="616"/>
      <c r="Q258" s="616"/>
      <c r="R258" s="616"/>
      <c r="S258" s="615">
        <f t="shared" si="192"/>
        <v>11.65</v>
      </c>
      <c r="T258" s="615">
        <f t="shared" si="193"/>
        <v>9.47</v>
      </c>
      <c r="U258" s="616">
        <v>5.32</v>
      </c>
      <c r="V258" s="616">
        <v>0.19</v>
      </c>
      <c r="W258" s="616">
        <v>2.88</v>
      </c>
      <c r="X258" s="616">
        <v>1.08</v>
      </c>
      <c r="Y258" s="616"/>
      <c r="Z258" s="616"/>
      <c r="AA258" s="615">
        <f t="shared" si="194"/>
        <v>2.18</v>
      </c>
      <c r="AB258" s="616">
        <v>1.73</v>
      </c>
      <c r="AC258" s="616"/>
      <c r="AD258" s="616"/>
      <c r="AE258" s="616">
        <v>0.45</v>
      </c>
      <c r="AF258" s="616"/>
      <c r="AG258" s="615">
        <f t="shared" si="195"/>
        <v>113.71</v>
      </c>
      <c r="AH258" s="615">
        <f t="shared" si="196"/>
        <v>97.58</v>
      </c>
      <c r="AI258" s="616">
        <f t="shared" si="197"/>
        <v>60.73</v>
      </c>
      <c r="AJ258" s="616">
        <f t="shared" si="198"/>
        <v>1.49</v>
      </c>
      <c r="AK258" s="616">
        <f t="shared" si="199"/>
        <v>26.12</v>
      </c>
      <c r="AL258" s="616">
        <f t="shared" si="200"/>
        <v>9.24</v>
      </c>
      <c r="AM258" s="616">
        <f t="shared" si="201"/>
        <v>0</v>
      </c>
      <c r="AN258" s="616">
        <f t="shared" si="202"/>
        <v>0</v>
      </c>
      <c r="AO258" s="615">
        <f t="shared" si="203"/>
        <v>16.13</v>
      </c>
      <c r="AP258" s="616">
        <f t="shared" si="204"/>
        <v>15.68</v>
      </c>
      <c r="AQ258" s="616">
        <f t="shared" si="205"/>
        <v>0</v>
      </c>
      <c r="AR258" s="616">
        <f t="shared" si="206"/>
        <v>0</v>
      </c>
      <c r="AS258" s="616">
        <f t="shared" si="207"/>
        <v>0.45</v>
      </c>
      <c r="AT258" s="637">
        <f t="shared" si="208"/>
        <v>0</v>
      </c>
      <c r="AU258" s="638">
        <f t="shared" si="256"/>
        <v>40.1892</v>
      </c>
      <c r="AV258" s="616">
        <f t="shared" si="257"/>
        <v>15.024</v>
      </c>
      <c r="AW258" s="616">
        <f t="shared" si="258"/>
        <v>7.512</v>
      </c>
      <c r="AX258" s="616">
        <f t="shared" si="259"/>
        <v>5.634</v>
      </c>
      <c r="AY258" s="616">
        <f t="shared" si="260"/>
        <v>0.1878</v>
      </c>
      <c r="AZ258" s="616">
        <f t="shared" si="261"/>
        <v>0.5634</v>
      </c>
      <c r="BA258" s="616">
        <f t="shared" si="262"/>
        <v>11.268</v>
      </c>
      <c r="BB258" s="616"/>
      <c r="BC258" s="615">
        <f t="shared" si="210"/>
        <v>4.33136</v>
      </c>
      <c r="BD258" s="616">
        <f t="shared" si="211"/>
        <v>1.6192</v>
      </c>
      <c r="BE258" s="616">
        <f t="shared" si="212"/>
        <v>0.8096</v>
      </c>
      <c r="BF258" s="616">
        <f t="shared" si="213"/>
        <v>0.6072</v>
      </c>
      <c r="BG258" s="616">
        <f t="shared" si="214"/>
        <v>0.02024</v>
      </c>
      <c r="BH258" s="616">
        <f t="shared" si="215"/>
        <v>0.06072</v>
      </c>
      <c r="BI258" s="616">
        <f t="shared" si="216"/>
        <v>1.2144</v>
      </c>
      <c r="BJ258" s="616"/>
      <c r="BK258" s="615">
        <f t="shared" si="217"/>
        <v>44.52056</v>
      </c>
      <c r="BL258" s="616">
        <f t="shared" si="218"/>
        <v>16.6432</v>
      </c>
      <c r="BM258" s="616">
        <f t="shared" si="219"/>
        <v>8.3216</v>
      </c>
      <c r="BN258" s="616">
        <f t="shared" si="220"/>
        <v>6.2412</v>
      </c>
      <c r="BO258" s="616">
        <f t="shared" si="221"/>
        <v>0.20804</v>
      </c>
      <c r="BP258" s="616">
        <f t="shared" si="222"/>
        <v>0.62412</v>
      </c>
      <c r="BQ258" s="616">
        <f t="shared" si="223"/>
        <v>12.4824</v>
      </c>
      <c r="BR258" s="616">
        <f t="shared" si="224"/>
        <v>0</v>
      </c>
      <c r="BS258" s="304"/>
    </row>
    <row r="259" s="132" customFormat="1" ht="24" spans="1:71">
      <c r="A259" s="497" t="s">
        <v>504</v>
      </c>
      <c r="B259" s="497" t="s">
        <v>206</v>
      </c>
      <c r="C259" s="497" t="s">
        <v>555</v>
      </c>
      <c r="D259" s="497" t="s">
        <v>540</v>
      </c>
      <c r="E259" s="615">
        <f t="shared" si="253"/>
        <v>169.36</v>
      </c>
      <c r="F259" s="615">
        <f t="shared" si="254"/>
        <v>145.95</v>
      </c>
      <c r="G259" s="616">
        <v>95.5</v>
      </c>
      <c r="H259" s="616">
        <v>2.08</v>
      </c>
      <c r="I259" s="616">
        <v>39.01</v>
      </c>
      <c r="J259" s="616">
        <v>9.36</v>
      </c>
      <c r="K259" s="650"/>
      <c r="L259" s="616"/>
      <c r="M259" s="615">
        <f t="shared" si="255"/>
        <v>23.41</v>
      </c>
      <c r="N259" s="616">
        <v>23.41</v>
      </c>
      <c r="O259" s="616"/>
      <c r="P259" s="616"/>
      <c r="Q259" s="616"/>
      <c r="R259" s="616"/>
      <c r="S259" s="615">
        <f t="shared" si="192"/>
        <v>0.84</v>
      </c>
      <c r="T259" s="615">
        <f t="shared" si="193"/>
        <v>0.46</v>
      </c>
      <c r="U259" s="616">
        <v>1.09</v>
      </c>
      <c r="V259" s="616">
        <v>-0.07</v>
      </c>
      <c r="W259" s="616">
        <v>-0.24</v>
      </c>
      <c r="X259" s="616">
        <v>-0.32</v>
      </c>
      <c r="Y259" s="616"/>
      <c r="Z259" s="616"/>
      <c r="AA259" s="615">
        <f t="shared" si="194"/>
        <v>0.38</v>
      </c>
      <c r="AB259" s="616">
        <v>-0.37</v>
      </c>
      <c r="AC259" s="616"/>
      <c r="AD259" s="616"/>
      <c r="AE259" s="616">
        <v>0.75</v>
      </c>
      <c r="AF259" s="616"/>
      <c r="AG259" s="615">
        <f t="shared" si="195"/>
        <v>170.2</v>
      </c>
      <c r="AH259" s="615">
        <f t="shared" si="196"/>
        <v>146.41</v>
      </c>
      <c r="AI259" s="616">
        <f t="shared" si="197"/>
        <v>96.59</v>
      </c>
      <c r="AJ259" s="616">
        <f t="shared" si="198"/>
        <v>2.01</v>
      </c>
      <c r="AK259" s="616">
        <f t="shared" si="199"/>
        <v>38.77</v>
      </c>
      <c r="AL259" s="616">
        <f t="shared" si="200"/>
        <v>9.04</v>
      </c>
      <c r="AM259" s="616">
        <f t="shared" si="201"/>
        <v>0</v>
      </c>
      <c r="AN259" s="616">
        <f t="shared" si="202"/>
        <v>0</v>
      </c>
      <c r="AO259" s="615">
        <f t="shared" si="203"/>
        <v>23.79</v>
      </c>
      <c r="AP259" s="616">
        <f t="shared" si="204"/>
        <v>23.04</v>
      </c>
      <c r="AQ259" s="616">
        <f t="shared" si="205"/>
        <v>0</v>
      </c>
      <c r="AR259" s="616">
        <f t="shared" si="206"/>
        <v>0</v>
      </c>
      <c r="AS259" s="616">
        <f t="shared" si="207"/>
        <v>0.75</v>
      </c>
      <c r="AT259" s="637">
        <f t="shared" si="208"/>
        <v>0</v>
      </c>
      <c r="AU259" s="638">
        <f t="shared" si="256"/>
        <v>68.48</v>
      </c>
      <c r="AV259" s="616">
        <f t="shared" si="257"/>
        <v>25.6</v>
      </c>
      <c r="AW259" s="616">
        <f t="shared" si="258"/>
        <v>12.8</v>
      </c>
      <c r="AX259" s="616">
        <f t="shared" si="259"/>
        <v>9.6</v>
      </c>
      <c r="AY259" s="616">
        <f t="shared" si="260"/>
        <v>0.32</v>
      </c>
      <c r="AZ259" s="616">
        <f t="shared" si="261"/>
        <v>0.96</v>
      </c>
      <c r="BA259" s="616">
        <f t="shared" si="262"/>
        <v>19.2</v>
      </c>
      <c r="BB259" s="616"/>
      <c r="BC259" s="615">
        <f t="shared" si="210"/>
        <v>0.17548</v>
      </c>
      <c r="BD259" s="616">
        <f t="shared" si="211"/>
        <v>0.0656</v>
      </c>
      <c r="BE259" s="616">
        <f t="shared" si="212"/>
        <v>0.0328</v>
      </c>
      <c r="BF259" s="616">
        <f t="shared" si="213"/>
        <v>0.0246</v>
      </c>
      <c r="BG259" s="616">
        <f t="shared" si="214"/>
        <v>0.00082</v>
      </c>
      <c r="BH259" s="616">
        <f t="shared" si="215"/>
        <v>0.00246</v>
      </c>
      <c r="BI259" s="616">
        <f t="shared" si="216"/>
        <v>0.0492</v>
      </c>
      <c r="BJ259" s="616"/>
      <c r="BK259" s="615">
        <f t="shared" si="217"/>
        <v>68.65548</v>
      </c>
      <c r="BL259" s="616">
        <f t="shared" si="218"/>
        <v>25.6656</v>
      </c>
      <c r="BM259" s="616">
        <f t="shared" si="219"/>
        <v>12.8328</v>
      </c>
      <c r="BN259" s="616">
        <f t="shared" si="220"/>
        <v>9.6246</v>
      </c>
      <c r="BO259" s="616">
        <f t="shared" si="221"/>
        <v>0.32082</v>
      </c>
      <c r="BP259" s="616">
        <f t="shared" si="222"/>
        <v>0.96246</v>
      </c>
      <c r="BQ259" s="616">
        <f t="shared" si="223"/>
        <v>19.2492</v>
      </c>
      <c r="BR259" s="616">
        <f t="shared" si="224"/>
        <v>0</v>
      </c>
      <c r="BS259" s="304"/>
    </row>
    <row r="260" s="132" customFormat="1" ht="24" spans="1:71">
      <c r="A260" s="497" t="s">
        <v>504</v>
      </c>
      <c r="B260" s="497" t="s">
        <v>206</v>
      </c>
      <c r="C260" s="497" t="s">
        <v>556</v>
      </c>
      <c r="D260" s="497" t="s">
        <v>540</v>
      </c>
      <c r="E260" s="615">
        <f t="shared" si="253"/>
        <v>125.73</v>
      </c>
      <c r="F260" s="615">
        <f t="shared" si="254"/>
        <v>108.58</v>
      </c>
      <c r="G260" s="616">
        <v>71.21</v>
      </c>
      <c r="H260" s="616">
        <v>1.58</v>
      </c>
      <c r="I260" s="616">
        <v>28.59</v>
      </c>
      <c r="J260" s="616">
        <v>7.2</v>
      </c>
      <c r="K260" s="650"/>
      <c r="L260" s="616"/>
      <c r="M260" s="615">
        <f t="shared" si="255"/>
        <v>17.15</v>
      </c>
      <c r="N260" s="616">
        <v>17.15</v>
      </c>
      <c r="O260" s="616"/>
      <c r="P260" s="616"/>
      <c r="Q260" s="616"/>
      <c r="R260" s="616"/>
      <c r="S260" s="615">
        <f t="shared" si="192"/>
        <v>8.77</v>
      </c>
      <c r="T260" s="615">
        <f t="shared" si="193"/>
        <v>7.47</v>
      </c>
      <c r="U260" s="616">
        <v>5.21</v>
      </c>
      <c r="V260" s="616">
        <v>0.11</v>
      </c>
      <c r="W260" s="616">
        <v>2.24</v>
      </c>
      <c r="X260" s="616">
        <v>-0.09</v>
      </c>
      <c r="Y260" s="616"/>
      <c r="Z260" s="616"/>
      <c r="AA260" s="615">
        <f t="shared" si="194"/>
        <v>1.3</v>
      </c>
      <c r="AB260" s="616">
        <v>0.7</v>
      </c>
      <c r="AC260" s="616"/>
      <c r="AD260" s="616"/>
      <c r="AE260" s="616">
        <v>0.6</v>
      </c>
      <c r="AF260" s="616"/>
      <c r="AG260" s="615">
        <f t="shared" si="195"/>
        <v>134.5</v>
      </c>
      <c r="AH260" s="615">
        <f t="shared" si="196"/>
        <v>116.05</v>
      </c>
      <c r="AI260" s="616">
        <f t="shared" si="197"/>
        <v>76.42</v>
      </c>
      <c r="AJ260" s="616">
        <f t="shared" si="198"/>
        <v>1.69</v>
      </c>
      <c r="AK260" s="616">
        <f t="shared" si="199"/>
        <v>30.83</v>
      </c>
      <c r="AL260" s="616">
        <f t="shared" si="200"/>
        <v>7.11</v>
      </c>
      <c r="AM260" s="616">
        <f t="shared" si="201"/>
        <v>0</v>
      </c>
      <c r="AN260" s="616">
        <f t="shared" si="202"/>
        <v>0</v>
      </c>
      <c r="AO260" s="615">
        <f t="shared" si="203"/>
        <v>18.45</v>
      </c>
      <c r="AP260" s="616">
        <f t="shared" si="204"/>
        <v>17.85</v>
      </c>
      <c r="AQ260" s="616">
        <f t="shared" si="205"/>
        <v>0</v>
      </c>
      <c r="AR260" s="616">
        <f t="shared" si="206"/>
        <v>0</v>
      </c>
      <c r="AS260" s="616">
        <f t="shared" si="207"/>
        <v>0.6</v>
      </c>
      <c r="AT260" s="637">
        <f t="shared" si="208"/>
        <v>0</v>
      </c>
      <c r="AU260" s="638">
        <f t="shared" si="256"/>
        <v>50.73084</v>
      </c>
      <c r="AV260" s="616">
        <f t="shared" si="257"/>
        <v>18.9648</v>
      </c>
      <c r="AW260" s="616">
        <f t="shared" si="258"/>
        <v>9.4824</v>
      </c>
      <c r="AX260" s="616">
        <f t="shared" si="259"/>
        <v>7.1118</v>
      </c>
      <c r="AY260" s="616">
        <f t="shared" si="260"/>
        <v>0.23706</v>
      </c>
      <c r="AZ260" s="616">
        <f t="shared" si="261"/>
        <v>0.71118</v>
      </c>
      <c r="BA260" s="616">
        <f t="shared" si="262"/>
        <v>14.2236</v>
      </c>
      <c r="BB260" s="616"/>
      <c r="BC260" s="615">
        <f t="shared" si="210"/>
        <v>3.53528</v>
      </c>
      <c r="BD260" s="616">
        <f t="shared" si="211"/>
        <v>1.3216</v>
      </c>
      <c r="BE260" s="616">
        <f t="shared" si="212"/>
        <v>0.6608</v>
      </c>
      <c r="BF260" s="616">
        <f t="shared" si="213"/>
        <v>0.4956</v>
      </c>
      <c r="BG260" s="616">
        <f t="shared" si="214"/>
        <v>0.01652</v>
      </c>
      <c r="BH260" s="616">
        <f t="shared" si="215"/>
        <v>0.04956</v>
      </c>
      <c r="BI260" s="616">
        <f t="shared" si="216"/>
        <v>0.9912</v>
      </c>
      <c r="BJ260" s="616"/>
      <c r="BK260" s="615">
        <f t="shared" si="217"/>
        <v>54.26612</v>
      </c>
      <c r="BL260" s="616">
        <f t="shared" si="218"/>
        <v>20.2864</v>
      </c>
      <c r="BM260" s="616">
        <f t="shared" si="219"/>
        <v>10.1432</v>
      </c>
      <c r="BN260" s="616">
        <f t="shared" si="220"/>
        <v>7.6074</v>
      </c>
      <c r="BO260" s="616">
        <f t="shared" si="221"/>
        <v>0.25358</v>
      </c>
      <c r="BP260" s="616">
        <f t="shared" si="222"/>
        <v>0.76074</v>
      </c>
      <c r="BQ260" s="616">
        <f t="shared" si="223"/>
        <v>15.2148</v>
      </c>
      <c r="BR260" s="616">
        <f t="shared" si="224"/>
        <v>0</v>
      </c>
      <c r="BS260" s="304"/>
    </row>
    <row r="261" s="132" customFormat="1" ht="24" spans="1:71">
      <c r="A261" s="497" t="s">
        <v>504</v>
      </c>
      <c r="B261" s="497" t="s">
        <v>206</v>
      </c>
      <c r="C261" s="497" t="s">
        <v>557</v>
      </c>
      <c r="D261" s="497" t="s">
        <v>558</v>
      </c>
      <c r="E261" s="615">
        <f t="shared" si="253"/>
        <v>352.62</v>
      </c>
      <c r="F261" s="615">
        <f t="shared" si="254"/>
        <v>298.94</v>
      </c>
      <c r="G261" s="616">
        <v>165.45</v>
      </c>
      <c r="H261" s="616">
        <v>0.02</v>
      </c>
      <c r="I261" s="616">
        <v>56.06</v>
      </c>
      <c r="J261" s="616"/>
      <c r="K261" s="616">
        <v>22.42</v>
      </c>
      <c r="L261" s="616">
        <v>54.99</v>
      </c>
      <c r="M261" s="615">
        <f t="shared" si="255"/>
        <v>53.68</v>
      </c>
      <c r="N261" s="616">
        <v>33.64</v>
      </c>
      <c r="O261" s="616"/>
      <c r="P261" s="616">
        <v>2.54</v>
      </c>
      <c r="Q261" s="616"/>
      <c r="R261" s="616">
        <v>17.5</v>
      </c>
      <c r="S261" s="615">
        <f t="shared" si="192"/>
        <v>14.11</v>
      </c>
      <c r="T261" s="615">
        <f t="shared" si="193"/>
        <v>12.46</v>
      </c>
      <c r="U261" s="616">
        <v>7.97</v>
      </c>
      <c r="V261" s="616"/>
      <c r="W261" s="616">
        <v>1.87</v>
      </c>
      <c r="X261" s="616"/>
      <c r="Y261" s="616">
        <v>0.73</v>
      </c>
      <c r="Z261" s="616">
        <v>1.89</v>
      </c>
      <c r="AA261" s="615">
        <f t="shared" si="194"/>
        <v>1.65</v>
      </c>
      <c r="AB261" s="616"/>
      <c r="AC261" s="616"/>
      <c r="AD261" s="616"/>
      <c r="AE261" s="616">
        <f>0.3+1.35</f>
        <v>1.65</v>
      </c>
      <c r="AF261" s="616"/>
      <c r="AG261" s="615">
        <f t="shared" si="195"/>
        <v>366.73</v>
      </c>
      <c r="AH261" s="615">
        <f t="shared" si="196"/>
        <v>311.4</v>
      </c>
      <c r="AI261" s="616">
        <f t="shared" si="197"/>
        <v>173.42</v>
      </c>
      <c r="AJ261" s="616">
        <f t="shared" si="198"/>
        <v>0.02</v>
      </c>
      <c r="AK261" s="616">
        <f t="shared" si="199"/>
        <v>57.93</v>
      </c>
      <c r="AL261" s="616">
        <f t="shared" si="200"/>
        <v>0</v>
      </c>
      <c r="AM261" s="616">
        <f t="shared" si="201"/>
        <v>23.15</v>
      </c>
      <c r="AN261" s="616">
        <f t="shared" si="202"/>
        <v>56.88</v>
      </c>
      <c r="AO261" s="615">
        <f t="shared" si="203"/>
        <v>55.33</v>
      </c>
      <c r="AP261" s="616">
        <f t="shared" si="204"/>
        <v>33.64</v>
      </c>
      <c r="AQ261" s="616">
        <f t="shared" si="205"/>
        <v>0</v>
      </c>
      <c r="AR261" s="616">
        <f t="shared" si="206"/>
        <v>2.54</v>
      </c>
      <c r="AS261" s="616">
        <f t="shared" si="207"/>
        <v>1.65</v>
      </c>
      <c r="AT261" s="637">
        <f t="shared" si="208"/>
        <v>17.5</v>
      </c>
      <c r="AU261" s="638">
        <f t="shared" si="256"/>
        <v>109.21276</v>
      </c>
      <c r="AV261" s="616">
        <f t="shared" si="257"/>
        <v>40.8272</v>
      </c>
      <c r="AW261" s="616">
        <f t="shared" si="258"/>
        <v>20.4136</v>
      </c>
      <c r="AX261" s="616">
        <f t="shared" si="259"/>
        <v>15.3102</v>
      </c>
      <c r="AY261" s="616">
        <f t="shared" si="260"/>
        <v>0.51034</v>
      </c>
      <c r="AZ261" s="616">
        <f t="shared" si="261"/>
        <v>1.53102</v>
      </c>
      <c r="BA261" s="616">
        <f t="shared" si="262"/>
        <v>30.6204</v>
      </c>
      <c r="BB261" s="616"/>
      <c r="BC261" s="615">
        <f t="shared" si="210"/>
        <v>4.21152</v>
      </c>
      <c r="BD261" s="616">
        <f t="shared" si="211"/>
        <v>1.5744</v>
      </c>
      <c r="BE261" s="616">
        <f t="shared" si="212"/>
        <v>0.7872</v>
      </c>
      <c r="BF261" s="616">
        <f t="shared" si="213"/>
        <v>0.5904</v>
      </c>
      <c r="BG261" s="616">
        <f t="shared" si="214"/>
        <v>0.01968</v>
      </c>
      <c r="BH261" s="616">
        <f t="shared" si="215"/>
        <v>0.05904</v>
      </c>
      <c r="BI261" s="616">
        <f t="shared" si="216"/>
        <v>1.1808</v>
      </c>
      <c r="BJ261" s="616"/>
      <c r="BK261" s="615">
        <f t="shared" si="217"/>
        <v>113.42428</v>
      </c>
      <c r="BL261" s="616">
        <f t="shared" si="218"/>
        <v>42.4016</v>
      </c>
      <c r="BM261" s="616">
        <f t="shared" si="219"/>
        <v>21.2008</v>
      </c>
      <c r="BN261" s="616">
        <f t="shared" si="220"/>
        <v>15.9006</v>
      </c>
      <c r="BO261" s="616">
        <f t="shared" si="221"/>
        <v>0.53002</v>
      </c>
      <c r="BP261" s="616">
        <f t="shared" si="222"/>
        <v>1.59006</v>
      </c>
      <c r="BQ261" s="616">
        <f t="shared" si="223"/>
        <v>31.8012</v>
      </c>
      <c r="BR261" s="616">
        <f t="shared" si="224"/>
        <v>0</v>
      </c>
      <c r="BS261" s="304"/>
    </row>
    <row r="262" s="132" customFormat="1" ht="24" spans="1:71">
      <c r="A262" s="497" t="s">
        <v>504</v>
      </c>
      <c r="B262" s="497" t="s">
        <v>203</v>
      </c>
      <c r="C262" s="497" t="s">
        <v>559</v>
      </c>
      <c r="D262" s="497" t="s">
        <v>560</v>
      </c>
      <c r="E262" s="615">
        <f t="shared" si="253"/>
        <v>0</v>
      </c>
      <c r="F262" s="615">
        <f t="shared" si="254"/>
        <v>0</v>
      </c>
      <c r="G262" s="616"/>
      <c r="H262" s="616"/>
      <c r="I262" s="616"/>
      <c r="J262" s="616"/>
      <c r="K262" s="616"/>
      <c r="L262" s="616"/>
      <c r="M262" s="615">
        <f t="shared" si="255"/>
        <v>0</v>
      </c>
      <c r="N262" s="616"/>
      <c r="O262" s="616"/>
      <c r="P262" s="616"/>
      <c r="Q262" s="616"/>
      <c r="R262" s="616"/>
      <c r="S262" s="615">
        <f t="shared" si="192"/>
        <v>0</v>
      </c>
      <c r="T262" s="615">
        <f t="shared" si="193"/>
        <v>0</v>
      </c>
      <c r="U262" s="616"/>
      <c r="V262" s="616"/>
      <c r="W262" s="616"/>
      <c r="X262" s="616"/>
      <c r="Y262" s="616"/>
      <c r="Z262" s="616"/>
      <c r="AA262" s="615">
        <f t="shared" si="194"/>
        <v>0</v>
      </c>
      <c r="AB262" s="616"/>
      <c r="AC262" s="616"/>
      <c r="AD262" s="616"/>
      <c r="AE262" s="616"/>
      <c r="AF262" s="616"/>
      <c r="AG262" s="615">
        <f t="shared" si="195"/>
        <v>0</v>
      </c>
      <c r="AH262" s="615">
        <f t="shared" si="196"/>
        <v>0</v>
      </c>
      <c r="AI262" s="616">
        <f t="shared" si="197"/>
        <v>0</v>
      </c>
      <c r="AJ262" s="616">
        <f t="shared" si="198"/>
        <v>0</v>
      </c>
      <c r="AK262" s="616">
        <f t="shared" si="199"/>
        <v>0</v>
      </c>
      <c r="AL262" s="616">
        <f t="shared" si="200"/>
        <v>0</v>
      </c>
      <c r="AM262" s="616">
        <f t="shared" si="201"/>
        <v>0</v>
      </c>
      <c r="AN262" s="616">
        <f t="shared" si="202"/>
        <v>0</v>
      </c>
      <c r="AO262" s="615">
        <f t="shared" si="203"/>
        <v>0</v>
      </c>
      <c r="AP262" s="616">
        <f t="shared" si="204"/>
        <v>0</v>
      </c>
      <c r="AQ262" s="616">
        <f t="shared" si="205"/>
        <v>0</v>
      </c>
      <c r="AR262" s="616">
        <f t="shared" si="206"/>
        <v>0</v>
      </c>
      <c r="AS262" s="616">
        <f t="shared" si="207"/>
        <v>0</v>
      </c>
      <c r="AT262" s="637">
        <f t="shared" si="208"/>
        <v>0</v>
      </c>
      <c r="AU262" s="638">
        <f t="shared" si="256"/>
        <v>0</v>
      </c>
      <c r="AV262" s="616">
        <f t="shared" si="257"/>
        <v>0</v>
      </c>
      <c r="AW262" s="616">
        <f t="shared" si="258"/>
        <v>0</v>
      </c>
      <c r="AX262" s="616">
        <f t="shared" si="259"/>
        <v>0</v>
      </c>
      <c r="AY262" s="616">
        <f t="shared" si="260"/>
        <v>0</v>
      </c>
      <c r="AZ262" s="616">
        <f t="shared" si="261"/>
        <v>0</v>
      </c>
      <c r="BA262" s="616">
        <f t="shared" si="262"/>
        <v>0</v>
      </c>
      <c r="BB262" s="616"/>
      <c r="BC262" s="615">
        <f t="shared" si="210"/>
        <v>0</v>
      </c>
      <c r="BD262" s="616">
        <f t="shared" si="211"/>
        <v>0</v>
      </c>
      <c r="BE262" s="616">
        <f t="shared" si="212"/>
        <v>0</v>
      </c>
      <c r="BF262" s="616">
        <f t="shared" si="213"/>
        <v>0</v>
      </c>
      <c r="BG262" s="616">
        <f t="shared" si="214"/>
        <v>0</v>
      </c>
      <c r="BH262" s="616">
        <f t="shared" si="215"/>
        <v>0</v>
      </c>
      <c r="BI262" s="616">
        <f t="shared" si="216"/>
        <v>0</v>
      </c>
      <c r="BJ262" s="616"/>
      <c r="BK262" s="615">
        <f t="shared" si="217"/>
        <v>0</v>
      </c>
      <c r="BL262" s="616">
        <f t="shared" si="218"/>
        <v>0</v>
      </c>
      <c r="BM262" s="616">
        <f t="shared" si="219"/>
        <v>0</v>
      </c>
      <c r="BN262" s="616">
        <f t="shared" si="220"/>
        <v>0</v>
      </c>
      <c r="BO262" s="616">
        <f t="shared" si="221"/>
        <v>0</v>
      </c>
      <c r="BP262" s="616">
        <f t="shared" si="222"/>
        <v>0</v>
      </c>
      <c r="BQ262" s="616">
        <f t="shared" si="223"/>
        <v>0</v>
      </c>
      <c r="BR262" s="616">
        <f t="shared" si="224"/>
        <v>0</v>
      </c>
      <c r="BS262" s="304"/>
    </row>
    <row r="263" s="132" customFormat="1" ht="24" spans="1:71">
      <c r="A263" s="497" t="s">
        <v>504</v>
      </c>
      <c r="B263" s="497" t="s">
        <v>206</v>
      </c>
      <c r="C263" s="646" t="s">
        <v>561</v>
      </c>
      <c r="D263" s="497" t="s">
        <v>562</v>
      </c>
      <c r="E263" s="615">
        <f t="shared" si="253"/>
        <v>472.1638</v>
      </c>
      <c r="F263" s="615">
        <f t="shared" si="254"/>
        <v>408.456</v>
      </c>
      <c r="G263" s="616">
        <v>289.4796</v>
      </c>
      <c r="H263" s="616">
        <v>12.7968</v>
      </c>
      <c r="I263" s="616">
        <v>106.1796</v>
      </c>
      <c r="J263" s="616"/>
      <c r="K263" s="616"/>
      <c r="L263" s="616"/>
      <c r="M263" s="615">
        <f t="shared" si="255"/>
        <v>63.7078</v>
      </c>
      <c r="N263" s="616">
        <v>63.7078</v>
      </c>
      <c r="O263" s="616"/>
      <c r="P263" s="616"/>
      <c r="Q263" s="650"/>
      <c r="R263" s="616">
        <v>0</v>
      </c>
      <c r="S263" s="615">
        <f t="shared" si="192"/>
        <v>171.934</v>
      </c>
      <c r="T263" s="615">
        <f t="shared" si="193"/>
        <v>131.93</v>
      </c>
      <c r="U263" s="616">
        <v>10.06</v>
      </c>
      <c r="V263" s="616"/>
      <c r="W263" s="616">
        <v>4.84</v>
      </c>
      <c r="X263" s="616"/>
      <c r="Y263" s="616">
        <v>0.54</v>
      </c>
      <c r="Z263" s="616">
        <v>116.49</v>
      </c>
      <c r="AA263" s="615">
        <f t="shared" si="194"/>
        <v>40.004</v>
      </c>
      <c r="AB263" s="616">
        <v>2.904</v>
      </c>
      <c r="AC263" s="616"/>
      <c r="AD263" s="616"/>
      <c r="AE263" s="616">
        <f>0.15+1.95</f>
        <v>2.1</v>
      </c>
      <c r="AF263" s="616">
        <v>35</v>
      </c>
      <c r="AG263" s="615">
        <f t="shared" si="195"/>
        <v>644.0978</v>
      </c>
      <c r="AH263" s="615">
        <f t="shared" si="196"/>
        <v>540.386</v>
      </c>
      <c r="AI263" s="616">
        <f t="shared" si="197"/>
        <v>299.5396</v>
      </c>
      <c r="AJ263" s="616">
        <f t="shared" si="198"/>
        <v>12.7968</v>
      </c>
      <c r="AK263" s="616">
        <f t="shared" si="199"/>
        <v>111.0196</v>
      </c>
      <c r="AL263" s="616">
        <f t="shared" si="200"/>
        <v>0</v>
      </c>
      <c r="AM263" s="616">
        <f t="shared" si="201"/>
        <v>0.54</v>
      </c>
      <c r="AN263" s="616">
        <f t="shared" si="202"/>
        <v>116.49</v>
      </c>
      <c r="AO263" s="615">
        <f t="shared" si="203"/>
        <v>103.7118</v>
      </c>
      <c r="AP263" s="616">
        <f t="shared" si="204"/>
        <v>66.6118</v>
      </c>
      <c r="AQ263" s="616">
        <f t="shared" si="205"/>
        <v>0</v>
      </c>
      <c r="AR263" s="616">
        <f t="shared" si="206"/>
        <v>0</v>
      </c>
      <c r="AS263" s="616">
        <f t="shared" si="207"/>
        <v>2.1</v>
      </c>
      <c r="AT263" s="637">
        <f t="shared" si="208"/>
        <v>35</v>
      </c>
      <c r="AU263" s="638">
        <f t="shared" si="256"/>
        <v>202.0861064</v>
      </c>
      <c r="AV263" s="616">
        <f t="shared" si="257"/>
        <v>75.546208</v>
      </c>
      <c r="AW263" s="616">
        <f t="shared" si="258"/>
        <v>37.773104</v>
      </c>
      <c r="AX263" s="616">
        <f t="shared" si="259"/>
        <v>28.329828</v>
      </c>
      <c r="AY263" s="616">
        <f t="shared" si="260"/>
        <v>0.9443276</v>
      </c>
      <c r="AZ263" s="616">
        <f t="shared" si="261"/>
        <v>2.8329828</v>
      </c>
      <c r="BA263" s="616">
        <f t="shared" si="262"/>
        <v>56.659656</v>
      </c>
      <c r="BB263" s="616"/>
      <c r="BC263" s="615">
        <f t="shared" si="210"/>
        <v>7.620112</v>
      </c>
      <c r="BD263" s="616">
        <f t="shared" si="211"/>
        <v>2.84864</v>
      </c>
      <c r="BE263" s="616">
        <f t="shared" si="212"/>
        <v>1.42432</v>
      </c>
      <c r="BF263" s="616">
        <f t="shared" si="213"/>
        <v>1.06824</v>
      </c>
      <c r="BG263" s="616">
        <f t="shared" si="214"/>
        <v>0.035608</v>
      </c>
      <c r="BH263" s="616">
        <f t="shared" si="215"/>
        <v>0.106824</v>
      </c>
      <c r="BI263" s="616">
        <f t="shared" si="216"/>
        <v>2.13648</v>
      </c>
      <c r="BJ263" s="616"/>
      <c r="BK263" s="615">
        <f t="shared" si="217"/>
        <v>209.7062184</v>
      </c>
      <c r="BL263" s="616">
        <f t="shared" si="218"/>
        <v>78.394848</v>
      </c>
      <c r="BM263" s="616">
        <f t="shared" si="219"/>
        <v>39.197424</v>
      </c>
      <c r="BN263" s="616">
        <f t="shared" si="220"/>
        <v>29.398068</v>
      </c>
      <c r="BO263" s="616">
        <f t="shared" si="221"/>
        <v>0.9799356</v>
      </c>
      <c r="BP263" s="616">
        <f t="shared" si="222"/>
        <v>2.9398068</v>
      </c>
      <c r="BQ263" s="616">
        <f t="shared" si="223"/>
        <v>58.796136</v>
      </c>
      <c r="BR263" s="616">
        <f t="shared" si="224"/>
        <v>0</v>
      </c>
      <c r="BS263" s="304"/>
    </row>
    <row r="264" s="132" customFormat="1" ht="24" spans="1:71">
      <c r="A264" s="497" t="s">
        <v>504</v>
      </c>
      <c r="B264" s="497" t="s">
        <v>203</v>
      </c>
      <c r="C264" s="497" t="s">
        <v>563</v>
      </c>
      <c r="D264" s="497" t="s">
        <v>564</v>
      </c>
      <c r="E264" s="615">
        <f t="shared" si="253"/>
        <v>0</v>
      </c>
      <c r="F264" s="615">
        <f t="shared" si="254"/>
        <v>0</v>
      </c>
      <c r="G264" s="616"/>
      <c r="H264" s="616"/>
      <c r="I264" s="616"/>
      <c r="J264" s="616"/>
      <c r="K264" s="616"/>
      <c r="L264" s="616"/>
      <c r="M264" s="615">
        <f t="shared" si="255"/>
        <v>0</v>
      </c>
      <c r="N264" s="616"/>
      <c r="O264" s="616"/>
      <c r="P264" s="616"/>
      <c r="Q264" s="616"/>
      <c r="R264" s="616"/>
      <c r="S264" s="615">
        <f t="shared" si="192"/>
        <v>0</v>
      </c>
      <c r="T264" s="615">
        <f t="shared" si="193"/>
        <v>0</v>
      </c>
      <c r="U264" s="616"/>
      <c r="V264" s="616"/>
      <c r="W264" s="616"/>
      <c r="X264" s="616"/>
      <c r="Y264" s="616"/>
      <c r="Z264" s="616"/>
      <c r="AA264" s="615">
        <f t="shared" si="194"/>
        <v>0</v>
      </c>
      <c r="AB264" s="616"/>
      <c r="AC264" s="616"/>
      <c r="AD264" s="616"/>
      <c r="AE264" s="616"/>
      <c r="AF264" s="616"/>
      <c r="AG264" s="615">
        <f t="shared" si="195"/>
        <v>0</v>
      </c>
      <c r="AH264" s="615">
        <f t="shared" si="196"/>
        <v>0</v>
      </c>
      <c r="AI264" s="616">
        <f t="shared" si="197"/>
        <v>0</v>
      </c>
      <c r="AJ264" s="616">
        <f t="shared" si="198"/>
        <v>0</v>
      </c>
      <c r="AK264" s="616">
        <f t="shared" si="199"/>
        <v>0</v>
      </c>
      <c r="AL264" s="616">
        <f t="shared" si="200"/>
        <v>0</v>
      </c>
      <c r="AM264" s="616">
        <f t="shared" si="201"/>
        <v>0</v>
      </c>
      <c r="AN264" s="616">
        <f t="shared" si="202"/>
        <v>0</v>
      </c>
      <c r="AO264" s="615">
        <f t="shared" si="203"/>
        <v>0</v>
      </c>
      <c r="AP264" s="616">
        <f t="shared" si="204"/>
        <v>0</v>
      </c>
      <c r="AQ264" s="616">
        <f t="shared" si="205"/>
        <v>0</v>
      </c>
      <c r="AR264" s="616">
        <f t="shared" si="206"/>
        <v>0</v>
      </c>
      <c r="AS264" s="616">
        <f t="shared" si="207"/>
        <v>0</v>
      </c>
      <c r="AT264" s="637">
        <f t="shared" si="208"/>
        <v>0</v>
      </c>
      <c r="AU264" s="638">
        <f t="shared" si="256"/>
        <v>0</v>
      </c>
      <c r="AV264" s="616">
        <f t="shared" si="257"/>
        <v>0</v>
      </c>
      <c r="AW264" s="616">
        <f t="shared" si="258"/>
        <v>0</v>
      </c>
      <c r="AX264" s="616">
        <f t="shared" si="259"/>
        <v>0</v>
      </c>
      <c r="AY264" s="616">
        <f t="shared" si="260"/>
        <v>0</v>
      </c>
      <c r="AZ264" s="616">
        <f t="shared" si="261"/>
        <v>0</v>
      </c>
      <c r="BA264" s="616">
        <f t="shared" si="262"/>
        <v>0</v>
      </c>
      <c r="BB264" s="616"/>
      <c r="BC264" s="615">
        <f t="shared" si="210"/>
        <v>0</v>
      </c>
      <c r="BD264" s="616">
        <f t="shared" si="211"/>
        <v>0</v>
      </c>
      <c r="BE264" s="616">
        <f t="shared" si="212"/>
        <v>0</v>
      </c>
      <c r="BF264" s="616">
        <f t="shared" si="213"/>
        <v>0</v>
      </c>
      <c r="BG264" s="616">
        <f t="shared" si="214"/>
        <v>0</v>
      </c>
      <c r="BH264" s="616">
        <f t="shared" si="215"/>
        <v>0</v>
      </c>
      <c r="BI264" s="616">
        <f t="shared" si="216"/>
        <v>0</v>
      </c>
      <c r="BJ264" s="616"/>
      <c r="BK264" s="615">
        <f t="shared" si="217"/>
        <v>0</v>
      </c>
      <c r="BL264" s="616">
        <f t="shared" si="218"/>
        <v>0</v>
      </c>
      <c r="BM264" s="616">
        <f t="shared" si="219"/>
        <v>0</v>
      </c>
      <c r="BN264" s="616">
        <f t="shared" si="220"/>
        <v>0</v>
      </c>
      <c r="BO264" s="616">
        <f t="shared" si="221"/>
        <v>0</v>
      </c>
      <c r="BP264" s="616">
        <f t="shared" si="222"/>
        <v>0</v>
      </c>
      <c r="BQ264" s="616">
        <f t="shared" si="223"/>
        <v>0</v>
      </c>
      <c r="BR264" s="616">
        <f t="shared" si="224"/>
        <v>0</v>
      </c>
      <c r="BS264" s="304"/>
    </row>
    <row r="265" s="508" customFormat="1" ht="21" customHeight="1" spans="1:72">
      <c r="A265" s="647"/>
      <c r="B265" s="647"/>
      <c r="C265" s="647" t="s">
        <v>135</v>
      </c>
      <c r="D265" s="648">
        <v>212</v>
      </c>
      <c r="E265" s="612">
        <f t="shared" ref="E265:Z265" si="263">SUM(E266:E276)</f>
        <v>899.1742</v>
      </c>
      <c r="F265" s="612">
        <f t="shared" si="263"/>
        <v>664.4312</v>
      </c>
      <c r="G265" s="612">
        <f t="shared" si="263"/>
        <v>391.5152</v>
      </c>
      <c r="H265" s="612">
        <f t="shared" si="263"/>
        <v>0.2892</v>
      </c>
      <c r="I265" s="612">
        <f t="shared" si="263"/>
        <v>136.4688</v>
      </c>
      <c r="J265" s="612">
        <f t="shared" si="263"/>
        <v>0</v>
      </c>
      <c r="K265" s="612">
        <f t="shared" si="263"/>
        <v>0.468</v>
      </c>
      <c r="L265" s="612">
        <f t="shared" si="263"/>
        <v>135.69</v>
      </c>
      <c r="M265" s="612">
        <f t="shared" si="263"/>
        <v>234.743</v>
      </c>
      <c r="N265" s="612">
        <f t="shared" si="263"/>
        <v>81.883</v>
      </c>
      <c r="O265" s="612">
        <f t="shared" si="263"/>
        <v>0</v>
      </c>
      <c r="P265" s="612">
        <f t="shared" si="263"/>
        <v>106.36</v>
      </c>
      <c r="Q265" s="612">
        <f t="shared" si="263"/>
        <v>0</v>
      </c>
      <c r="R265" s="612">
        <f t="shared" si="263"/>
        <v>46.5</v>
      </c>
      <c r="S265" s="612">
        <f t="shared" ref="S265:AF265" si="264">SUM(S266:S276)</f>
        <v>58.10574</v>
      </c>
      <c r="T265" s="612">
        <f t="shared" si="264"/>
        <v>58.14556</v>
      </c>
      <c r="U265" s="612">
        <f t="shared" si="264"/>
        <v>56.15436</v>
      </c>
      <c r="V265" s="612">
        <f t="shared" si="264"/>
        <v>0</v>
      </c>
      <c r="W265" s="612">
        <f t="shared" si="264"/>
        <v>1.94</v>
      </c>
      <c r="X265" s="612">
        <f t="shared" si="264"/>
        <v>0</v>
      </c>
      <c r="Y265" s="612">
        <f t="shared" si="264"/>
        <v>-0.47</v>
      </c>
      <c r="Z265" s="612">
        <f t="shared" si="264"/>
        <v>0.5212</v>
      </c>
      <c r="AA265" s="612">
        <f t="shared" si="264"/>
        <v>-0.0398200000000001</v>
      </c>
      <c r="AB265" s="612">
        <f t="shared" si="264"/>
        <v>-1.0267</v>
      </c>
      <c r="AC265" s="612">
        <f t="shared" si="264"/>
        <v>0</v>
      </c>
      <c r="AD265" s="612">
        <f t="shared" si="264"/>
        <v>-2.26032</v>
      </c>
      <c r="AE265" s="612">
        <f t="shared" si="264"/>
        <v>3.15</v>
      </c>
      <c r="AF265" s="612">
        <f t="shared" si="264"/>
        <v>0.0972</v>
      </c>
      <c r="AG265" s="612">
        <f t="shared" ref="AG265:BB265" si="265">SUM(AG266:AG276)</f>
        <v>957.27994</v>
      </c>
      <c r="AH265" s="612">
        <f t="shared" si="265"/>
        <v>722.57676</v>
      </c>
      <c r="AI265" s="612">
        <f t="shared" si="265"/>
        <v>447.66956</v>
      </c>
      <c r="AJ265" s="612">
        <f t="shared" si="265"/>
        <v>0.2892</v>
      </c>
      <c r="AK265" s="612">
        <f t="shared" si="265"/>
        <v>138.4088</v>
      </c>
      <c r="AL265" s="612">
        <f t="shared" si="265"/>
        <v>0</v>
      </c>
      <c r="AM265" s="612">
        <f t="shared" si="265"/>
        <v>-0.00199999999999995</v>
      </c>
      <c r="AN265" s="612">
        <f t="shared" si="265"/>
        <v>136.2112</v>
      </c>
      <c r="AO265" s="612">
        <f t="shared" si="265"/>
        <v>234.70318</v>
      </c>
      <c r="AP265" s="612">
        <f t="shared" si="265"/>
        <v>80.8563</v>
      </c>
      <c r="AQ265" s="612">
        <f t="shared" si="265"/>
        <v>0</v>
      </c>
      <c r="AR265" s="612">
        <f t="shared" si="265"/>
        <v>104.09968</v>
      </c>
      <c r="AS265" s="612">
        <f t="shared" si="265"/>
        <v>3.15</v>
      </c>
      <c r="AT265" s="635">
        <f t="shared" si="265"/>
        <v>46.5972</v>
      </c>
      <c r="AU265" s="636">
        <f t="shared" si="265"/>
        <v>261.1468536</v>
      </c>
      <c r="AV265" s="612">
        <f t="shared" si="265"/>
        <v>97.624992</v>
      </c>
      <c r="AW265" s="612">
        <f t="shared" si="265"/>
        <v>48.812496</v>
      </c>
      <c r="AX265" s="612">
        <f t="shared" si="265"/>
        <v>36.609372</v>
      </c>
      <c r="AY265" s="612">
        <f t="shared" si="265"/>
        <v>1.2203124</v>
      </c>
      <c r="AZ265" s="612">
        <f t="shared" si="265"/>
        <v>3.6609372</v>
      </c>
      <c r="BA265" s="612">
        <f t="shared" si="265"/>
        <v>73.218744</v>
      </c>
      <c r="BB265" s="612">
        <f t="shared" si="265"/>
        <v>0</v>
      </c>
      <c r="BC265" s="612">
        <f t="shared" ref="BC265:BR265" si="266">SUM(BC266:BC276)</f>
        <v>24.42495848</v>
      </c>
      <c r="BD265" s="612">
        <f t="shared" si="266"/>
        <v>9.1308256</v>
      </c>
      <c r="BE265" s="612">
        <f t="shared" si="266"/>
        <v>4.5654128</v>
      </c>
      <c r="BF265" s="612">
        <f t="shared" si="266"/>
        <v>3.4240596</v>
      </c>
      <c r="BG265" s="612">
        <f t="shared" si="266"/>
        <v>0.11413532</v>
      </c>
      <c r="BH265" s="612">
        <f t="shared" si="266"/>
        <v>0.34240596</v>
      </c>
      <c r="BI265" s="612">
        <f t="shared" si="266"/>
        <v>6.8481192</v>
      </c>
      <c r="BJ265" s="612">
        <f t="shared" si="266"/>
        <v>0</v>
      </c>
      <c r="BK265" s="612">
        <f t="shared" si="266"/>
        <v>285.57181208</v>
      </c>
      <c r="BL265" s="612">
        <f t="shared" si="266"/>
        <v>106.7558176</v>
      </c>
      <c r="BM265" s="612">
        <f t="shared" si="266"/>
        <v>53.3779088</v>
      </c>
      <c r="BN265" s="612">
        <f t="shared" si="266"/>
        <v>40.0334316</v>
      </c>
      <c r="BO265" s="612">
        <f t="shared" si="266"/>
        <v>1.33444772</v>
      </c>
      <c r="BP265" s="612">
        <f t="shared" si="266"/>
        <v>4.00334316</v>
      </c>
      <c r="BQ265" s="612">
        <f t="shared" si="266"/>
        <v>80.0668632</v>
      </c>
      <c r="BR265" s="612">
        <f t="shared" si="266"/>
        <v>0</v>
      </c>
      <c r="BS265" s="334"/>
      <c r="BT265" s="653"/>
    </row>
    <row r="266" s="132" customFormat="1" ht="24" spans="1:71">
      <c r="A266" s="497" t="s">
        <v>261</v>
      </c>
      <c r="B266" s="497" t="s">
        <v>203</v>
      </c>
      <c r="C266" s="497" t="s">
        <v>565</v>
      </c>
      <c r="D266" s="497" t="s">
        <v>566</v>
      </c>
      <c r="E266" s="615">
        <f t="shared" ref="E266:E276" si="267">F266+M266</f>
        <v>0</v>
      </c>
      <c r="F266" s="615">
        <f t="shared" ref="F266:F276" si="268">SUM(G266:L266)</f>
        <v>0</v>
      </c>
      <c r="G266" s="616"/>
      <c r="H266" s="616"/>
      <c r="I266" s="616"/>
      <c r="J266" s="616"/>
      <c r="K266" s="616"/>
      <c r="L266" s="616"/>
      <c r="M266" s="615">
        <f t="shared" ref="M266:M276" si="269">SUM(N266:R266)</f>
        <v>0</v>
      </c>
      <c r="N266" s="616"/>
      <c r="O266" s="616"/>
      <c r="P266" s="616"/>
      <c r="Q266" s="616"/>
      <c r="R266" s="616"/>
      <c r="S266" s="615">
        <f t="shared" si="192"/>
        <v>0</v>
      </c>
      <c r="T266" s="615">
        <f t="shared" si="193"/>
        <v>0</v>
      </c>
      <c r="U266" s="616"/>
      <c r="V266" s="616"/>
      <c r="W266" s="616"/>
      <c r="X266" s="616"/>
      <c r="Y266" s="616"/>
      <c r="Z266" s="616"/>
      <c r="AA266" s="615">
        <f t="shared" si="194"/>
        <v>0</v>
      </c>
      <c r="AB266" s="616"/>
      <c r="AC266" s="616"/>
      <c r="AD266" s="616"/>
      <c r="AE266" s="616"/>
      <c r="AF266" s="616"/>
      <c r="AG266" s="615">
        <f t="shared" si="195"/>
        <v>0</v>
      </c>
      <c r="AH266" s="615">
        <f t="shared" si="196"/>
        <v>0</v>
      </c>
      <c r="AI266" s="616">
        <f t="shared" si="197"/>
        <v>0</v>
      </c>
      <c r="AJ266" s="616">
        <f t="shared" si="198"/>
        <v>0</v>
      </c>
      <c r="AK266" s="616">
        <f t="shared" si="199"/>
        <v>0</v>
      </c>
      <c r="AL266" s="616">
        <f t="shared" si="200"/>
        <v>0</v>
      </c>
      <c r="AM266" s="616">
        <f t="shared" si="201"/>
        <v>0</v>
      </c>
      <c r="AN266" s="616">
        <f t="shared" si="202"/>
        <v>0</v>
      </c>
      <c r="AO266" s="615">
        <f t="shared" si="203"/>
        <v>0</v>
      </c>
      <c r="AP266" s="616">
        <f t="shared" si="204"/>
        <v>0</v>
      </c>
      <c r="AQ266" s="616">
        <f t="shared" si="205"/>
        <v>0</v>
      </c>
      <c r="AR266" s="616">
        <f t="shared" si="206"/>
        <v>0</v>
      </c>
      <c r="AS266" s="616">
        <f t="shared" si="207"/>
        <v>0</v>
      </c>
      <c r="AT266" s="637">
        <f t="shared" si="208"/>
        <v>0</v>
      </c>
      <c r="AU266" s="638">
        <f t="shared" ref="AU266:AU276" si="270">SUM(AV266:BB266)</f>
        <v>0</v>
      </c>
      <c r="AV266" s="616">
        <f t="shared" ref="AV266:AV276" si="271">(G266+H266+I266+N266)*0.16</f>
        <v>0</v>
      </c>
      <c r="AW266" s="616">
        <f t="shared" ref="AW266:AW276" si="272">(G266+H266+I266+N266)*0.08</f>
        <v>0</v>
      </c>
      <c r="AX266" s="616">
        <f t="shared" ref="AX266:AX276" si="273">(G266+H266+I266+N266)*0.06</f>
        <v>0</v>
      </c>
      <c r="AY266" s="616">
        <f t="shared" ref="AY266:AY276" si="274">(G266+H266+I266+N266)*0.002</f>
        <v>0</v>
      </c>
      <c r="AZ266" s="616">
        <f t="shared" ref="AZ266:AZ276" si="275">(G266+H266+I266+N266)*0.006</f>
        <v>0</v>
      </c>
      <c r="BA266" s="616">
        <f t="shared" ref="BA266:BA276" si="276">(G266+H266+I266+N266)*0.12</f>
        <v>0</v>
      </c>
      <c r="BB266" s="616"/>
      <c r="BC266" s="615">
        <f t="shared" si="210"/>
        <v>0</v>
      </c>
      <c r="BD266" s="616">
        <f t="shared" si="211"/>
        <v>0</v>
      </c>
      <c r="BE266" s="616">
        <f t="shared" si="212"/>
        <v>0</v>
      </c>
      <c r="BF266" s="616">
        <f t="shared" si="213"/>
        <v>0</v>
      </c>
      <c r="BG266" s="616">
        <f t="shared" si="214"/>
        <v>0</v>
      </c>
      <c r="BH266" s="616">
        <f t="shared" si="215"/>
        <v>0</v>
      </c>
      <c r="BI266" s="616">
        <f t="shared" si="216"/>
        <v>0</v>
      </c>
      <c r="BJ266" s="616"/>
      <c r="BK266" s="615">
        <f t="shared" si="217"/>
        <v>0</v>
      </c>
      <c r="BL266" s="616">
        <f t="shared" si="218"/>
        <v>0</v>
      </c>
      <c r="BM266" s="616">
        <f t="shared" si="219"/>
        <v>0</v>
      </c>
      <c r="BN266" s="616">
        <f t="shared" si="220"/>
        <v>0</v>
      </c>
      <c r="BO266" s="616">
        <f t="shared" si="221"/>
        <v>0</v>
      </c>
      <c r="BP266" s="616">
        <f t="shared" si="222"/>
        <v>0</v>
      </c>
      <c r="BQ266" s="616">
        <f t="shared" si="223"/>
        <v>0</v>
      </c>
      <c r="BR266" s="616">
        <f t="shared" si="224"/>
        <v>0</v>
      </c>
      <c r="BS266" s="304"/>
    </row>
    <row r="267" s="131" customFormat="1" ht="24" spans="1:71">
      <c r="A267" s="497" t="s">
        <v>261</v>
      </c>
      <c r="B267" s="497" t="s">
        <v>203</v>
      </c>
      <c r="C267" s="497" t="s">
        <v>567</v>
      </c>
      <c r="D267" s="497" t="s">
        <v>568</v>
      </c>
      <c r="E267" s="617">
        <f t="shared" si="267"/>
        <v>0</v>
      </c>
      <c r="F267" s="617">
        <f t="shared" si="268"/>
        <v>0</v>
      </c>
      <c r="G267" s="618"/>
      <c r="H267" s="618"/>
      <c r="I267" s="618"/>
      <c r="J267" s="618"/>
      <c r="K267" s="618"/>
      <c r="L267" s="618"/>
      <c r="M267" s="617">
        <f t="shared" si="269"/>
        <v>0</v>
      </c>
      <c r="N267" s="618"/>
      <c r="O267" s="618"/>
      <c r="P267" s="618"/>
      <c r="Q267" s="618"/>
      <c r="R267" s="618"/>
      <c r="S267" s="615">
        <f t="shared" si="192"/>
        <v>0</v>
      </c>
      <c r="T267" s="615">
        <f t="shared" si="193"/>
        <v>0</v>
      </c>
      <c r="U267" s="616"/>
      <c r="V267" s="616"/>
      <c r="W267" s="616"/>
      <c r="X267" s="616"/>
      <c r="Y267" s="616"/>
      <c r="Z267" s="616"/>
      <c r="AA267" s="615">
        <f t="shared" si="194"/>
        <v>0</v>
      </c>
      <c r="AB267" s="616"/>
      <c r="AC267" s="616"/>
      <c r="AD267" s="616"/>
      <c r="AE267" s="616"/>
      <c r="AF267" s="616"/>
      <c r="AG267" s="615">
        <f t="shared" si="195"/>
        <v>0</v>
      </c>
      <c r="AH267" s="615">
        <f t="shared" si="196"/>
        <v>0</v>
      </c>
      <c r="AI267" s="616">
        <f t="shared" si="197"/>
        <v>0</v>
      </c>
      <c r="AJ267" s="616">
        <f t="shared" si="198"/>
        <v>0</v>
      </c>
      <c r="AK267" s="616">
        <f t="shared" si="199"/>
        <v>0</v>
      </c>
      <c r="AL267" s="616">
        <f t="shared" si="200"/>
        <v>0</v>
      </c>
      <c r="AM267" s="616">
        <f t="shared" si="201"/>
        <v>0</v>
      </c>
      <c r="AN267" s="616">
        <f t="shared" si="202"/>
        <v>0</v>
      </c>
      <c r="AO267" s="615">
        <f t="shared" si="203"/>
        <v>0</v>
      </c>
      <c r="AP267" s="616">
        <f t="shared" si="204"/>
        <v>0</v>
      </c>
      <c r="AQ267" s="616">
        <f t="shared" si="205"/>
        <v>0</v>
      </c>
      <c r="AR267" s="616">
        <f t="shared" si="206"/>
        <v>0</v>
      </c>
      <c r="AS267" s="616">
        <f t="shared" si="207"/>
        <v>0</v>
      </c>
      <c r="AT267" s="637">
        <f t="shared" si="208"/>
        <v>0</v>
      </c>
      <c r="AU267" s="639">
        <f t="shared" si="270"/>
        <v>0</v>
      </c>
      <c r="AV267" s="618">
        <f t="shared" si="271"/>
        <v>0</v>
      </c>
      <c r="AW267" s="618">
        <f t="shared" si="272"/>
        <v>0</v>
      </c>
      <c r="AX267" s="618">
        <f t="shared" si="273"/>
        <v>0</v>
      </c>
      <c r="AY267" s="618">
        <f t="shared" si="274"/>
        <v>0</v>
      </c>
      <c r="AZ267" s="618">
        <f t="shared" si="275"/>
        <v>0</v>
      </c>
      <c r="BA267" s="618">
        <f t="shared" si="276"/>
        <v>0</v>
      </c>
      <c r="BB267" s="618"/>
      <c r="BC267" s="615">
        <f t="shared" si="210"/>
        <v>0</v>
      </c>
      <c r="BD267" s="616">
        <f t="shared" si="211"/>
        <v>0</v>
      </c>
      <c r="BE267" s="616">
        <f t="shared" si="212"/>
        <v>0</v>
      </c>
      <c r="BF267" s="616">
        <f t="shared" si="213"/>
        <v>0</v>
      </c>
      <c r="BG267" s="616">
        <f t="shared" si="214"/>
        <v>0</v>
      </c>
      <c r="BH267" s="616">
        <f t="shared" si="215"/>
        <v>0</v>
      </c>
      <c r="BI267" s="616">
        <f t="shared" si="216"/>
        <v>0</v>
      </c>
      <c r="BJ267" s="616"/>
      <c r="BK267" s="615">
        <f t="shared" si="217"/>
        <v>0</v>
      </c>
      <c r="BL267" s="616">
        <f t="shared" si="218"/>
        <v>0</v>
      </c>
      <c r="BM267" s="616">
        <f t="shared" si="219"/>
        <v>0</v>
      </c>
      <c r="BN267" s="616">
        <f t="shared" si="220"/>
        <v>0</v>
      </c>
      <c r="BO267" s="616">
        <f t="shared" si="221"/>
        <v>0</v>
      </c>
      <c r="BP267" s="616">
        <f t="shared" si="222"/>
        <v>0</v>
      </c>
      <c r="BQ267" s="616">
        <f t="shared" si="223"/>
        <v>0</v>
      </c>
      <c r="BR267" s="616">
        <f t="shared" si="224"/>
        <v>0</v>
      </c>
      <c r="BS267" s="497"/>
    </row>
    <row r="268" s="131" customFormat="1" ht="24" spans="1:71">
      <c r="A268" s="497" t="s">
        <v>261</v>
      </c>
      <c r="B268" s="497" t="s">
        <v>206</v>
      </c>
      <c r="C268" s="497" t="s">
        <v>570</v>
      </c>
      <c r="D268" s="497" t="s">
        <v>568</v>
      </c>
      <c r="E268" s="617">
        <f t="shared" si="267"/>
        <v>256.444</v>
      </c>
      <c r="F268" s="617">
        <f t="shared" si="268"/>
        <v>213.504</v>
      </c>
      <c r="G268" s="619">
        <v>124.644</v>
      </c>
      <c r="H268" s="619"/>
      <c r="I268" s="619">
        <v>44.9</v>
      </c>
      <c r="J268" s="618"/>
      <c r="K268" s="618"/>
      <c r="L268" s="618">
        <v>43.96</v>
      </c>
      <c r="M268" s="617">
        <f t="shared" si="269"/>
        <v>42.94</v>
      </c>
      <c r="N268" s="619">
        <v>26.94</v>
      </c>
      <c r="O268" s="618"/>
      <c r="P268" s="618"/>
      <c r="Q268" s="618"/>
      <c r="R268" s="618">
        <v>16</v>
      </c>
      <c r="S268" s="615">
        <f t="shared" ref="S268:S313" si="277">T268+AA268</f>
        <v>67.40296</v>
      </c>
      <c r="T268" s="615">
        <f t="shared" ref="T268:T313" si="278">SUM(U268:Z268)</f>
        <v>66.02296</v>
      </c>
      <c r="U268" s="616">
        <v>62.28296</v>
      </c>
      <c r="V268" s="616"/>
      <c r="W268" s="616">
        <v>1.5</v>
      </c>
      <c r="X268" s="616"/>
      <c r="Y268" s="616"/>
      <c r="Z268" s="616">
        <v>2.24</v>
      </c>
      <c r="AA268" s="615">
        <f t="shared" ref="AA268:AA313" si="279">SUM(AB268:AF268)</f>
        <v>1.38</v>
      </c>
      <c r="AB268" s="616">
        <v>0.03</v>
      </c>
      <c r="AC268" s="616"/>
      <c r="AD268" s="616"/>
      <c r="AE268" s="616">
        <f>0.15+1.2</f>
        <v>1.35</v>
      </c>
      <c r="AF268" s="616"/>
      <c r="AG268" s="615">
        <f t="shared" ref="AG268:AG313" si="280">AH268+AO268</f>
        <v>323.84696</v>
      </c>
      <c r="AH268" s="615">
        <f t="shared" ref="AH268:AH313" si="281">SUM(AI268:AN268)</f>
        <v>279.52696</v>
      </c>
      <c r="AI268" s="616">
        <f t="shared" ref="AI268:AI313" si="282">G268+U268</f>
        <v>186.92696</v>
      </c>
      <c r="AJ268" s="616">
        <f t="shared" ref="AJ268:AJ313" si="283">H268+V268</f>
        <v>0</v>
      </c>
      <c r="AK268" s="616">
        <f t="shared" ref="AK268:AK313" si="284">I268+W268</f>
        <v>46.4</v>
      </c>
      <c r="AL268" s="616">
        <f t="shared" ref="AL268:AL313" si="285">J268+X268</f>
        <v>0</v>
      </c>
      <c r="AM268" s="616">
        <f t="shared" ref="AM268:AM313" si="286">K268+Y268</f>
        <v>0</v>
      </c>
      <c r="AN268" s="616">
        <f t="shared" ref="AN268:AN313" si="287">L268+Z268</f>
        <v>46.2</v>
      </c>
      <c r="AO268" s="615">
        <f t="shared" ref="AO268:AO313" si="288">SUM(AP268:AT268)</f>
        <v>44.32</v>
      </c>
      <c r="AP268" s="616">
        <f t="shared" ref="AP268:AP313" si="289">N268+AB268</f>
        <v>26.97</v>
      </c>
      <c r="AQ268" s="616">
        <f t="shared" ref="AQ268:AQ313" si="290">O268+AC268</f>
        <v>0</v>
      </c>
      <c r="AR268" s="616">
        <f t="shared" ref="AR268:AR313" si="291">P268+AD268</f>
        <v>0</v>
      </c>
      <c r="AS268" s="616">
        <f t="shared" ref="AS268:AS313" si="292">Q268+AE268</f>
        <v>1.35</v>
      </c>
      <c r="AT268" s="637">
        <f t="shared" ref="AT268:AT313" si="293">R268+AF268</f>
        <v>16</v>
      </c>
      <c r="AU268" s="639">
        <f t="shared" si="270"/>
        <v>84.095152</v>
      </c>
      <c r="AV268" s="618">
        <f t="shared" si="271"/>
        <v>31.43744</v>
      </c>
      <c r="AW268" s="618">
        <f t="shared" si="272"/>
        <v>15.71872</v>
      </c>
      <c r="AX268" s="618">
        <f t="shared" si="273"/>
        <v>11.78904</v>
      </c>
      <c r="AY268" s="618">
        <f t="shared" si="274"/>
        <v>0.392968</v>
      </c>
      <c r="AZ268" s="618">
        <f t="shared" si="275"/>
        <v>1.178904</v>
      </c>
      <c r="BA268" s="618">
        <f t="shared" si="276"/>
        <v>23.57808</v>
      </c>
      <c r="BB268" s="618"/>
      <c r="BC268" s="615">
        <f t="shared" ref="BC268:BC313" si="294">SUM(BD268:BJ268)</f>
        <v>27.31194688</v>
      </c>
      <c r="BD268" s="616">
        <f t="shared" ref="BD268:BD313" si="295">(U268+V268+W268+AB268)*0.16</f>
        <v>10.2100736</v>
      </c>
      <c r="BE268" s="616">
        <f t="shared" ref="BE268:BE313" si="296">(U268+V268+W268+AB268)*0.08</f>
        <v>5.1050368</v>
      </c>
      <c r="BF268" s="616">
        <f t="shared" ref="BF268:BF313" si="297">(U268+V268+W268+AB268)*0.06</f>
        <v>3.8287776</v>
      </c>
      <c r="BG268" s="616">
        <f t="shared" ref="BG268:BG313" si="298">(U268+V268+W268+AB268)*0.002</f>
        <v>0.12762592</v>
      </c>
      <c r="BH268" s="616">
        <f t="shared" ref="BH268:BH313" si="299">(U268+V268+W268+AB268)*0.006</f>
        <v>0.38287776</v>
      </c>
      <c r="BI268" s="616">
        <f t="shared" ref="BI268:BI313" si="300">(U268+V268+W268+AB268)*0.12</f>
        <v>7.6575552</v>
      </c>
      <c r="BJ268" s="616"/>
      <c r="BK268" s="615">
        <f t="shared" ref="BK268:BK313" si="301">SUM(BL268:BR268)</f>
        <v>111.40709888</v>
      </c>
      <c r="BL268" s="616">
        <f t="shared" ref="BL268:BL313" si="302">(AI268+AJ268+AK268+AP268)*0.16</f>
        <v>41.6475136</v>
      </c>
      <c r="BM268" s="616">
        <f t="shared" ref="BM268:BM313" si="303">(AI268+AJ268+AK268+AP268)*0.08</f>
        <v>20.8237568</v>
      </c>
      <c r="BN268" s="616">
        <f t="shared" ref="BN268:BN313" si="304">(AI268+AJ268+AK268+AP268)*0.06</f>
        <v>15.6178176</v>
      </c>
      <c r="BO268" s="616">
        <f t="shared" ref="BO268:BO313" si="305">(AI268+AJ268+AK268+AP268)*0.002</f>
        <v>0.52059392</v>
      </c>
      <c r="BP268" s="616">
        <f t="shared" ref="BP268:BP313" si="306">(AI268+AJ268+AK268+AP268)*0.006</f>
        <v>1.56178176</v>
      </c>
      <c r="BQ268" s="616">
        <f t="shared" ref="BQ268:BQ313" si="307">(AI268+AJ268+AK268+AP268)*0.12</f>
        <v>31.2356352</v>
      </c>
      <c r="BR268" s="616">
        <f t="shared" ref="BR268:BR313" si="308">BB268+BJ268</f>
        <v>0</v>
      </c>
      <c r="BS268" s="304"/>
    </row>
    <row r="269" s="131" customFormat="1" ht="36" spans="1:71">
      <c r="A269" s="497" t="s">
        <v>261</v>
      </c>
      <c r="B269" s="497" t="s">
        <v>206</v>
      </c>
      <c r="C269" s="497" t="s">
        <v>571</v>
      </c>
      <c r="D269" s="497" t="s">
        <v>572</v>
      </c>
      <c r="E269" s="617">
        <f t="shared" si="267"/>
        <v>62.1976</v>
      </c>
      <c r="F269" s="617">
        <f t="shared" si="268"/>
        <v>52.9668</v>
      </c>
      <c r="G269" s="619">
        <v>32.532</v>
      </c>
      <c r="H269" s="619"/>
      <c r="I269" s="619">
        <v>10.3848</v>
      </c>
      <c r="J269" s="618"/>
      <c r="K269" s="618"/>
      <c r="L269" s="618">
        <v>10.05</v>
      </c>
      <c r="M269" s="617">
        <f t="shared" si="269"/>
        <v>9.2308</v>
      </c>
      <c r="N269" s="619">
        <v>6.2308</v>
      </c>
      <c r="O269" s="618"/>
      <c r="P269" s="618"/>
      <c r="Q269" s="618"/>
      <c r="R269" s="618">
        <v>3</v>
      </c>
      <c r="S269" s="615">
        <f t="shared" si="277"/>
        <v>1.146</v>
      </c>
      <c r="T269" s="615">
        <f t="shared" si="278"/>
        <v>0.696</v>
      </c>
      <c r="U269" s="616">
        <v>0.696</v>
      </c>
      <c r="V269" s="616"/>
      <c r="W269" s="616"/>
      <c r="X269" s="616"/>
      <c r="Y269" s="616"/>
      <c r="Z269" s="616"/>
      <c r="AA269" s="615">
        <f t="shared" si="279"/>
        <v>0.45</v>
      </c>
      <c r="AB269" s="616"/>
      <c r="AC269" s="616"/>
      <c r="AD269" s="616"/>
      <c r="AE269" s="616">
        <v>0.45</v>
      </c>
      <c r="AF269" s="616"/>
      <c r="AG269" s="615">
        <f t="shared" si="280"/>
        <v>63.3436</v>
      </c>
      <c r="AH269" s="615">
        <f t="shared" si="281"/>
        <v>53.6628</v>
      </c>
      <c r="AI269" s="616">
        <f t="shared" si="282"/>
        <v>33.228</v>
      </c>
      <c r="AJ269" s="616">
        <f t="shared" si="283"/>
        <v>0</v>
      </c>
      <c r="AK269" s="616">
        <f t="shared" si="284"/>
        <v>10.3848</v>
      </c>
      <c r="AL269" s="616">
        <f t="shared" si="285"/>
        <v>0</v>
      </c>
      <c r="AM269" s="616">
        <f t="shared" si="286"/>
        <v>0</v>
      </c>
      <c r="AN269" s="616">
        <f t="shared" si="287"/>
        <v>10.05</v>
      </c>
      <c r="AO269" s="615">
        <f t="shared" si="288"/>
        <v>9.6808</v>
      </c>
      <c r="AP269" s="616">
        <f t="shared" si="289"/>
        <v>6.2308</v>
      </c>
      <c r="AQ269" s="616">
        <f t="shared" si="290"/>
        <v>0</v>
      </c>
      <c r="AR269" s="616">
        <f t="shared" si="291"/>
        <v>0</v>
      </c>
      <c r="AS269" s="616">
        <f t="shared" si="292"/>
        <v>0.45</v>
      </c>
      <c r="AT269" s="637">
        <f t="shared" si="293"/>
        <v>3</v>
      </c>
      <c r="AU269" s="639">
        <f t="shared" si="270"/>
        <v>21.0351728</v>
      </c>
      <c r="AV269" s="618">
        <f t="shared" si="271"/>
        <v>7.863616</v>
      </c>
      <c r="AW269" s="618">
        <f t="shared" si="272"/>
        <v>3.931808</v>
      </c>
      <c r="AX269" s="618">
        <f t="shared" si="273"/>
        <v>2.948856</v>
      </c>
      <c r="AY269" s="618">
        <f t="shared" si="274"/>
        <v>0.0982952</v>
      </c>
      <c r="AZ269" s="618">
        <f t="shared" si="275"/>
        <v>0.2948856</v>
      </c>
      <c r="BA269" s="618">
        <f t="shared" si="276"/>
        <v>5.897712</v>
      </c>
      <c r="BB269" s="618"/>
      <c r="BC269" s="615">
        <f t="shared" si="294"/>
        <v>0.297888</v>
      </c>
      <c r="BD269" s="616">
        <f t="shared" si="295"/>
        <v>0.11136</v>
      </c>
      <c r="BE269" s="616">
        <f t="shared" si="296"/>
        <v>0.05568</v>
      </c>
      <c r="BF269" s="616">
        <f t="shared" si="297"/>
        <v>0.04176</v>
      </c>
      <c r="BG269" s="616">
        <f t="shared" si="298"/>
        <v>0.001392</v>
      </c>
      <c r="BH269" s="616">
        <f t="shared" si="299"/>
        <v>0.004176</v>
      </c>
      <c r="BI269" s="616">
        <f t="shared" si="300"/>
        <v>0.08352</v>
      </c>
      <c r="BJ269" s="616"/>
      <c r="BK269" s="615">
        <f t="shared" si="301"/>
        <v>21.3330608</v>
      </c>
      <c r="BL269" s="616">
        <f t="shared" si="302"/>
        <v>7.974976</v>
      </c>
      <c r="BM269" s="616">
        <f t="shared" si="303"/>
        <v>3.987488</v>
      </c>
      <c r="BN269" s="616">
        <f t="shared" si="304"/>
        <v>2.990616</v>
      </c>
      <c r="BO269" s="616">
        <f t="shared" si="305"/>
        <v>0.0996872</v>
      </c>
      <c r="BP269" s="616">
        <f t="shared" si="306"/>
        <v>0.2990616</v>
      </c>
      <c r="BQ269" s="616">
        <f t="shared" si="307"/>
        <v>5.981232</v>
      </c>
      <c r="BR269" s="616">
        <f t="shared" si="308"/>
        <v>0</v>
      </c>
      <c r="BS269" s="304"/>
    </row>
    <row r="270" s="131" customFormat="1" ht="36" spans="1:71">
      <c r="A270" s="497" t="s">
        <v>261</v>
      </c>
      <c r="B270" s="497" t="s">
        <v>206</v>
      </c>
      <c r="C270" s="497" t="s">
        <v>573</v>
      </c>
      <c r="D270" s="497" t="s">
        <v>574</v>
      </c>
      <c r="E270" s="617">
        <f t="shared" si="267"/>
        <v>26.1421</v>
      </c>
      <c r="F270" s="617">
        <f t="shared" si="268"/>
        <v>21.9004</v>
      </c>
      <c r="G270" s="619">
        <v>12.8208</v>
      </c>
      <c r="H270" s="619"/>
      <c r="I270" s="619">
        <v>4.5696</v>
      </c>
      <c r="J270" s="618"/>
      <c r="K270" s="618"/>
      <c r="L270" s="618">
        <v>4.51</v>
      </c>
      <c r="M270" s="617">
        <f t="shared" si="269"/>
        <v>4.2417</v>
      </c>
      <c r="N270" s="619">
        <v>2.7417</v>
      </c>
      <c r="O270" s="618"/>
      <c r="P270" s="618"/>
      <c r="Q270" s="618"/>
      <c r="R270" s="618">
        <v>1.5</v>
      </c>
      <c r="S270" s="615">
        <f t="shared" si="277"/>
        <v>-4.5815</v>
      </c>
      <c r="T270" s="615">
        <f t="shared" si="278"/>
        <v>-4.1488</v>
      </c>
      <c r="U270" s="616">
        <v>-3.62</v>
      </c>
      <c r="V270" s="616"/>
      <c r="W270" s="616">
        <v>0.44</v>
      </c>
      <c r="X270" s="616"/>
      <c r="Y270" s="616"/>
      <c r="Z270" s="616">
        <v>-0.9688</v>
      </c>
      <c r="AA270" s="615">
        <f t="shared" si="279"/>
        <v>-0.4327</v>
      </c>
      <c r="AB270" s="616">
        <v>-0.5827</v>
      </c>
      <c r="AC270" s="616"/>
      <c r="AD270" s="616"/>
      <c r="AE270" s="616">
        <v>0.15</v>
      </c>
      <c r="AF270" s="616"/>
      <c r="AG270" s="615">
        <f t="shared" si="280"/>
        <v>21.5606</v>
      </c>
      <c r="AH270" s="615">
        <f t="shared" si="281"/>
        <v>17.7516</v>
      </c>
      <c r="AI270" s="616">
        <f t="shared" si="282"/>
        <v>9.2008</v>
      </c>
      <c r="AJ270" s="616">
        <f t="shared" si="283"/>
        <v>0</v>
      </c>
      <c r="AK270" s="616">
        <f t="shared" si="284"/>
        <v>5.0096</v>
      </c>
      <c r="AL270" s="616">
        <f t="shared" si="285"/>
        <v>0</v>
      </c>
      <c r="AM270" s="616">
        <f t="shared" si="286"/>
        <v>0</v>
      </c>
      <c r="AN270" s="616">
        <f t="shared" si="287"/>
        <v>3.5412</v>
      </c>
      <c r="AO270" s="615">
        <f t="shared" si="288"/>
        <v>3.809</v>
      </c>
      <c r="AP270" s="616">
        <f t="shared" si="289"/>
        <v>2.159</v>
      </c>
      <c r="AQ270" s="616">
        <f t="shared" si="290"/>
        <v>0</v>
      </c>
      <c r="AR270" s="616">
        <f t="shared" si="291"/>
        <v>0</v>
      </c>
      <c r="AS270" s="616">
        <f t="shared" si="292"/>
        <v>0.15</v>
      </c>
      <c r="AT270" s="637">
        <f t="shared" si="293"/>
        <v>1.5</v>
      </c>
      <c r="AU270" s="639">
        <f t="shared" si="270"/>
        <v>8.6165388</v>
      </c>
      <c r="AV270" s="618">
        <f t="shared" si="271"/>
        <v>3.221136</v>
      </c>
      <c r="AW270" s="618">
        <f t="shared" si="272"/>
        <v>1.610568</v>
      </c>
      <c r="AX270" s="618">
        <f t="shared" si="273"/>
        <v>1.207926</v>
      </c>
      <c r="AY270" s="618">
        <f t="shared" si="274"/>
        <v>0.0402642</v>
      </c>
      <c r="AZ270" s="618">
        <f t="shared" si="275"/>
        <v>0.1207926</v>
      </c>
      <c r="BA270" s="618">
        <f t="shared" si="276"/>
        <v>2.415852</v>
      </c>
      <c r="BB270" s="618"/>
      <c r="BC270" s="615">
        <f t="shared" si="294"/>
        <v>-1.6104356</v>
      </c>
      <c r="BD270" s="616">
        <f t="shared" si="295"/>
        <v>-0.602032</v>
      </c>
      <c r="BE270" s="616">
        <f t="shared" si="296"/>
        <v>-0.301016</v>
      </c>
      <c r="BF270" s="616">
        <f t="shared" si="297"/>
        <v>-0.225762</v>
      </c>
      <c r="BG270" s="616">
        <f t="shared" si="298"/>
        <v>-0.0075254</v>
      </c>
      <c r="BH270" s="616">
        <f t="shared" si="299"/>
        <v>-0.0225762</v>
      </c>
      <c r="BI270" s="616">
        <f t="shared" si="300"/>
        <v>-0.451524</v>
      </c>
      <c r="BJ270" s="616"/>
      <c r="BK270" s="615">
        <f t="shared" si="301"/>
        <v>7.0061032</v>
      </c>
      <c r="BL270" s="616">
        <f t="shared" si="302"/>
        <v>2.619104</v>
      </c>
      <c r="BM270" s="616">
        <f t="shared" si="303"/>
        <v>1.309552</v>
      </c>
      <c r="BN270" s="616">
        <f t="shared" si="304"/>
        <v>0.982164</v>
      </c>
      <c r="BO270" s="616">
        <f t="shared" si="305"/>
        <v>0.0327388</v>
      </c>
      <c r="BP270" s="616">
        <f t="shared" si="306"/>
        <v>0.0982164</v>
      </c>
      <c r="BQ270" s="616">
        <f t="shared" si="307"/>
        <v>1.964328</v>
      </c>
      <c r="BR270" s="616">
        <f t="shared" si="308"/>
        <v>0</v>
      </c>
      <c r="BS270" s="304"/>
    </row>
    <row r="271" s="131" customFormat="1" ht="36" spans="1:71">
      <c r="A271" s="497" t="s">
        <v>261</v>
      </c>
      <c r="B271" s="497" t="s">
        <v>206</v>
      </c>
      <c r="C271" s="497" t="s">
        <v>575</v>
      </c>
      <c r="D271" s="497" t="s">
        <v>574</v>
      </c>
      <c r="E271" s="617">
        <f t="shared" si="267"/>
        <v>77.25</v>
      </c>
      <c r="F271" s="617">
        <f t="shared" si="268"/>
        <v>58.02</v>
      </c>
      <c r="G271" s="619">
        <v>33.45</v>
      </c>
      <c r="H271" s="619"/>
      <c r="I271" s="619">
        <v>11.83</v>
      </c>
      <c r="J271" s="618"/>
      <c r="K271" s="618"/>
      <c r="L271" s="618">
        <v>12.74</v>
      </c>
      <c r="M271" s="617">
        <f t="shared" si="269"/>
        <v>19.23</v>
      </c>
      <c r="N271" s="619">
        <v>7.1</v>
      </c>
      <c r="O271" s="619"/>
      <c r="P271" s="619">
        <v>7.63</v>
      </c>
      <c r="Q271" s="618"/>
      <c r="R271" s="618">
        <v>4.5</v>
      </c>
      <c r="S271" s="615">
        <f t="shared" si="277"/>
        <v>-4.4436</v>
      </c>
      <c r="T271" s="615">
        <f t="shared" si="278"/>
        <v>-4.6258</v>
      </c>
      <c r="U271" s="616">
        <v>-3.7758</v>
      </c>
      <c r="V271" s="616"/>
      <c r="W271" s="616"/>
      <c r="X271" s="616"/>
      <c r="Y271" s="616"/>
      <c r="Z271" s="616">
        <v>-0.85</v>
      </c>
      <c r="AA271" s="615">
        <f t="shared" si="279"/>
        <v>0.1822</v>
      </c>
      <c r="AB271" s="616">
        <v>-0.21</v>
      </c>
      <c r="AC271" s="616"/>
      <c r="AD271" s="616">
        <v>0.2422</v>
      </c>
      <c r="AE271" s="616">
        <v>0.15</v>
      </c>
      <c r="AF271" s="616"/>
      <c r="AG271" s="615">
        <f t="shared" si="280"/>
        <v>72.8064</v>
      </c>
      <c r="AH271" s="615">
        <f t="shared" si="281"/>
        <v>53.3942</v>
      </c>
      <c r="AI271" s="616">
        <f t="shared" si="282"/>
        <v>29.6742</v>
      </c>
      <c r="AJ271" s="616">
        <f t="shared" si="283"/>
        <v>0</v>
      </c>
      <c r="AK271" s="616">
        <f t="shared" si="284"/>
        <v>11.83</v>
      </c>
      <c r="AL271" s="616">
        <f t="shared" si="285"/>
        <v>0</v>
      </c>
      <c r="AM271" s="616">
        <f t="shared" si="286"/>
        <v>0</v>
      </c>
      <c r="AN271" s="616">
        <f t="shared" si="287"/>
        <v>11.89</v>
      </c>
      <c r="AO271" s="615">
        <f t="shared" si="288"/>
        <v>19.4122</v>
      </c>
      <c r="AP271" s="616">
        <f t="shared" si="289"/>
        <v>6.89</v>
      </c>
      <c r="AQ271" s="616">
        <f t="shared" si="290"/>
        <v>0</v>
      </c>
      <c r="AR271" s="616">
        <f t="shared" si="291"/>
        <v>7.8722</v>
      </c>
      <c r="AS271" s="616">
        <f t="shared" si="292"/>
        <v>0.15</v>
      </c>
      <c r="AT271" s="637">
        <f t="shared" si="293"/>
        <v>4.5</v>
      </c>
      <c r="AU271" s="639">
        <f t="shared" si="270"/>
        <v>22.41864</v>
      </c>
      <c r="AV271" s="618">
        <f t="shared" si="271"/>
        <v>8.3808</v>
      </c>
      <c r="AW271" s="618">
        <f t="shared" si="272"/>
        <v>4.1904</v>
      </c>
      <c r="AX271" s="618">
        <f t="shared" si="273"/>
        <v>3.1428</v>
      </c>
      <c r="AY271" s="618">
        <f t="shared" si="274"/>
        <v>0.10476</v>
      </c>
      <c r="AZ271" s="618">
        <f t="shared" si="275"/>
        <v>0.31428</v>
      </c>
      <c r="BA271" s="618">
        <f t="shared" si="276"/>
        <v>6.2856</v>
      </c>
      <c r="BB271" s="618"/>
      <c r="BC271" s="615">
        <f t="shared" si="294"/>
        <v>-1.7059224</v>
      </c>
      <c r="BD271" s="616">
        <f t="shared" si="295"/>
        <v>-0.637728</v>
      </c>
      <c r="BE271" s="616">
        <f t="shared" si="296"/>
        <v>-0.318864</v>
      </c>
      <c r="BF271" s="616">
        <f t="shared" si="297"/>
        <v>-0.239148</v>
      </c>
      <c r="BG271" s="616">
        <f t="shared" si="298"/>
        <v>-0.0079716</v>
      </c>
      <c r="BH271" s="616">
        <f t="shared" si="299"/>
        <v>-0.0239148</v>
      </c>
      <c r="BI271" s="616">
        <f t="shared" si="300"/>
        <v>-0.478296</v>
      </c>
      <c r="BJ271" s="616"/>
      <c r="BK271" s="615">
        <f t="shared" si="301"/>
        <v>20.7127176</v>
      </c>
      <c r="BL271" s="616">
        <f t="shared" si="302"/>
        <v>7.743072</v>
      </c>
      <c r="BM271" s="616">
        <f t="shared" si="303"/>
        <v>3.871536</v>
      </c>
      <c r="BN271" s="616">
        <f t="shared" si="304"/>
        <v>2.903652</v>
      </c>
      <c r="BO271" s="616">
        <f t="shared" si="305"/>
        <v>0.0967884</v>
      </c>
      <c r="BP271" s="616">
        <f t="shared" si="306"/>
        <v>0.2903652</v>
      </c>
      <c r="BQ271" s="616">
        <f t="shared" si="307"/>
        <v>5.807304</v>
      </c>
      <c r="BR271" s="616">
        <f t="shared" si="308"/>
        <v>0</v>
      </c>
      <c r="BS271" s="304"/>
    </row>
    <row r="272" s="131" customFormat="1" ht="36" spans="1:71">
      <c r="A272" s="497" t="s">
        <v>261</v>
      </c>
      <c r="B272" s="497" t="s">
        <v>206</v>
      </c>
      <c r="C272" s="497" t="s">
        <v>576</v>
      </c>
      <c r="D272" s="497" t="s">
        <v>574</v>
      </c>
      <c r="E272" s="617">
        <f t="shared" si="267"/>
        <v>70.31</v>
      </c>
      <c r="F272" s="617">
        <f t="shared" si="268"/>
        <v>45.6</v>
      </c>
      <c r="G272" s="619">
        <v>25.63</v>
      </c>
      <c r="H272" s="619"/>
      <c r="I272" s="619">
        <v>9.92</v>
      </c>
      <c r="J272" s="618"/>
      <c r="K272" s="618"/>
      <c r="L272" s="618">
        <v>10.05</v>
      </c>
      <c r="M272" s="617">
        <f t="shared" si="269"/>
        <v>24.71</v>
      </c>
      <c r="N272" s="619">
        <v>5.95</v>
      </c>
      <c r="O272" s="619"/>
      <c r="P272" s="619">
        <v>15.26</v>
      </c>
      <c r="Q272" s="618"/>
      <c r="R272" s="618">
        <v>3.5</v>
      </c>
      <c r="S272" s="615">
        <f t="shared" si="277"/>
        <v>-7.239</v>
      </c>
      <c r="T272" s="615">
        <f t="shared" si="278"/>
        <v>1.008</v>
      </c>
      <c r="U272" s="616">
        <v>1.008</v>
      </c>
      <c r="V272" s="616"/>
      <c r="W272" s="616"/>
      <c r="X272" s="616"/>
      <c r="Y272" s="616"/>
      <c r="Z272" s="616"/>
      <c r="AA272" s="615">
        <f t="shared" si="279"/>
        <v>-8.247</v>
      </c>
      <c r="AB272" s="616"/>
      <c r="AC272" s="616"/>
      <c r="AD272" s="616">
        <v>-8.397</v>
      </c>
      <c r="AE272" s="616">
        <v>0.15</v>
      </c>
      <c r="AF272" s="616"/>
      <c r="AG272" s="615">
        <f t="shared" si="280"/>
        <v>63.071</v>
      </c>
      <c r="AH272" s="615">
        <f t="shared" si="281"/>
        <v>46.608</v>
      </c>
      <c r="AI272" s="616">
        <f t="shared" si="282"/>
        <v>26.638</v>
      </c>
      <c r="AJ272" s="616">
        <f t="shared" si="283"/>
        <v>0</v>
      </c>
      <c r="AK272" s="616">
        <f t="shared" si="284"/>
        <v>9.92</v>
      </c>
      <c r="AL272" s="616">
        <f t="shared" si="285"/>
        <v>0</v>
      </c>
      <c r="AM272" s="616">
        <f t="shared" si="286"/>
        <v>0</v>
      </c>
      <c r="AN272" s="616">
        <f t="shared" si="287"/>
        <v>10.05</v>
      </c>
      <c r="AO272" s="615">
        <f t="shared" si="288"/>
        <v>16.463</v>
      </c>
      <c r="AP272" s="616">
        <f t="shared" si="289"/>
        <v>5.95</v>
      </c>
      <c r="AQ272" s="616">
        <f t="shared" si="290"/>
        <v>0</v>
      </c>
      <c r="AR272" s="616">
        <f t="shared" si="291"/>
        <v>6.863</v>
      </c>
      <c r="AS272" s="616">
        <f t="shared" si="292"/>
        <v>0.15</v>
      </c>
      <c r="AT272" s="637">
        <f t="shared" si="293"/>
        <v>3.5</v>
      </c>
      <c r="AU272" s="639">
        <f t="shared" si="270"/>
        <v>17.762</v>
      </c>
      <c r="AV272" s="618">
        <f t="shared" si="271"/>
        <v>6.64</v>
      </c>
      <c r="AW272" s="618">
        <f t="shared" si="272"/>
        <v>3.32</v>
      </c>
      <c r="AX272" s="618">
        <f t="shared" si="273"/>
        <v>2.49</v>
      </c>
      <c r="AY272" s="618">
        <f t="shared" si="274"/>
        <v>0.083</v>
      </c>
      <c r="AZ272" s="618">
        <f t="shared" si="275"/>
        <v>0.249</v>
      </c>
      <c r="BA272" s="618">
        <f t="shared" si="276"/>
        <v>4.98</v>
      </c>
      <c r="BB272" s="618"/>
      <c r="BC272" s="615">
        <f t="shared" si="294"/>
        <v>0.431424</v>
      </c>
      <c r="BD272" s="616">
        <f t="shared" si="295"/>
        <v>0.16128</v>
      </c>
      <c r="BE272" s="616">
        <f t="shared" si="296"/>
        <v>0.08064</v>
      </c>
      <c r="BF272" s="616">
        <f t="shared" si="297"/>
        <v>0.06048</v>
      </c>
      <c r="BG272" s="616">
        <f t="shared" si="298"/>
        <v>0.002016</v>
      </c>
      <c r="BH272" s="616">
        <f t="shared" si="299"/>
        <v>0.006048</v>
      </c>
      <c r="BI272" s="616">
        <f t="shared" si="300"/>
        <v>0.12096</v>
      </c>
      <c r="BJ272" s="616"/>
      <c r="BK272" s="615">
        <f t="shared" si="301"/>
        <v>18.193424</v>
      </c>
      <c r="BL272" s="616">
        <f t="shared" si="302"/>
        <v>6.80128</v>
      </c>
      <c r="BM272" s="616">
        <f t="shared" si="303"/>
        <v>3.40064</v>
      </c>
      <c r="BN272" s="616">
        <f t="shared" si="304"/>
        <v>2.55048</v>
      </c>
      <c r="BO272" s="616">
        <f t="shared" si="305"/>
        <v>0.085016</v>
      </c>
      <c r="BP272" s="616">
        <f t="shared" si="306"/>
        <v>0.255048</v>
      </c>
      <c r="BQ272" s="616">
        <f t="shared" si="307"/>
        <v>5.10096</v>
      </c>
      <c r="BR272" s="616">
        <f t="shared" si="308"/>
        <v>0</v>
      </c>
      <c r="BS272" s="304"/>
    </row>
    <row r="273" s="131" customFormat="1" ht="36" spans="1:71">
      <c r="A273" s="497" t="s">
        <v>261</v>
      </c>
      <c r="B273" s="497" t="s">
        <v>206</v>
      </c>
      <c r="C273" s="497" t="s">
        <v>577</v>
      </c>
      <c r="D273" s="497" t="s">
        <v>578</v>
      </c>
      <c r="E273" s="617">
        <f t="shared" si="267"/>
        <v>122.46</v>
      </c>
      <c r="F273" s="617">
        <f t="shared" si="268"/>
        <v>103.79</v>
      </c>
      <c r="G273" s="619">
        <v>63.52</v>
      </c>
      <c r="H273" s="619"/>
      <c r="I273" s="619">
        <v>20.27</v>
      </c>
      <c r="J273" s="618"/>
      <c r="K273" s="618"/>
      <c r="L273" s="618">
        <v>20</v>
      </c>
      <c r="M273" s="617">
        <f t="shared" si="269"/>
        <v>18.67</v>
      </c>
      <c r="N273" s="619">
        <v>12.17</v>
      </c>
      <c r="O273" s="618"/>
      <c r="P273" s="618"/>
      <c r="Q273" s="618"/>
      <c r="R273" s="618">
        <v>6.5</v>
      </c>
      <c r="S273" s="615">
        <f t="shared" si="277"/>
        <v>0.7788</v>
      </c>
      <c r="T273" s="615">
        <f t="shared" si="278"/>
        <v>0.2496</v>
      </c>
      <c r="U273" s="616">
        <v>0.1496</v>
      </c>
      <c r="V273" s="616"/>
      <c r="W273" s="616"/>
      <c r="X273" s="616"/>
      <c r="Y273" s="616"/>
      <c r="Z273" s="616">
        <v>0.1</v>
      </c>
      <c r="AA273" s="615">
        <f t="shared" si="279"/>
        <v>0.5292</v>
      </c>
      <c r="AB273" s="616">
        <v>0.132</v>
      </c>
      <c r="AC273" s="616"/>
      <c r="AD273" s="616"/>
      <c r="AE273" s="616">
        <v>0.3</v>
      </c>
      <c r="AF273" s="616">
        <v>0.0972</v>
      </c>
      <c r="AG273" s="615">
        <f t="shared" si="280"/>
        <v>123.2388</v>
      </c>
      <c r="AH273" s="615">
        <f t="shared" si="281"/>
        <v>104.0396</v>
      </c>
      <c r="AI273" s="616">
        <f t="shared" si="282"/>
        <v>63.6696</v>
      </c>
      <c r="AJ273" s="616">
        <f t="shared" si="283"/>
        <v>0</v>
      </c>
      <c r="AK273" s="616">
        <f t="shared" si="284"/>
        <v>20.27</v>
      </c>
      <c r="AL273" s="616">
        <f t="shared" si="285"/>
        <v>0</v>
      </c>
      <c r="AM273" s="616">
        <f t="shared" si="286"/>
        <v>0</v>
      </c>
      <c r="AN273" s="616">
        <f t="shared" si="287"/>
        <v>20.1</v>
      </c>
      <c r="AO273" s="615">
        <f t="shared" si="288"/>
        <v>19.1992</v>
      </c>
      <c r="AP273" s="616">
        <f t="shared" si="289"/>
        <v>12.302</v>
      </c>
      <c r="AQ273" s="616">
        <f t="shared" si="290"/>
        <v>0</v>
      </c>
      <c r="AR273" s="616">
        <f t="shared" si="291"/>
        <v>0</v>
      </c>
      <c r="AS273" s="616">
        <f t="shared" si="292"/>
        <v>0.3</v>
      </c>
      <c r="AT273" s="637">
        <f t="shared" si="293"/>
        <v>6.5972</v>
      </c>
      <c r="AU273" s="639">
        <f t="shared" si="270"/>
        <v>41.07088</v>
      </c>
      <c r="AV273" s="618">
        <f t="shared" si="271"/>
        <v>15.3536</v>
      </c>
      <c r="AW273" s="618">
        <f t="shared" si="272"/>
        <v>7.6768</v>
      </c>
      <c r="AX273" s="618">
        <f t="shared" si="273"/>
        <v>5.7576</v>
      </c>
      <c r="AY273" s="618">
        <f t="shared" si="274"/>
        <v>0.19192</v>
      </c>
      <c r="AZ273" s="618">
        <f t="shared" si="275"/>
        <v>0.57576</v>
      </c>
      <c r="BA273" s="618">
        <f t="shared" si="276"/>
        <v>11.5152</v>
      </c>
      <c r="BB273" s="618"/>
      <c r="BC273" s="615">
        <f t="shared" si="294"/>
        <v>0.1205248</v>
      </c>
      <c r="BD273" s="616">
        <f t="shared" si="295"/>
        <v>0.045056</v>
      </c>
      <c r="BE273" s="616">
        <f t="shared" si="296"/>
        <v>0.022528</v>
      </c>
      <c r="BF273" s="616">
        <f t="shared" si="297"/>
        <v>0.016896</v>
      </c>
      <c r="BG273" s="616">
        <f t="shared" si="298"/>
        <v>0.0005632</v>
      </c>
      <c r="BH273" s="616">
        <f t="shared" si="299"/>
        <v>0.0016896</v>
      </c>
      <c r="BI273" s="616">
        <f t="shared" si="300"/>
        <v>0.033792</v>
      </c>
      <c r="BJ273" s="616"/>
      <c r="BK273" s="615">
        <f t="shared" si="301"/>
        <v>41.1914048</v>
      </c>
      <c r="BL273" s="616">
        <f t="shared" si="302"/>
        <v>15.398656</v>
      </c>
      <c r="BM273" s="616">
        <f t="shared" si="303"/>
        <v>7.699328</v>
      </c>
      <c r="BN273" s="616">
        <f t="shared" si="304"/>
        <v>5.774496</v>
      </c>
      <c r="BO273" s="616">
        <f t="shared" si="305"/>
        <v>0.1924832</v>
      </c>
      <c r="BP273" s="616">
        <f t="shared" si="306"/>
        <v>0.5774496</v>
      </c>
      <c r="BQ273" s="616">
        <f t="shared" si="307"/>
        <v>11.548992</v>
      </c>
      <c r="BR273" s="616">
        <f t="shared" si="308"/>
        <v>0</v>
      </c>
      <c r="BS273" s="304"/>
    </row>
    <row r="274" s="131" customFormat="1" ht="36" spans="1:71">
      <c r="A274" s="497" t="s">
        <v>261</v>
      </c>
      <c r="B274" s="497" t="s">
        <v>206</v>
      </c>
      <c r="C274" s="497" t="s">
        <v>579</v>
      </c>
      <c r="D274" s="497" t="s">
        <v>580</v>
      </c>
      <c r="E274" s="617">
        <f t="shared" si="267"/>
        <v>129.0388</v>
      </c>
      <c r="F274" s="617">
        <f t="shared" si="268"/>
        <v>46.6268</v>
      </c>
      <c r="G274" s="618">
        <v>26.976</v>
      </c>
      <c r="H274" s="618">
        <v>0.2892</v>
      </c>
      <c r="I274" s="618">
        <v>9.3636</v>
      </c>
      <c r="J274" s="618"/>
      <c r="K274" s="618">
        <v>0.468</v>
      </c>
      <c r="L274" s="618">
        <v>9.53</v>
      </c>
      <c r="M274" s="617">
        <f t="shared" si="269"/>
        <v>82.412</v>
      </c>
      <c r="N274" s="618">
        <v>5.612</v>
      </c>
      <c r="O274" s="618"/>
      <c r="P274" s="618">
        <v>73.3</v>
      </c>
      <c r="Q274" s="618"/>
      <c r="R274" s="618">
        <v>3.5</v>
      </c>
      <c r="S274" s="615">
        <f t="shared" si="277"/>
        <v>-0.7872</v>
      </c>
      <c r="T274" s="615">
        <f t="shared" si="278"/>
        <v>-2.56</v>
      </c>
      <c r="U274" s="616">
        <v>-2.09</v>
      </c>
      <c r="V274" s="616"/>
      <c r="W274" s="616"/>
      <c r="X274" s="616"/>
      <c r="Y274" s="616">
        <v>-0.47</v>
      </c>
      <c r="Z274" s="616"/>
      <c r="AA274" s="615">
        <f t="shared" si="279"/>
        <v>1.7728</v>
      </c>
      <c r="AB274" s="616">
        <v>-0.396</v>
      </c>
      <c r="AC274" s="616"/>
      <c r="AD274" s="616">
        <v>2.0188</v>
      </c>
      <c r="AE274" s="616">
        <v>0.15</v>
      </c>
      <c r="AF274" s="616"/>
      <c r="AG274" s="615">
        <f t="shared" si="280"/>
        <v>128.2516</v>
      </c>
      <c r="AH274" s="615">
        <f t="shared" si="281"/>
        <v>44.0668</v>
      </c>
      <c r="AI274" s="616">
        <f t="shared" si="282"/>
        <v>24.886</v>
      </c>
      <c r="AJ274" s="616">
        <f t="shared" si="283"/>
        <v>0.2892</v>
      </c>
      <c r="AK274" s="616">
        <f t="shared" si="284"/>
        <v>9.3636</v>
      </c>
      <c r="AL274" s="616">
        <f t="shared" si="285"/>
        <v>0</v>
      </c>
      <c r="AM274" s="616">
        <f t="shared" si="286"/>
        <v>-0.00199999999999995</v>
      </c>
      <c r="AN274" s="616">
        <f t="shared" si="287"/>
        <v>9.53</v>
      </c>
      <c r="AO274" s="615">
        <f t="shared" si="288"/>
        <v>84.1848</v>
      </c>
      <c r="AP274" s="616">
        <f t="shared" si="289"/>
        <v>5.216</v>
      </c>
      <c r="AQ274" s="616">
        <f t="shared" si="290"/>
        <v>0</v>
      </c>
      <c r="AR274" s="616">
        <f t="shared" si="291"/>
        <v>75.3188</v>
      </c>
      <c r="AS274" s="616">
        <f t="shared" si="292"/>
        <v>0.15</v>
      </c>
      <c r="AT274" s="637">
        <f t="shared" si="293"/>
        <v>3.5</v>
      </c>
      <c r="AU274" s="639">
        <f t="shared" si="270"/>
        <v>18.0790624</v>
      </c>
      <c r="AV274" s="618">
        <f t="shared" si="271"/>
        <v>6.758528</v>
      </c>
      <c r="AW274" s="618">
        <f t="shared" si="272"/>
        <v>3.379264</v>
      </c>
      <c r="AX274" s="618">
        <f t="shared" si="273"/>
        <v>2.534448</v>
      </c>
      <c r="AY274" s="618">
        <f t="shared" si="274"/>
        <v>0.0844816</v>
      </c>
      <c r="AZ274" s="618">
        <f t="shared" si="275"/>
        <v>0.2534448</v>
      </c>
      <c r="BA274" s="618">
        <f t="shared" si="276"/>
        <v>5.068896</v>
      </c>
      <c r="BB274" s="618"/>
      <c r="BC274" s="615">
        <f t="shared" si="294"/>
        <v>-1.064008</v>
      </c>
      <c r="BD274" s="616">
        <f t="shared" si="295"/>
        <v>-0.39776</v>
      </c>
      <c r="BE274" s="616">
        <f t="shared" si="296"/>
        <v>-0.19888</v>
      </c>
      <c r="BF274" s="616">
        <f t="shared" si="297"/>
        <v>-0.14916</v>
      </c>
      <c r="BG274" s="616">
        <f t="shared" si="298"/>
        <v>-0.004972</v>
      </c>
      <c r="BH274" s="616">
        <f t="shared" si="299"/>
        <v>-0.014916</v>
      </c>
      <c r="BI274" s="616">
        <f t="shared" si="300"/>
        <v>-0.29832</v>
      </c>
      <c r="BJ274" s="616"/>
      <c r="BK274" s="615">
        <f t="shared" si="301"/>
        <v>17.0150544</v>
      </c>
      <c r="BL274" s="616">
        <f t="shared" si="302"/>
        <v>6.360768</v>
      </c>
      <c r="BM274" s="616">
        <f t="shared" si="303"/>
        <v>3.180384</v>
      </c>
      <c r="BN274" s="616">
        <f t="shared" si="304"/>
        <v>2.385288</v>
      </c>
      <c r="BO274" s="616">
        <f t="shared" si="305"/>
        <v>0.0795096</v>
      </c>
      <c r="BP274" s="616">
        <f t="shared" si="306"/>
        <v>0.2385288</v>
      </c>
      <c r="BQ274" s="616">
        <f t="shared" si="307"/>
        <v>4.770576</v>
      </c>
      <c r="BR274" s="616">
        <f t="shared" si="308"/>
        <v>0</v>
      </c>
      <c r="BS274" s="304" t="s">
        <v>717</v>
      </c>
    </row>
    <row r="275" s="131" customFormat="1" ht="36" spans="1:71">
      <c r="A275" s="497" t="s">
        <v>261</v>
      </c>
      <c r="B275" s="497" t="s">
        <v>206</v>
      </c>
      <c r="C275" s="497" t="s">
        <v>581</v>
      </c>
      <c r="D275" s="497" t="s">
        <v>580</v>
      </c>
      <c r="E275" s="617">
        <f t="shared" si="267"/>
        <v>51.5337</v>
      </c>
      <c r="F275" s="617">
        <f t="shared" si="268"/>
        <v>40.7132</v>
      </c>
      <c r="G275" s="618">
        <v>23.1324</v>
      </c>
      <c r="H275" s="618"/>
      <c r="I275" s="618">
        <v>8.8008</v>
      </c>
      <c r="J275" s="618"/>
      <c r="K275" s="618"/>
      <c r="L275" s="618">
        <v>8.78</v>
      </c>
      <c r="M275" s="617">
        <f t="shared" si="269"/>
        <v>10.8205</v>
      </c>
      <c r="N275" s="618">
        <v>5.2805</v>
      </c>
      <c r="O275" s="618"/>
      <c r="P275" s="618">
        <v>2.54</v>
      </c>
      <c r="Q275" s="618"/>
      <c r="R275" s="618">
        <v>3</v>
      </c>
      <c r="S275" s="615">
        <f t="shared" si="277"/>
        <v>4.2478</v>
      </c>
      <c r="T275" s="615">
        <f t="shared" si="278"/>
        <v>0.4644</v>
      </c>
      <c r="U275" s="616">
        <v>0.4644</v>
      </c>
      <c r="V275" s="616"/>
      <c r="W275" s="616"/>
      <c r="X275" s="616"/>
      <c r="Y275" s="616"/>
      <c r="Z275" s="616"/>
      <c r="AA275" s="615">
        <f t="shared" si="279"/>
        <v>3.7834</v>
      </c>
      <c r="AB275" s="616"/>
      <c r="AC275" s="616"/>
      <c r="AD275" s="616">
        <v>3.6334</v>
      </c>
      <c r="AE275" s="616">
        <v>0.15</v>
      </c>
      <c r="AF275" s="616"/>
      <c r="AG275" s="615">
        <f t="shared" si="280"/>
        <v>55.7815</v>
      </c>
      <c r="AH275" s="615">
        <f t="shared" si="281"/>
        <v>41.1776</v>
      </c>
      <c r="AI275" s="616">
        <f t="shared" si="282"/>
        <v>23.5968</v>
      </c>
      <c r="AJ275" s="616">
        <f t="shared" si="283"/>
        <v>0</v>
      </c>
      <c r="AK275" s="616">
        <f t="shared" si="284"/>
        <v>8.8008</v>
      </c>
      <c r="AL275" s="616">
        <f t="shared" si="285"/>
        <v>0</v>
      </c>
      <c r="AM275" s="616">
        <f t="shared" si="286"/>
        <v>0</v>
      </c>
      <c r="AN275" s="616">
        <f t="shared" si="287"/>
        <v>8.78</v>
      </c>
      <c r="AO275" s="615">
        <f t="shared" si="288"/>
        <v>14.6039</v>
      </c>
      <c r="AP275" s="616">
        <f t="shared" si="289"/>
        <v>5.2805</v>
      </c>
      <c r="AQ275" s="616">
        <f t="shared" si="290"/>
        <v>0</v>
      </c>
      <c r="AR275" s="616">
        <f t="shared" si="291"/>
        <v>6.1734</v>
      </c>
      <c r="AS275" s="616">
        <f t="shared" si="292"/>
        <v>0.15</v>
      </c>
      <c r="AT275" s="637">
        <f t="shared" si="293"/>
        <v>3</v>
      </c>
      <c r="AU275" s="639">
        <f t="shared" si="270"/>
        <v>15.9274636</v>
      </c>
      <c r="AV275" s="618">
        <f t="shared" si="271"/>
        <v>5.954192</v>
      </c>
      <c r="AW275" s="618">
        <f t="shared" si="272"/>
        <v>2.977096</v>
      </c>
      <c r="AX275" s="618">
        <f t="shared" si="273"/>
        <v>2.232822</v>
      </c>
      <c r="AY275" s="618">
        <f t="shared" si="274"/>
        <v>0.0744274</v>
      </c>
      <c r="AZ275" s="618">
        <f t="shared" si="275"/>
        <v>0.2232822</v>
      </c>
      <c r="BA275" s="618">
        <f t="shared" si="276"/>
        <v>4.465644</v>
      </c>
      <c r="BB275" s="618"/>
      <c r="BC275" s="615">
        <f t="shared" si="294"/>
        <v>0.1987632</v>
      </c>
      <c r="BD275" s="616">
        <f t="shared" si="295"/>
        <v>0.074304</v>
      </c>
      <c r="BE275" s="616">
        <f t="shared" si="296"/>
        <v>0.037152</v>
      </c>
      <c r="BF275" s="616">
        <f t="shared" si="297"/>
        <v>0.027864</v>
      </c>
      <c r="BG275" s="616">
        <f t="shared" si="298"/>
        <v>0.0009288</v>
      </c>
      <c r="BH275" s="616">
        <f t="shared" si="299"/>
        <v>0.0027864</v>
      </c>
      <c r="BI275" s="616">
        <f t="shared" si="300"/>
        <v>0.055728</v>
      </c>
      <c r="BJ275" s="616"/>
      <c r="BK275" s="615">
        <f t="shared" si="301"/>
        <v>16.1262268</v>
      </c>
      <c r="BL275" s="616">
        <f t="shared" si="302"/>
        <v>6.028496</v>
      </c>
      <c r="BM275" s="616">
        <f t="shared" si="303"/>
        <v>3.014248</v>
      </c>
      <c r="BN275" s="616">
        <f t="shared" si="304"/>
        <v>2.260686</v>
      </c>
      <c r="BO275" s="616">
        <f t="shared" si="305"/>
        <v>0.0753562</v>
      </c>
      <c r="BP275" s="616">
        <f t="shared" si="306"/>
        <v>0.2260686</v>
      </c>
      <c r="BQ275" s="616">
        <f t="shared" si="307"/>
        <v>4.521372</v>
      </c>
      <c r="BR275" s="616">
        <f t="shared" si="308"/>
        <v>0</v>
      </c>
      <c r="BS275" s="304"/>
    </row>
    <row r="276" s="131" customFormat="1" ht="36" spans="1:71">
      <c r="A276" s="497" t="s">
        <v>261</v>
      </c>
      <c r="B276" s="497" t="s">
        <v>206</v>
      </c>
      <c r="C276" s="497" t="s">
        <v>582</v>
      </c>
      <c r="D276" s="497" t="s">
        <v>583</v>
      </c>
      <c r="E276" s="617">
        <f t="shared" si="267"/>
        <v>103.798</v>
      </c>
      <c r="F276" s="617">
        <f t="shared" si="268"/>
        <v>81.31</v>
      </c>
      <c r="G276" s="619">
        <v>48.81</v>
      </c>
      <c r="H276" s="619"/>
      <c r="I276" s="619">
        <v>16.43</v>
      </c>
      <c r="J276" s="618"/>
      <c r="K276" s="618"/>
      <c r="L276" s="618">
        <v>16.07</v>
      </c>
      <c r="M276" s="617">
        <f t="shared" si="269"/>
        <v>22.488</v>
      </c>
      <c r="N276" s="619">
        <v>9.858</v>
      </c>
      <c r="O276" s="619"/>
      <c r="P276" s="619">
        <v>7.63</v>
      </c>
      <c r="Q276" s="618"/>
      <c r="R276" s="618">
        <v>5</v>
      </c>
      <c r="S276" s="615">
        <f t="shared" si="277"/>
        <v>1.58148</v>
      </c>
      <c r="T276" s="615">
        <f t="shared" si="278"/>
        <v>1.0392</v>
      </c>
      <c r="U276" s="616">
        <v>1.0392</v>
      </c>
      <c r="V276" s="616"/>
      <c r="W276" s="616"/>
      <c r="X276" s="616"/>
      <c r="Y276" s="616"/>
      <c r="Z276" s="616"/>
      <c r="AA276" s="615">
        <f t="shared" si="279"/>
        <v>0.54228</v>
      </c>
      <c r="AB276" s="616"/>
      <c r="AC276" s="616"/>
      <c r="AD276" s="616">
        <v>0.24228</v>
      </c>
      <c r="AE276" s="616">
        <v>0.3</v>
      </c>
      <c r="AF276" s="616"/>
      <c r="AG276" s="615">
        <f t="shared" si="280"/>
        <v>105.37948</v>
      </c>
      <c r="AH276" s="615">
        <f t="shared" si="281"/>
        <v>82.3492</v>
      </c>
      <c r="AI276" s="616">
        <f t="shared" si="282"/>
        <v>49.8492</v>
      </c>
      <c r="AJ276" s="616">
        <f t="shared" si="283"/>
        <v>0</v>
      </c>
      <c r="AK276" s="616">
        <f t="shared" si="284"/>
        <v>16.43</v>
      </c>
      <c r="AL276" s="616">
        <f t="shared" si="285"/>
        <v>0</v>
      </c>
      <c r="AM276" s="616">
        <f t="shared" si="286"/>
        <v>0</v>
      </c>
      <c r="AN276" s="616">
        <f t="shared" si="287"/>
        <v>16.07</v>
      </c>
      <c r="AO276" s="615">
        <f t="shared" si="288"/>
        <v>23.03028</v>
      </c>
      <c r="AP276" s="616">
        <f t="shared" si="289"/>
        <v>9.858</v>
      </c>
      <c r="AQ276" s="616">
        <f t="shared" si="290"/>
        <v>0</v>
      </c>
      <c r="AR276" s="616">
        <f t="shared" si="291"/>
        <v>7.87228</v>
      </c>
      <c r="AS276" s="616">
        <f t="shared" si="292"/>
        <v>0.3</v>
      </c>
      <c r="AT276" s="637">
        <f t="shared" si="293"/>
        <v>5</v>
      </c>
      <c r="AU276" s="639">
        <f t="shared" si="270"/>
        <v>32.141944</v>
      </c>
      <c r="AV276" s="618">
        <f t="shared" si="271"/>
        <v>12.01568</v>
      </c>
      <c r="AW276" s="618">
        <f t="shared" si="272"/>
        <v>6.00784</v>
      </c>
      <c r="AX276" s="618">
        <f t="shared" si="273"/>
        <v>4.50588</v>
      </c>
      <c r="AY276" s="618">
        <f t="shared" si="274"/>
        <v>0.150196</v>
      </c>
      <c r="AZ276" s="618">
        <f t="shared" si="275"/>
        <v>0.450588</v>
      </c>
      <c r="BA276" s="618">
        <f t="shared" si="276"/>
        <v>9.01176</v>
      </c>
      <c r="BB276" s="618"/>
      <c r="BC276" s="615">
        <f t="shared" si="294"/>
        <v>0.4447776</v>
      </c>
      <c r="BD276" s="616">
        <f t="shared" si="295"/>
        <v>0.166272</v>
      </c>
      <c r="BE276" s="616">
        <f t="shared" si="296"/>
        <v>0.083136</v>
      </c>
      <c r="BF276" s="616">
        <f t="shared" si="297"/>
        <v>0.062352</v>
      </c>
      <c r="BG276" s="616">
        <f t="shared" si="298"/>
        <v>0.0020784</v>
      </c>
      <c r="BH276" s="616">
        <f t="shared" si="299"/>
        <v>0.0062352</v>
      </c>
      <c r="BI276" s="616">
        <f t="shared" si="300"/>
        <v>0.124704</v>
      </c>
      <c r="BJ276" s="616"/>
      <c r="BK276" s="615">
        <f t="shared" si="301"/>
        <v>32.5867216</v>
      </c>
      <c r="BL276" s="616">
        <f t="shared" si="302"/>
        <v>12.181952</v>
      </c>
      <c r="BM276" s="616">
        <f t="shared" si="303"/>
        <v>6.090976</v>
      </c>
      <c r="BN276" s="616">
        <f t="shared" si="304"/>
        <v>4.568232</v>
      </c>
      <c r="BO276" s="616">
        <f t="shared" si="305"/>
        <v>0.1522744</v>
      </c>
      <c r="BP276" s="616">
        <f t="shared" si="306"/>
        <v>0.4568232</v>
      </c>
      <c r="BQ276" s="616">
        <f t="shared" si="307"/>
        <v>9.136464</v>
      </c>
      <c r="BR276" s="616">
        <f t="shared" si="308"/>
        <v>0</v>
      </c>
      <c r="BS276" s="304"/>
    </row>
    <row r="277" s="508" customFormat="1" ht="21" customHeight="1" spans="1:72">
      <c r="A277" s="647"/>
      <c r="B277" s="647"/>
      <c r="C277" s="647" t="s">
        <v>136</v>
      </c>
      <c r="D277" s="648">
        <v>213</v>
      </c>
      <c r="E277" s="612">
        <f t="shared" ref="E277:Z277" si="309">SUM(E278:E288)</f>
        <v>3016.8916</v>
      </c>
      <c r="F277" s="612">
        <f t="shared" si="309"/>
        <v>2448.9328</v>
      </c>
      <c r="G277" s="612">
        <f t="shared" si="309"/>
        <v>1471.97</v>
      </c>
      <c r="H277" s="612">
        <f t="shared" si="309"/>
        <v>0</v>
      </c>
      <c r="I277" s="612">
        <f t="shared" si="309"/>
        <v>474.6928</v>
      </c>
      <c r="J277" s="612">
        <f t="shared" si="309"/>
        <v>20.4</v>
      </c>
      <c r="K277" s="612">
        <f t="shared" si="309"/>
        <v>13.36</v>
      </c>
      <c r="L277" s="612">
        <f t="shared" si="309"/>
        <v>468.51</v>
      </c>
      <c r="M277" s="612">
        <f t="shared" si="309"/>
        <v>567.9588</v>
      </c>
      <c r="N277" s="612">
        <f t="shared" si="309"/>
        <v>284.8248</v>
      </c>
      <c r="O277" s="612">
        <f t="shared" si="309"/>
        <v>122.004</v>
      </c>
      <c r="P277" s="612">
        <f t="shared" si="309"/>
        <v>7.63</v>
      </c>
      <c r="Q277" s="612">
        <f t="shared" si="309"/>
        <v>0</v>
      </c>
      <c r="R277" s="612">
        <f t="shared" si="309"/>
        <v>153.5</v>
      </c>
      <c r="S277" s="612">
        <f t="shared" ref="S277:AF277" si="310">SUM(S278:S288)</f>
        <v>-4.62774</v>
      </c>
      <c r="T277" s="612">
        <f t="shared" si="310"/>
        <v>10.24</v>
      </c>
      <c r="U277" s="612">
        <f t="shared" si="310"/>
        <v>-1.39</v>
      </c>
      <c r="V277" s="612">
        <f t="shared" si="310"/>
        <v>0</v>
      </c>
      <c r="W277" s="612">
        <f t="shared" si="310"/>
        <v>8.41</v>
      </c>
      <c r="X277" s="612">
        <f t="shared" si="310"/>
        <v>2.88</v>
      </c>
      <c r="Y277" s="612">
        <f t="shared" si="310"/>
        <v>-0.49</v>
      </c>
      <c r="Z277" s="612">
        <f t="shared" si="310"/>
        <v>0.83</v>
      </c>
      <c r="AA277" s="612">
        <f t="shared" si="310"/>
        <v>-14.86774</v>
      </c>
      <c r="AB277" s="612">
        <f t="shared" si="310"/>
        <v>1.86</v>
      </c>
      <c r="AC277" s="612">
        <f t="shared" si="310"/>
        <v>-23.8</v>
      </c>
      <c r="AD277" s="612">
        <f t="shared" si="310"/>
        <v>0.24226</v>
      </c>
      <c r="AE277" s="612">
        <f t="shared" si="310"/>
        <v>6.3</v>
      </c>
      <c r="AF277" s="612">
        <f t="shared" si="310"/>
        <v>0.53</v>
      </c>
      <c r="AG277" s="612">
        <f t="shared" ref="AG277:BB277" si="311">SUM(AG278:AG288)</f>
        <v>3012.26386</v>
      </c>
      <c r="AH277" s="612">
        <f t="shared" si="311"/>
        <v>2459.1728</v>
      </c>
      <c r="AI277" s="612">
        <f t="shared" si="311"/>
        <v>1470.58</v>
      </c>
      <c r="AJ277" s="612">
        <f t="shared" si="311"/>
        <v>0</v>
      </c>
      <c r="AK277" s="612">
        <f t="shared" si="311"/>
        <v>483.1028</v>
      </c>
      <c r="AL277" s="612">
        <f t="shared" si="311"/>
        <v>23.28</v>
      </c>
      <c r="AM277" s="612">
        <f t="shared" si="311"/>
        <v>12.87</v>
      </c>
      <c r="AN277" s="612">
        <f t="shared" si="311"/>
        <v>469.34</v>
      </c>
      <c r="AO277" s="612">
        <f t="shared" si="311"/>
        <v>553.09106</v>
      </c>
      <c r="AP277" s="612">
        <f t="shared" si="311"/>
        <v>286.6848</v>
      </c>
      <c r="AQ277" s="612">
        <f t="shared" si="311"/>
        <v>98.204</v>
      </c>
      <c r="AR277" s="612">
        <f t="shared" si="311"/>
        <v>7.87226</v>
      </c>
      <c r="AS277" s="612">
        <f t="shared" si="311"/>
        <v>6.3</v>
      </c>
      <c r="AT277" s="635">
        <f t="shared" si="311"/>
        <v>154.03</v>
      </c>
      <c r="AU277" s="636">
        <f t="shared" si="311"/>
        <v>955.0766928</v>
      </c>
      <c r="AV277" s="612">
        <f t="shared" si="311"/>
        <v>357.038016</v>
      </c>
      <c r="AW277" s="612">
        <f t="shared" si="311"/>
        <v>178.519008</v>
      </c>
      <c r="AX277" s="612">
        <f t="shared" si="311"/>
        <v>133.889256</v>
      </c>
      <c r="AY277" s="612">
        <f t="shared" si="311"/>
        <v>4.4629752</v>
      </c>
      <c r="AZ277" s="612">
        <f t="shared" si="311"/>
        <v>13.3889256</v>
      </c>
      <c r="BA277" s="612">
        <f t="shared" si="311"/>
        <v>267.778512</v>
      </c>
      <c r="BB277" s="612">
        <f t="shared" si="311"/>
        <v>0</v>
      </c>
      <c r="BC277" s="612">
        <f t="shared" ref="BC277:BR277" si="312">SUM(BC278:BC288)</f>
        <v>3.80064</v>
      </c>
      <c r="BD277" s="612">
        <f t="shared" si="312"/>
        <v>1.4208</v>
      </c>
      <c r="BE277" s="612">
        <f t="shared" si="312"/>
        <v>0.7104</v>
      </c>
      <c r="BF277" s="612">
        <f t="shared" si="312"/>
        <v>0.5328</v>
      </c>
      <c r="BG277" s="612">
        <f t="shared" si="312"/>
        <v>0.01776</v>
      </c>
      <c r="BH277" s="612">
        <f t="shared" si="312"/>
        <v>0.05328</v>
      </c>
      <c r="BI277" s="612">
        <f t="shared" si="312"/>
        <v>1.0656</v>
      </c>
      <c r="BJ277" s="612">
        <f t="shared" si="312"/>
        <v>0</v>
      </c>
      <c r="BK277" s="612">
        <f t="shared" si="312"/>
        <v>958.8773328</v>
      </c>
      <c r="BL277" s="612">
        <f t="shared" si="312"/>
        <v>358.458816</v>
      </c>
      <c r="BM277" s="612">
        <f t="shared" si="312"/>
        <v>179.229408</v>
      </c>
      <c r="BN277" s="612">
        <f t="shared" si="312"/>
        <v>134.422056</v>
      </c>
      <c r="BO277" s="612">
        <f t="shared" si="312"/>
        <v>4.4807352</v>
      </c>
      <c r="BP277" s="612">
        <f t="shared" si="312"/>
        <v>13.4422056</v>
      </c>
      <c r="BQ277" s="612">
        <f t="shared" si="312"/>
        <v>268.844112</v>
      </c>
      <c r="BR277" s="612">
        <f t="shared" si="312"/>
        <v>0</v>
      </c>
      <c r="BS277" s="334"/>
      <c r="BT277" s="653"/>
    </row>
    <row r="278" s="131" customFormat="1" ht="24" spans="1:71">
      <c r="A278" s="497" t="s">
        <v>584</v>
      </c>
      <c r="B278" s="497" t="s">
        <v>203</v>
      </c>
      <c r="C278" s="497" t="s">
        <v>585</v>
      </c>
      <c r="D278" s="497" t="s">
        <v>586</v>
      </c>
      <c r="E278" s="617">
        <f t="shared" ref="E278:E288" si="313">F278+M278</f>
        <v>5.09</v>
      </c>
      <c r="F278" s="617">
        <f t="shared" ref="F278:F288" si="314">SUM(G278:L278)</f>
        <v>0</v>
      </c>
      <c r="G278" s="618"/>
      <c r="H278" s="618"/>
      <c r="I278" s="618"/>
      <c r="J278" s="618"/>
      <c r="K278" s="618"/>
      <c r="L278" s="618"/>
      <c r="M278" s="617">
        <f t="shared" ref="M278:M288" si="315">SUM(N278:R278)</f>
        <v>5.09</v>
      </c>
      <c r="N278" s="618"/>
      <c r="O278" s="618"/>
      <c r="P278" s="618">
        <v>5.09</v>
      </c>
      <c r="Q278" s="618"/>
      <c r="R278" s="618"/>
      <c r="S278" s="615">
        <f t="shared" si="277"/>
        <v>0.1615</v>
      </c>
      <c r="T278" s="615">
        <f t="shared" si="278"/>
        <v>0</v>
      </c>
      <c r="U278" s="616"/>
      <c r="V278" s="616"/>
      <c r="W278" s="616"/>
      <c r="X278" s="616"/>
      <c r="Y278" s="616"/>
      <c r="Z278" s="616"/>
      <c r="AA278" s="615">
        <f t="shared" si="279"/>
        <v>0.1615</v>
      </c>
      <c r="AB278" s="616"/>
      <c r="AC278" s="616"/>
      <c r="AD278" s="616">
        <v>0.1615</v>
      </c>
      <c r="AE278" s="616"/>
      <c r="AF278" s="616"/>
      <c r="AG278" s="615">
        <f t="shared" si="280"/>
        <v>5.2515</v>
      </c>
      <c r="AH278" s="615">
        <f t="shared" si="281"/>
        <v>0</v>
      </c>
      <c r="AI278" s="616">
        <f t="shared" si="282"/>
        <v>0</v>
      </c>
      <c r="AJ278" s="616">
        <f t="shared" si="283"/>
        <v>0</v>
      </c>
      <c r="AK278" s="616">
        <f t="shared" si="284"/>
        <v>0</v>
      </c>
      <c r="AL278" s="616">
        <f t="shared" si="285"/>
        <v>0</v>
      </c>
      <c r="AM278" s="616">
        <f t="shared" si="286"/>
        <v>0</v>
      </c>
      <c r="AN278" s="616">
        <f t="shared" si="287"/>
        <v>0</v>
      </c>
      <c r="AO278" s="615">
        <f t="shared" si="288"/>
        <v>5.2515</v>
      </c>
      <c r="AP278" s="616">
        <f t="shared" si="289"/>
        <v>0</v>
      </c>
      <c r="AQ278" s="616">
        <f t="shared" si="290"/>
        <v>0</v>
      </c>
      <c r="AR278" s="616">
        <f t="shared" si="291"/>
        <v>5.2515</v>
      </c>
      <c r="AS278" s="616">
        <f t="shared" si="292"/>
        <v>0</v>
      </c>
      <c r="AT278" s="637">
        <f t="shared" si="293"/>
        <v>0</v>
      </c>
      <c r="AU278" s="639">
        <f t="shared" ref="AU278:AU288" si="316">SUM(AV278:BB278)</f>
        <v>0</v>
      </c>
      <c r="AV278" s="618">
        <f t="shared" ref="AV278:AV288" si="317">(G278+H278+I278+N278)*0.16</f>
        <v>0</v>
      </c>
      <c r="AW278" s="618">
        <f t="shared" ref="AW278:AW288" si="318">(G278+H278+I278+N278)*0.08</f>
        <v>0</v>
      </c>
      <c r="AX278" s="618">
        <f t="shared" ref="AX278:AX288" si="319">(G278+H278+I278+N278)*0.06</f>
        <v>0</v>
      </c>
      <c r="AY278" s="618">
        <f t="shared" ref="AY278:AY288" si="320">(G278+H278+I278+N278)*0.002</f>
        <v>0</v>
      </c>
      <c r="AZ278" s="618">
        <f t="shared" ref="AZ278:AZ288" si="321">(G278+H278+I278+N278)*0.006</f>
        <v>0</v>
      </c>
      <c r="BA278" s="618">
        <f t="shared" ref="BA278:BA288" si="322">(G278+H278+I278+N278)*0.12</f>
        <v>0</v>
      </c>
      <c r="BB278" s="618"/>
      <c r="BC278" s="615">
        <f t="shared" si="294"/>
        <v>0</v>
      </c>
      <c r="BD278" s="616">
        <f t="shared" si="295"/>
        <v>0</v>
      </c>
      <c r="BE278" s="616">
        <f t="shared" si="296"/>
        <v>0</v>
      </c>
      <c r="BF278" s="616">
        <f t="shared" si="297"/>
        <v>0</v>
      </c>
      <c r="BG278" s="616">
        <f t="shared" si="298"/>
        <v>0</v>
      </c>
      <c r="BH278" s="616">
        <f t="shared" si="299"/>
        <v>0</v>
      </c>
      <c r="BI278" s="616">
        <f t="shared" si="300"/>
        <v>0</v>
      </c>
      <c r="BJ278" s="616"/>
      <c r="BK278" s="615">
        <f t="shared" si="301"/>
        <v>0</v>
      </c>
      <c r="BL278" s="616">
        <f t="shared" si="302"/>
        <v>0</v>
      </c>
      <c r="BM278" s="616">
        <f t="shared" si="303"/>
        <v>0</v>
      </c>
      <c r="BN278" s="616">
        <f t="shared" si="304"/>
        <v>0</v>
      </c>
      <c r="BO278" s="616">
        <f t="shared" si="305"/>
        <v>0</v>
      </c>
      <c r="BP278" s="616">
        <f t="shared" si="306"/>
        <v>0</v>
      </c>
      <c r="BQ278" s="616">
        <f t="shared" si="307"/>
        <v>0</v>
      </c>
      <c r="BR278" s="616">
        <f t="shared" si="308"/>
        <v>0</v>
      </c>
      <c r="BS278" s="304"/>
    </row>
    <row r="279" s="131" customFormat="1" ht="24" spans="1:71">
      <c r="A279" s="497" t="s">
        <v>584</v>
      </c>
      <c r="B279" s="497" t="s">
        <v>203</v>
      </c>
      <c r="C279" s="497" t="s">
        <v>587</v>
      </c>
      <c r="D279" s="497" t="s">
        <v>586</v>
      </c>
      <c r="E279" s="617">
        <f t="shared" si="313"/>
        <v>2.54</v>
      </c>
      <c r="F279" s="617">
        <f t="shared" si="314"/>
        <v>0</v>
      </c>
      <c r="G279" s="618"/>
      <c r="H279" s="618"/>
      <c r="I279" s="618"/>
      <c r="J279" s="618"/>
      <c r="K279" s="618"/>
      <c r="L279" s="618"/>
      <c r="M279" s="617">
        <f t="shared" si="315"/>
        <v>2.54</v>
      </c>
      <c r="N279" s="618"/>
      <c r="O279" s="618"/>
      <c r="P279" s="618">
        <v>2.54</v>
      </c>
      <c r="Q279" s="618"/>
      <c r="R279" s="618"/>
      <c r="S279" s="615">
        <f t="shared" si="277"/>
        <v>0.08076</v>
      </c>
      <c r="T279" s="615">
        <f t="shared" si="278"/>
        <v>0</v>
      </c>
      <c r="U279" s="616"/>
      <c r="V279" s="616"/>
      <c r="W279" s="616"/>
      <c r="X279" s="616"/>
      <c r="Y279" s="616"/>
      <c r="Z279" s="616"/>
      <c r="AA279" s="615">
        <f t="shared" si="279"/>
        <v>0.08076</v>
      </c>
      <c r="AB279" s="616"/>
      <c r="AC279" s="616"/>
      <c r="AD279" s="616">
        <v>0.08076</v>
      </c>
      <c r="AE279" s="616"/>
      <c r="AF279" s="616"/>
      <c r="AG279" s="615">
        <f t="shared" si="280"/>
        <v>2.62076</v>
      </c>
      <c r="AH279" s="615">
        <f t="shared" si="281"/>
        <v>0</v>
      </c>
      <c r="AI279" s="616">
        <f t="shared" si="282"/>
        <v>0</v>
      </c>
      <c r="AJ279" s="616">
        <f t="shared" si="283"/>
        <v>0</v>
      </c>
      <c r="AK279" s="616">
        <f t="shared" si="284"/>
        <v>0</v>
      </c>
      <c r="AL279" s="616">
        <f t="shared" si="285"/>
        <v>0</v>
      </c>
      <c r="AM279" s="616">
        <f t="shared" si="286"/>
        <v>0</v>
      </c>
      <c r="AN279" s="616">
        <f t="shared" si="287"/>
        <v>0</v>
      </c>
      <c r="AO279" s="615">
        <f t="shared" si="288"/>
        <v>2.62076</v>
      </c>
      <c r="AP279" s="616">
        <f t="shared" si="289"/>
        <v>0</v>
      </c>
      <c r="AQ279" s="616">
        <f t="shared" si="290"/>
        <v>0</v>
      </c>
      <c r="AR279" s="616">
        <f t="shared" si="291"/>
        <v>2.62076</v>
      </c>
      <c r="AS279" s="616">
        <f t="shared" si="292"/>
        <v>0</v>
      </c>
      <c r="AT279" s="637">
        <f t="shared" si="293"/>
        <v>0</v>
      </c>
      <c r="AU279" s="639">
        <f t="shared" si="316"/>
        <v>0</v>
      </c>
      <c r="AV279" s="618">
        <f t="shared" si="317"/>
        <v>0</v>
      </c>
      <c r="AW279" s="618">
        <f t="shared" si="318"/>
        <v>0</v>
      </c>
      <c r="AX279" s="618">
        <f t="shared" si="319"/>
        <v>0</v>
      </c>
      <c r="AY279" s="618">
        <f t="shared" si="320"/>
        <v>0</v>
      </c>
      <c r="AZ279" s="618">
        <f t="shared" si="321"/>
        <v>0</v>
      </c>
      <c r="BA279" s="618">
        <f t="shared" si="322"/>
        <v>0</v>
      </c>
      <c r="BB279" s="618"/>
      <c r="BC279" s="615">
        <f t="shared" si="294"/>
        <v>0</v>
      </c>
      <c r="BD279" s="616">
        <f t="shared" si="295"/>
        <v>0</v>
      </c>
      <c r="BE279" s="616">
        <f t="shared" si="296"/>
        <v>0</v>
      </c>
      <c r="BF279" s="616">
        <f t="shared" si="297"/>
        <v>0</v>
      </c>
      <c r="BG279" s="616">
        <f t="shared" si="298"/>
        <v>0</v>
      </c>
      <c r="BH279" s="616">
        <f t="shared" si="299"/>
        <v>0</v>
      </c>
      <c r="BI279" s="616">
        <f t="shared" si="300"/>
        <v>0</v>
      </c>
      <c r="BJ279" s="616"/>
      <c r="BK279" s="615">
        <f t="shared" si="301"/>
        <v>0</v>
      </c>
      <c r="BL279" s="616">
        <f t="shared" si="302"/>
        <v>0</v>
      </c>
      <c r="BM279" s="616">
        <f t="shared" si="303"/>
        <v>0</v>
      </c>
      <c r="BN279" s="616">
        <f t="shared" si="304"/>
        <v>0</v>
      </c>
      <c r="BO279" s="616">
        <f t="shared" si="305"/>
        <v>0</v>
      </c>
      <c r="BP279" s="616">
        <f t="shared" si="306"/>
        <v>0</v>
      </c>
      <c r="BQ279" s="616">
        <f t="shared" si="307"/>
        <v>0</v>
      </c>
      <c r="BR279" s="616">
        <f t="shared" si="308"/>
        <v>0</v>
      </c>
      <c r="BS279" s="304"/>
    </row>
    <row r="280" s="131" customFormat="1" ht="24" spans="1:71">
      <c r="A280" s="497" t="s">
        <v>584</v>
      </c>
      <c r="B280" s="497" t="s">
        <v>206</v>
      </c>
      <c r="C280" s="497" t="s">
        <v>588</v>
      </c>
      <c r="D280" s="497" t="s">
        <v>589</v>
      </c>
      <c r="E280" s="617">
        <f t="shared" si="313"/>
        <v>1146.45</v>
      </c>
      <c r="F280" s="617">
        <f t="shared" si="314"/>
        <v>974.34</v>
      </c>
      <c r="G280" s="618">
        <v>588.9</v>
      </c>
      <c r="H280" s="618"/>
      <c r="I280" s="618">
        <v>187.69</v>
      </c>
      <c r="J280" s="618"/>
      <c r="K280" s="618">
        <v>12.74</v>
      </c>
      <c r="L280" s="618">
        <v>185.01</v>
      </c>
      <c r="M280" s="617">
        <f t="shared" si="315"/>
        <v>172.11</v>
      </c>
      <c r="N280" s="618">
        <v>112.61</v>
      </c>
      <c r="O280" s="618"/>
      <c r="P280" s="618"/>
      <c r="Q280" s="618"/>
      <c r="R280" s="618">
        <v>59.5</v>
      </c>
      <c r="S280" s="615">
        <f t="shared" si="277"/>
        <v>-45.03</v>
      </c>
      <c r="T280" s="615">
        <f t="shared" si="278"/>
        <v>-40.63</v>
      </c>
      <c r="U280" s="616">
        <v>-23.42</v>
      </c>
      <c r="V280" s="616"/>
      <c r="W280" s="616">
        <v>-7.55</v>
      </c>
      <c r="X280" s="616"/>
      <c r="Y280" s="616">
        <v>-0.49</v>
      </c>
      <c r="Z280" s="616">
        <v>-9.17</v>
      </c>
      <c r="AA280" s="615">
        <f t="shared" si="279"/>
        <v>-4.4</v>
      </c>
      <c r="AB280" s="616">
        <v>-4.53</v>
      </c>
      <c r="AC280" s="616"/>
      <c r="AD280" s="616"/>
      <c r="AE280" s="616"/>
      <c r="AF280" s="616">
        <v>0.13</v>
      </c>
      <c r="AG280" s="615">
        <f t="shared" si="280"/>
        <v>1101.42</v>
      </c>
      <c r="AH280" s="615">
        <f t="shared" si="281"/>
        <v>933.71</v>
      </c>
      <c r="AI280" s="616">
        <f t="shared" si="282"/>
        <v>565.48</v>
      </c>
      <c r="AJ280" s="616">
        <f t="shared" si="283"/>
        <v>0</v>
      </c>
      <c r="AK280" s="616">
        <f t="shared" si="284"/>
        <v>180.14</v>
      </c>
      <c r="AL280" s="616">
        <f t="shared" si="285"/>
        <v>0</v>
      </c>
      <c r="AM280" s="616">
        <f t="shared" si="286"/>
        <v>12.25</v>
      </c>
      <c r="AN280" s="616">
        <f t="shared" si="287"/>
        <v>175.84</v>
      </c>
      <c r="AO280" s="615">
        <f t="shared" si="288"/>
        <v>167.71</v>
      </c>
      <c r="AP280" s="616">
        <f t="shared" si="289"/>
        <v>108.08</v>
      </c>
      <c r="AQ280" s="616">
        <f t="shared" si="290"/>
        <v>0</v>
      </c>
      <c r="AR280" s="616">
        <f t="shared" si="291"/>
        <v>0</v>
      </c>
      <c r="AS280" s="616">
        <f t="shared" si="292"/>
        <v>0</v>
      </c>
      <c r="AT280" s="637">
        <f t="shared" si="293"/>
        <v>59.63</v>
      </c>
      <c r="AU280" s="639">
        <f t="shared" si="316"/>
        <v>380.5776</v>
      </c>
      <c r="AV280" s="618">
        <f t="shared" si="317"/>
        <v>142.272</v>
      </c>
      <c r="AW280" s="618">
        <f t="shared" si="318"/>
        <v>71.136</v>
      </c>
      <c r="AX280" s="618">
        <f t="shared" si="319"/>
        <v>53.352</v>
      </c>
      <c r="AY280" s="618">
        <f t="shared" si="320"/>
        <v>1.7784</v>
      </c>
      <c r="AZ280" s="618">
        <f t="shared" si="321"/>
        <v>5.3352</v>
      </c>
      <c r="BA280" s="618">
        <f t="shared" si="322"/>
        <v>106.704</v>
      </c>
      <c r="BB280" s="618"/>
      <c r="BC280" s="615">
        <f t="shared" si="294"/>
        <v>-15.194</v>
      </c>
      <c r="BD280" s="616">
        <f t="shared" si="295"/>
        <v>-5.68</v>
      </c>
      <c r="BE280" s="616">
        <f t="shared" si="296"/>
        <v>-2.84</v>
      </c>
      <c r="BF280" s="616">
        <f t="shared" si="297"/>
        <v>-2.13</v>
      </c>
      <c r="BG280" s="616">
        <f t="shared" si="298"/>
        <v>-0.071</v>
      </c>
      <c r="BH280" s="616">
        <f t="shared" si="299"/>
        <v>-0.213</v>
      </c>
      <c r="BI280" s="616">
        <f t="shared" si="300"/>
        <v>-4.26</v>
      </c>
      <c r="BJ280" s="616"/>
      <c r="BK280" s="615">
        <f t="shared" si="301"/>
        <v>365.3836</v>
      </c>
      <c r="BL280" s="616">
        <f t="shared" si="302"/>
        <v>136.592</v>
      </c>
      <c r="BM280" s="616">
        <f t="shared" si="303"/>
        <v>68.296</v>
      </c>
      <c r="BN280" s="616">
        <f t="shared" si="304"/>
        <v>51.222</v>
      </c>
      <c r="BO280" s="616">
        <f t="shared" si="305"/>
        <v>1.7074</v>
      </c>
      <c r="BP280" s="616">
        <f t="shared" si="306"/>
        <v>5.1222</v>
      </c>
      <c r="BQ280" s="616">
        <f t="shared" si="307"/>
        <v>102.444</v>
      </c>
      <c r="BR280" s="616">
        <f t="shared" si="308"/>
        <v>0</v>
      </c>
      <c r="BS280" s="304"/>
    </row>
    <row r="281" s="131" customFormat="1" ht="33" customHeight="1" spans="1:71">
      <c r="A281" s="497" t="s">
        <v>590</v>
      </c>
      <c r="B281" s="497" t="s">
        <v>203</v>
      </c>
      <c r="C281" s="497" t="s">
        <v>591</v>
      </c>
      <c r="D281" s="497" t="s">
        <v>592</v>
      </c>
      <c r="E281" s="617">
        <f t="shared" si="313"/>
        <v>0</v>
      </c>
      <c r="F281" s="617">
        <f t="shared" si="314"/>
        <v>0</v>
      </c>
      <c r="G281" s="618"/>
      <c r="H281" s="618"/>
      <c r="I281" s="618"/>
      <c r="J281" s="618"/>
      <c r="K281" s="618"/>
      <c r="L281" s="618"/>
      <c r="M281" s="617">
        <f t="shared" si="315"/>
        <v>0</v>
      </c>
      <c r="N281" s="618"/>
      <c r="O281" s="618"/>
      <c r="P281" s="618"/>
      <c r="Q281" s="618"/>
      <c r="R281" s="618"/>
      <c r="S281" s="615">
        <f t="shared" si="277"/>
        <v>0</v>
      </c>
      <c r="T281" s="615">
        <f t="shared" si="278"/>
        <v>0</v>
      </c>
      <c r="U281" s="616"/>
      <c r="V281" s="616"/>
      <c r="W281" s="616"/>
      <c r="X281" s="616"/>
      <c r="Y281" s="616"/>
      <c r="Z281" s="616"/>
      <c r="AA281" s="615">
        <f t="shared" si="279"/>
        <v>0</v>
      </c>
      <c r="AB281" s="616"/>
      <c r="AC281" s="616"/>
      <c r="AD281" s="616"/>
      <c r="AE281" s="616"/>
      <c r="AF281" s="616"/>
      <c r="AG281" s="615">
        <f t="shared" si="280"/>
        <v>0</v>
      </c>
      <c r="AH281" s="615">
        <f t="shared" si="281"/>
        <v>0</v>
      </c>
      <c r="AI281" s="616">
        <f t="shared" si="282"/>
        <v>0</v>
      </c>
      <c r="AJ281" s="616">
        <f t="shared" si="283"/>
        <v>0</v>
      </c>
      <c r="AK281" s="616">
        <f t="shared" si="284"/>
        <v>0</v>
      </c>
      <c r="AL281" s="616">
        <f t="shared" si="285"/>
        <v>0</v>
      </c>
      <c r="AM281" s="616">
        <f t="shared" si="286"/>
        <v>0</v>
      </c>
      <c r="AN281" s="616">
        <f t="shared" si="287"/>
        <v>0</v>
      </c>
      <c r="AO281" s="615">
        <f t="shared" si="288"/>
        <v>0</v>
      </c>
      <c r="AP281" s="616">
        <f t="shared" si="289"/>
        <v>0</v>
      </c>
      <c r="AQ281" s="616">
        <f t="shared" si="290"/>
        <v>0</v>
      </c>
      <c r="AR281" s="616">
        <f t="shared" si="291"/>
        <v>0</v>
      </c>
      <c r="AS281" s="616">
        <f t="shared" si="292"/>
        <v>0</v>
      </c>
      <c r="AT281" s="637">
        <f t="shared" si="293"/>
        <v>0</v>
      </c>
      <c r="AU281" s="639">
        <f t="shared" si="316"/>
        <v>0</v>
      </c>
      <c r="AV281" s="618">
        <f t="shared" si="317"/>
        <v>0</v>
      </c>
      <c r="AW281" s="618">
        <f t="shared" si="318"/>
        <v>0</v>
      </c>
      <c r="AX281" s="618">
        <f t="shared" si="319"/>
        <v>0</v>
      </c>
      <c r="AY281" s="618">
        <f t="shared" si="320"/>
        <v>0</v>
      </c>
      <c r="AZ281" s="618">
        <f t="shared" si="321"/>
        <v>0</v>
      </c>
      <c r="BA281" s="618">
        <f t="shared" si="322"/>
        <v>0</v>
      </c>
      <c r="BB281" s="618"/>
      <c r="BC281" s="615">
        <f t="shared" si="294"/>
        <v>0</v>
      </c>
      <c r="BD281" s="616">
        <f t="shared" si="295"/>
        <v>0</v>
      </c>
      <c r="BE281" s="616">
        <f t="shared" si="296"/>
        <v>0</v>
      </c>
      <c r="BF281" s="616">
        <f t="shared" si="297"/>
        <v>0</v>
      </c>
      <c r="BG281" s="616">
        <f t="shared" si="298"/>
        <v>0</v>
      </c>
      <c r="BH281" s="616">
        <f t="shared" si="299"/>
        <v>0</v>
      </c>
      <c r="BI281" s="616">
        <f t="shared" si="300"/>
        <v>0</v>
      </c>
      <c r="BJ281" s="616"/>
      <c r="BK281" s="615">
        <f t="shared" si="301"/>
        <v>0</v>
      </c>
      <c r="BL281" s="616">
        <f t="shared" si="302"/>
        <v>0</v>
      </c>
      <c r="BM281" s="616">
        <f t="shared" si="303"/>
        <v>0</v>
      </c>
      <c r="BN281" s="616">
        <f t="shared" si="304"/>
        <v>0</v>
      </c>
      <c r="BO281" s="616">
        <f t="shared" si="305"/>
        <v>0</v>
      </c>
      <c r="BP281" s="616">
        <f t="shared" si="306"/>
        <v>0</v>
      </c>
      <c r="BQ281" s="616">
        <f t="shared" si="307"/>
        <v>0</v>
      </c>
      <c r="BR281" s="616">
        <f t="shared" si="308"/>
        <v>0</v>
      </c>
      <c r="BS281" s="304"/>
    </row>
    <row r="282" s="131" customFormat="1" ht="38" customHeight="1" spans="1:71">
      <c r="A282" s="497" t="s">
        <v>590</v>
      </c>
      <c r="B282" s="497" t="s">
        <v>593</v>
      </c>
      <c r="C282" s="497" t="s">
        <v>594</v>
      </c>
      <c r="D282" s="497" t="s">
        <v>598</v>
      </c>
      <c r="E282" s="617">
        <f t="shared" si="313"/>
        <v>86.9628</v>
      </c>
      <c r="F282" s="617">
        <f t="shared" si="314"/>
        <v>72.9928</v>
      </c>
      <c r="G282" s="618">
        <v>43.48</v>
      </c>
      <c r="H282" s="618"/>
      <c r="I282" s="619">
        <f>12444*12/10000</f>
        <v>14.9328</v>
      </c>
      <c r="J282" s="618"/>
      <c r="K282" s="618"/>
      <c r="L282" s="618">
        <v>14.58</v>
      </c>
      <c r="M282" s="617">
        <f t="shared" si="315"/>
        <v>13.97</v>
      </c>
      <c r="N282" s="619">
        <v>8.97</v>
      </c>
      <c r="O282" s="618"/>
      <c r="P282" s="618"/>
      <c r="Q282" s="618"/>
      <c r="R282" s="618">
        <v>5</v>
      </c>
      <c r="S282" s="615">
        <f t="shared" si="277"/>
        <v>11.05</v>
      </c>
      <c r="T282" s="615">
        <f t="shared" si="278"/>
        <v>9.07</v>
      </c>
      <c r="U282" s="616">
        <v>5.21</v>
      </c>
      <c r="V282" s="616"/>
      <c r="W282" s="616">
        <v>1.75</v>
      </c>
      <c r="X282" s="616"/>
      <c r="Y282" s="616"/>
      <c r="Z282" s="616">
        <v>2.11</v>
      </c>
      <c r="AA282" s="615">
        <f t="shared" si="279"/>
        <v>1.98</v>
      </c>
      <c r="AB282" s="616">
        <v>1.05</v>
      </c>
      <c r="AC282" s="616"/>
      <c r="AD282" s="616"/>
      <c r="AE282" s="616">
        <v>0.3</v>
      </c>
      <c r="AF282" s="616">
        <v>0.63</v>
      </c>
      <c r="AG282" s="615">
        <f t="shared" si="280"/>
        <v>98.0128</v>
      </c>
      <c r="AH282" s="615">
        <f t="shared" si="281"/>
        <v>82.0628</v>
      </c>
      <c r="AI282" s="616">
        <f t="shared" si="282"/>
        <v>48.69</v>
      </c>
      <c r="AJ282" s="616">
        <f t="shared" si="283"/>
        <v>0</v>
      </c>
      <c r="AK282" s="616">
        <f t="shared" si="284"/>
        <v>16.6828</v>
      </c>
      <c r="AL282" s="616">
        <f t="shared" si="285"/>
        <v>0</v>
      </c>
      <c r="AM282" s="616">
        <f t="shared" si="286"/>
        <v>0</v>
      </c>
      <c r="AN282" s="616">
        <f t="shared" si="287"/>
        <v>16.69</v>
      </c>
      <c r="AO282" s="615">
        <f t="shared" si="288"/>
        <v>15.95</v>
      </c>
      <c r="AP282" s="616">
        <f t="shared" si="289"/>
        <v>10.02</v>
      </c>
      <c r="AQ282" s="616">
        <f t="shared" si="290"/>
        <v>0</v>
      </c>
      <c r="AR282" s="616">
        <f t="shared" si="291"/>
        <v>0</v>
      </c>
      <c r="AS282" s="616">
        <f t="shared" si="292"/>
        <v>0.3</v>
      </c>
      <c r="AT282" s="637">
        <f t="shared" si="293"/>
        <v>5.63</v>
      </c>
      <c r="AU282" s="639">
        <f t="shared" si="316"/>
        <v>28.8398384</v>
      </c>
      <c r="AV282" s="618">
        <f t="shared" si="317"/>
        <v>10.781248</v>
      </c>
      <c r="AW282" s="618">
        <f t="shared" si="318"/>
        <v>5.390624</v>
      </c>
      <c r="AX282" s="618">
        <f t="shared" si="319"/>
        <v>4.042968</v>
      </c>
      <c r="AY282" s="618">
        <f t="shared" si="320"/>
        <v>0.1347656</v>
      </c>
      <c r="AZ282" s="618">
        <f t="shared" si="321"/>
        <v>0.4042968</v>
      </c>
      <c r="BA282" s="618">
        <f t="shared" si="322"/>
        <v>8.085936</v>
      </c>
      <c r="BB282" s="618"/>
      <c r="BC282" s="615">
        <f t="shared" si="294"/>
        <v>3.42828</v>
      </c>
      <c r="BD282" s="616">
        <f t="shared" si="295"/>
        <v>1.2816</v>
      </c>
      <c r="BE282" s="616">
        <f t="shared" si="296"/>
        <v>0.6408</v>
      </c>
      <c r="BF282" s="616">
        <f t="shared" si="297"/>
        <v>0.4806</v>
      </c>
      <c r="BG282" s="616">
        <f t="shared" si="298"/>
        <v>0.01602</v>
      </c>
      <c r="BH282" s="616">
        <f t="shared" si="299"/>
        <v>0.04806</v>
      </c>
      <c r="BI282" s="616">
        <f t="shared" si="300"/>
        <v>0.9612</v>
      </c>
      <c r="BJ282" s="616"/>
      <c r="BK282" s="615">
        <f t="shared" si="301"/>
        <v>32.2681184</v>
      </c>
      <c r="BL282" s="616">
        <f t="shared" si="302"/>
        <v>12.062848</v>
      </c>
      <c r="BM282" s="616">
        <f t="shared" si="303"/>
        <v>6.031424</v>
      </c>
      <c r="BN282" s="616">
        <f t="shared" si="304"/>
        <v>4.523568</v>
      </c>
      <c r="BO282" s="616">
        <f t="shared" si="305"/>
        <v>0.1507856</v>
      </c>
      <c r="BP282" s="616">
        <f t="shared" si="306"/>
        <v>0.4523568</v>
      </c>
      <c r="BQ282" s="616">
        <f t="shared" si="307"/>
        <v>9.047136</v>
      </c>
      <c r="BR282" s="616">
        <f t="shared" si="308"/>
        <v>0</v>
      </c>
      <c r="BS282" s="304"/>
    </row>
    <row r="283" s="131" customFormat="1" ht="24" spans="1:71">
      <c r="A283" s="497" t="s">
        <v>590</v>
      </c>
      <c r="B283" s="497" t="s">
        <v>206</v>
      </c>
      <c r="C283" s="497" t="s">
        <v>595</v>
      </c>
      <c r="D283" s="497" t="s">
        <v>596</v>
      </c>
      <c r="E283" s="617">
        <f t="shared" si="313"/>
        <v>1171.7</v>
      </c>
      <c r="F283" s="617">
        <f t="shared" si="314"/>
        <v>1000.08</v>
      </c>
      <c r="G283" s="619">
        <v>608.04</v>
      </c>
      <c r="H283" s="619"/>
      <c r="I283" s="619">
        <v>186.86</v>
      </c>
      <c r="J283" s="619">
        <v>20.4</v>
      </c>
      <c r="K283" s="619">
        <v>0.62</v>
      </c>
      <c r="L283" s="618">
        <v>184.16</v>
      </c>
      <c r="M283" s="617">
        <f t="shared" si="315"/>
        <v>171.62</v>
      </c>
      <c r="N283" s="619">
        <v>112.12</v>
      </c>
      <c r="O283" s="618"/>
      <c r="P283" s="618"/>
      <c r="Q283" s="618"/>
      <c r="R283" s="618">
        <v>59.5</v>
      </c>
      <c r="S283" s="615">
        <f t="shared" si="277"/>
        <v>55.65</v>
      </c>
      <c r="T283" s="615">
        <f t="shared" si="278"/>
        <v>46.3</v>
      </c>
      <c r="U283" s="616">
        <v>18.51</v>
      </c>
      <c r="V283" s="616"/>
      <c r="W283" s="616">
        <v>15.69</v>
      </c>
      <c r="X283" s="616">
        <v>2.88</v>
      </c>
      <c r="Y283" s="616"/>
      <c r="Z283" s="616">
        <v>9.22</v>
      </c>
      <c r="AA283" s="615">
        <f t="shared" si="279"/>
        <v>9.35</v>
      </c>
      <c r="AB283" s="616">
        <v>5.55</v>
      </c>
      <c r="AC283" s="616"/>
      <c r="AD283" s="616"/>
      <c r="AE283" s="616">
        <v>3.9</v>
      </c>
      <c r="AF283" s="616">
        <v>-0.1</v>
      </c>
      <c r="AG283" s="615">
        <f t="shared" si="280"/>
        <v>1227.35</v>
      </c>
      <c r="AH283" s="615">
        <f t="shared" si="281"/>
        <v>1046.38</v>
      </c>
      <c r="AI283" s="616">
        <f t="shared" si="282"/>
        <v>626.55</v>
      </c>
      <c r="AJ283" s="616">
        <f t="shared" si="283"/>
        <v>0</v>
      </c>
      <c r="AK283" s="616">
        <f t="shared" si="284"/>
        <v>202.55</v>
      </c>
      <c r="AL283" s="616">
        <f t="shared" si="285"/>
        <v>23.28</v>
      </c>
      <c r="AM283" s="616">
        <f t="shared" si="286"/>
        <v>0.62</v>
      </c>
      <c r="AN283" s="616">
        <f t="shared" si="287"/>
        <v>193.38</v>
      </c>
      <c r="AO283" s="615">
        <f t="shared" si="288"/>
        <v>180.97</v>
      </c>
      <c r="AP283" s="616">
        <f t="shared" si="289"/>
        <v>117.67</v>
      </c>
      <c r="AQ283" s="616">
        <f t="shared" si="290"/>
        <v>0</v>
      </c>
      <c r="AR283" s="616">
        <f t="shared" si="291"/>
        <v>0</v>
      </c>
      <c r="AS283" s="616">
        <f t="shared" si="292"/>
        <v>3.9</v>
      </c>
      <c r="AT283" s="637">
        <f t="shared" si="293"/>
        <v>59.4</v>
      </c>
      <c r="AU283" s="639">
        <f t="shared" si="316"/>
        <v>388.20456</v>
      </c>
      <c r="AV283" s="618">
        <f t="shared" si="317"/>
        <v>145.1232</v>
      </c>
      <c r="AW283" s="618">
        <f t="shared" si="318"/>
        <v>72.5616</v>
      </c>
      <c r="AX283" s="618">
        <f t="shared" si="319"/>
        <v>54.4212</v>
      </c>
      <c r="AY283" s="618">
        <f t="shared" si="320"/>
        <v>1.81404</v>
      </c>
      <c r="AZ283" s="618">
        <f t="shared" si="321"/>
        <v>5.44212</v>
      </c>
      <c r="BA283" s="618">
        <f t="shared" si="322"/>
        <v>108.8424</v>
      </c>
      <c r="BB283" s="618"/>
      <c r="BC283" s="615">
        <f t="shared" si="294"/>
        <v>17.013</v>
      </c>
      <c r="BD283" s="616">
        <f t="shared" si="295"/>
        <v>6.36</v>
      </c>
      <c r="BE283" s="616">
        <f t="shared" si="296"/>
        <v>3.18</v>
      </c>
      <c r="BF283" s="616">
        <f t="shared" si="297"/>
        <v>2.385</v>
      </c>
      <c r="BG283" s="616">
        <f t="shared" si="298"/>
        <v>0.0795</v>
      </c>
      <c r="BH283" s="616">
        <f t="shared" si="299"/>
        <v>0.2385</v>
      </c>
      <c r="BI283" s="616">
        <f t="shared" si="300"/>
        <v>4.77</v>
      </c>
      <c r="BJ283" s="616"/>
      <c r="BK283" s="615">
        <f t="shared" si="301"/>
        <v>405.21756</v>
      </c>
      <c r="BL283" s="616">
        <f t="shared" si="302"/>
        <v>151.4832</v>
      </c>
      <c r="BM283" s="616">
        <f t="shared" si="303"/>
        <v>75.7416</v>
      </c>
      <c r="BN283" s="616">
        <f t="shared" si="304"/>
        <v>56.8062</v>
      </c>
      <c r="BO283" s="616">
        <f t="shared" si="305"/>
        <v>1.89354</v>
      </c>
      <c r="BP283" s="616">
        <f t="shared" si="306"/>
        <v>5.68062</v>
      </c>
      <c r="BQ283" s="616">
        <f t="shared" si="307"/>
        <v>113.6124</v>
      </c>
      <c r="BR283" s="616">
        <f t="shared" si="308"/>
        <v>0</v>
      </c>
      <c r="BS283" s="304"/>
    </row>
    <row r="284" s="131" customFormat="1" ht="24" spans="1:71">
      <c r="A284" s="497" t="s">
        <v>590</v>
      </c>
      <c r="B284" s="497" t="s">
        <v>206</v>
      </c>
      <c r="C284" s="497" t="s">
        <v>597</v>
      </c>
      <c r="D284" s="497" t="s">
        <v>598</v>
      </c>
      <c r="E284" s="617">
        <f t="shared" si="313"/>
        <v>104.38</v>
      </c>
      <c r="F284" s="617">
        <f t="shared" si="314"/>
        <v>0</v>
      </c>
      <c r="G284" s="618"/>
      <c r="H284" s="618"/>
      <c r="I284" s="618"/>
      <c r="J284" s="618"/>
      <c r="K284" s="618"/>
      <c r="L284" s="618"/>
      <c r="M284" s="617">
        <f t="shared" si="315"/>
        <v>104.38</v>
      </c>
      <c r="N284" s="618"/>
      <c r="O284" s="618">
        <v>104.38</v>
      </c>
      <c r="P284" s="618"/>
      <c r="Q284" s="618"/>
      <c r="R284" s="618"/>
      <c r="S284" s="615">
        <f t="shared" si="277"/>
        <v>-23.8</v>
      </c>
      <c r="T284" s="615">
        <f t="shared" si="278"/>
        <v>0</v>
      </c>
      <c r="U284" s="616"/>
      <c r="V284" s="616"/>
      <c r="W284" s="616"/>
      <c r="X284" s="616"/>
      <c r="Y284" s="616"/>
      <c r="Z284" s="616"/>
      <c r="AA284" s="615">
        <f t="shared" si="279"/>
        <v>-23.8</v>
      </c>
      <c r="AB284" s="616"/>
      <c r="AC284" s="616">
        <v>-23.8</v>
      </c>
      <c r="AD284" s="616"/>
      <c r="AE284" s="616"/>
      <c r="AF284" s="616"/>
      <c r="AG284" s="615">
        <f t="shared" si="280"/>
        <v>80.58</v>
      </c>
      <c r="AH284" s="615">
        <f t="shared" si="281"/>
        <v>0</v>
      </c>
      <c r="AI284" s="616">
        <f t="shared" si="282"/>
        <v>0</v>
      </c>
      <c r="AJ284" s="616">
        <f t="shared" si="283"/>
        <v>0</v>
      </c>
      <c r="AK284" s="616">
        <f t="shared" si="284"/>
        <v>0</v>
      </c>
      <c r="AL284" s="616">
        <f t="shared" si="285"/>
        <v>0</v>
      </c>
      <c r="AM284" s="616">
        <f t="shared" si="286"/>
        <v>0</v>
      </c>
      <c r="AN284" s="616">
        <f t="shared" si="287"/>
        <v>0</v>
      </c>
      <c r="AO284" s="615">
        <f t="shared" si="288"/>
        <v>80.58</v>
      </c>
      <c r="AP284" s="616">
        <f t="shared" si="289"/>
        <v>0</v>
      </c>
      <c r="AQ284" s="616">
        <f t="shared" si="290"/>
        <v>80.58</v>
      </c>
      <c r="AR284" s="616">
        <f t="shared" si="291"/>
        <v>0</v>
      </c>
      <c r="AS284" s="616">
        <f t="shared" si="292"/>
        <v>0</v>
      </c>
      <c r="AT284" s="637">
        <f t="shared" si="293"/>
        <v>0</v>
      </c>
      <c r="AU284" s="639">
        <f t="shared" si="316"/>
        <v>0</v>
      </c>
      <c r="AV284" s="618">
        <f t="shared" si="317"/>
        <v>0</v>
      </c>
      <c r="AW284" s="618">
        <f t="shared" si="318"/>
        <v>0</v>
      </c>
      <c r="AX284" s="618">
        <f t="shared" si="319"/>
        <v>0</v>
      </c>
      <c r="AY284" s="618">
        <f t="shared" si="320"/>
        <v>0</v>
      </c>
      <c r="AZ284" s="618">
        <f t="shared" si="321"/>
        <v>0</v>
      </c>
      <c r="BA284" s="618">
        <f t="shared" si="322"/>
        <v>0</v>
      </c>
      <c r="BB284" s="618"/>
      <c r="BC284" s="615">
        <f t="shared" si="294"/>
        <v>0</v>
      </c>
      <c r="BD284" s="616">
        <f t="shared" si="295"/>
        <v>0</v>
      </c>
      <c r="BE284" s="616">
        <f t="shared" si="296"/>
        <v>0</v>
      </c>
      <c r="BF284" s="616">
        <f t="shared" si="297"/>
        <v>0</v>
      </c>
      <c r="BG284" s="616">
        <f t="shared" si="298"/>
        <v>0</v>
      </c>
      <c r="BH284" s="616">
        <f t="shared" si="299"/>
        <v>0</v>
      </c>
      <c r="BI284" s="616">
        <f t="shared" si="300"/>
        <v>0</v>
      </c>
      <c r="BJ284" s="616"/>
      <c r="BK284" s="615">
        <f t="shared" si="301"/>
        <v>0</v>
      </c>
      <c r="BL284" s="616">
        <f t="shared" si="302"/>
        <v>0</v>
      </c>
      <c r="BM284" s="616">
        <f t="shared" si="303"/>
        <v>0</v>
      </c>
      <c r="BN284" s="616">
        <f t="shared" si="304"/>
        <v>0</v>
      </c>
      <c r="BO284" s="616">
        <f t="shared" si="305"/>
        <v>0</v>
      </c>
      <c r="BP284" s="616">
        <f t="shared" si="306"/>
        <v>0</v>
      </c>
      <c r="BQ284" s="616">
        <f t="shared" si="307"/>
        <v>0</v>
      </c>
      <c r="BR284" s="616">
        <f t="shared" si="308"/>
        <v>0</v>
      </c>
      <c r="BS284" s="304"/>
    </row>
    <row r="285" s="131" customFormat="1" ht="24" spans="1:71">
      <c r="A285" s="497" t="s">
        <v>584</v>
      </c>
      <c r="B285" s="497" t="s">
        <v>203</v>
      </c>
      <c r="C285" s="497" t="s">
        <v>599</v>
      </c>
      <c r="D285" s="497" t="s">
        <v>600</v>
      </c>
      <c r="E285" s="617">
        <f t="shared" si="313"/>
        <v>0</v>
      </c>
      <c r="F285" s="617">
        <f t="shared" si="314"/>
        <v>0</v>
      </c>
      <c r="G285" s="618"/>
      <c r="H285" s="618"/>
      <c r="I285" s="618"/>
      <c r="J285" s="618"/>
      <c r="K285" s="618"/>
      <c r="L285" s="618"/>
      <c r="M285" s="617">
        <f t="shared" si="315"/>
        <v>0</v>
      </c>
      <c r="N285" s="618"/>
      <c r="O285" s="618"/>
      <c r="P285" s="618"/>
      <c r="Q285" s="618"/>
      <c r="R285" s="618"/>
      <c r="S285" s="615">
        <f t="shared" si="277"/>
        <v>0</v>
      </c>
      <c r="T285" s="615">
        <f t="shared" si="278"/>
        <v>0</v>
      </c>
      <c r="U285" s="616"/>
      <c r="V285" s="616"/>
      <c r="W285" s="616"/>
      <c r="X285" s="616"/>
      <c r="Y285" s="616"/>
      <c r="Z285" s="616"/>
      <c r="AA285" s="615">
        <f t="shared" si="279"/>
        <v>0</v>
      </c>
      <c r="AB285" s="616"/>
      <c r="AC285" s="616"/>
      <c r="AD285" s="616"/>
      <c r="AE285" s="616"/>
      <c r="AF285" s="616"/>
      <c r="AG285" s="615">
        <f t="shared" si="280"/>
        <v>0</v>
      </c>
      <c r="AH285" s="615">
        <f t="shared" si="281"/>
        <v>0</v>
      </c>
      <c r="AI285" s="616">
        <f t="shared" si="282"/>
        <v>0</v>
      </c>
      <c r="AJ285" s="616">
        <f t="shared" si="283"/>
        <v>0</v>
      </c>
      <c r="AK285" s="616">
        <f t="shared" si="284"/>
        <v>0</v>
      </c>
      <c r="AL285" s="616">
        <f t="shared" si="285"/>
        <v>0</v>
      </c>
      <c r="AM285" s="616">
        <f t="shared" si="286"/>
        <v>0</v>
      </c>
      <c r="AN285" s="616">
        <f t="shared" si="287"/>
        <v>0</v>
      </c>
      <c r="AO285" s="615">
        <f t="shared" si="288"/>
        <v>0</v>
      </c>
      <c r="AP285" s="616">
        <f t="shared" si="289"/>
        <v>0</v>
      </c>
      <c r="AQ285" s="616">
        <f t="shared" si="290"/>
        <v>0</v>
      </c>
      <c r="AR285" s="616">
        <f t="shared" si="291"/>
        <v>0</v>
      </c>
      <c r="AS285" s="616">
        <f t="shared" si="292"/>
        <v>0</v>
      </c>
      <c r="AT285" s="637">
        <f t="shared" si="293"/>
        <v>0</v>
      </c>
      <c r="AU285" s="639">
        <f t="shared" si="316"/>
        <v>0</v>
      </c>
      <c r="AV285" s="618">
        <f t="shared" si="317"/>
        <v>0</v>
      </c>
      <c r="AW285" s="618">
        <f t="shared" si="318"/>
        <v>0</v>
      </c>
      <c r="AX285" s="618">
        <f t="shared" si="319"/>
        <v>0</v>
      </c>
      <c r="AY285" s="618">
        <f t="shared" si="320"/>
        <v>0</v>
      </c>
      <c r="AZ285" s="618">
        <f t="shared" si="321"/>
        <v>0</v>
      </c>
      <c r="BA285" s="618">
        <f t="shared" si="322"/>
        <v>0</v>
      </c>
      <c r="BB285" s="618"/>
      <c r="BC285" s="615">
        <f t="shared" si="294"/>
        <v>0</v>
      </c>
      <c r="BD285" s="616">
        <f t="shared" si="295"/>
        <v>0</v>
      </c>
      <c r="BE285" s="616">
        <f t="shared" si="296"/>
        <v>0</v>
      </c>
      <c r="BF285" s="616">
        <f t="shared" si="297"/>
        <v>0</v>
      </c>
      <c r="BG285" s="616">
        <f t="shared" si="298"/>
        <v>0</v>
      </c>
      <c r="BH285" s="616">
        <f t="shared" si="299"/>
        <v>0</v>
      </c>
      <c r="BI285" s="616">
        <f t="shared" si="300"/>
        <v>0</v>
      </c>
      <c r="BJ285" s="616"/>
      <c r="BK285" s="615">
        <f t="shared" si="301"/>
        <v>0</v>
      </c>
      <c r="BL285" s="616">
        <f t="shared" si="302"/>
        <v>0</v>
      </c>
      <c r="BM285" s="616">
        <f t="shared" si="303"/>
        <v>0</v>
      </c>
      <c r="BN285" s="616">
        <f t="shared" si="304"/>
        <v>0</v>
      </c>
      <c r="BO285" s="616">
        <f t="shared" si="305"/>
        <v>0</v>
      </c>
      <c r="BP285" s="616">
        <f t="shared" si="306"/>
        <v>0</v>
      </c>
      <c r="BQ285" s="616">
        <f t="shared" si="307"/>
        <v>0</v>
      </c>
      <c r="BR285" s="616">
        <f t="shared" si="308"/>
        <v>0</v>
      </c>
      <c r="BS285" s="304"/>
    </row>
    <row r="286" s="131" customFormat="1" ht="24" spans="1:71">
      <c r="A286" s="497" t="s">
        <v>584</v>
      </c>
      <c r="B286" s="497" t="s">
        <v>206</v>
      </c>
      <c r="C286" s="497" t="s">
        <v>601</v>
      </c>
      <c r="D286" s="497" t="s">
        <v>602</v>
      </c>
      <c r="E286" s="617">
        <f t="shared" si="313"/>
        <v>439.62</v>
      </c>
      <c r="F286" s="617">
        <f t="shared" si="314"/>
        <v>365.61</v>
      </c>
      <c r="G286" s="619">
        <v>209.53</v>
      </c>
      <c r="H286" s="619"/>
      <c r="I286" s="619">
        <v>78.35</v>
      </c>
      <c r="J286" s="618"/>
      <c r="K286" s="618"/>
      <c r="L286" s="618">
        <v>77.73</v>
      </c>
      <c r="M286" s="617">
        <f t="shared" si="315"/>
        <v>74.01</v>
      </c>
      <c r="N286" s="619">
        <v>47.01</v>
      </c>
      <c r="O286" s="618"/>
      <c r="P286" s="618"/>
      <c r="Q286" s="618"/>
      <c r="R286" s="618">
        <v>27</v>
      </c>
      <c r="S286" s="615">
        <f t="shared" si="277"/>
        <v>-0.38</v>
      </c>
      <c r="T286" s="615">
        <f t="shared" si="278"/>
        <v>-1.8</v>
      </c>
      <c r="U286" s="616">
        <v>-0.15</v>
      </c>
      <c r="V286" s="616"/>
      <c r="W286" s="616">
        <v>-0.91</v>
      </c>
      <c r="X286" s="616"/>
      <c r="Y286" s="616"/>
      <c r="Z286" s="616">
        <v>-0.74</v>
      </c>
      <c r="AA286" s="615">
        <f t="shared" si="279"/>
        <v>1.42</v>
      </c>
      <c r="AB286" s="616">
        <v>-0.55</v>
      </c>
      <c r="AC286" s="616"/>
      <c r="AD286" s="616"/>
      <c r="AE286" s="616">
        <v>2.1</v>
      </c>
      <c r="AF286" s="616">
        <v>-0.13</v>
      </c>
      <c r="AG286" s="615">
        <f t="shared" si="280"/>
        <v>439.24</v>
      </c>
      <c r="AH286" s="615">
        <f t="shared" si="281"/>
        <v>363.81</v>
      </c>
      <c r="AI286" s="616">
        <f t="shared" si="282"/>
        <v>209.38</v>
      </c>
      <c r="AJ286" s="616">
        <f t="shared" si="283"/>
        <v>0</v>
      </c>
      <c r="AK286" s="616">
        <f t="shared" si="284"/>
        <v>77.44</v>
      </c>
      <c r="AL286" s="616">
        <f t="shared" si="285"/>
        <v>0</v>
      </c>
      <c r="AM286" s="616">
        <f t="shared" si="286"/>
        <v>0</v>
      </c>
      <c r="AN286" s="616">
        <f t="shared" si="287"/>
        <v>76.99</v>
      </c>
      <c r="AO286" s="615">
        <f t="shared" si="288"/>
        <v>75.43</v>
      </c>
      <c r="AP286" s="616">
        <f t="shared" si="289"/>
        <v>46.46</v>
      </c>
      <c r="AQ286" s="616">
        <f t="shared" si="290"/>
        <v>0</v>
      </c>
      <c r="AR286" s="616">
        <f t="shared" si="291"/>
        <v>0</v>
      </c>
      <c r="AS286" s="616">
        <f t="shared" si="292"/>
        <v>2.1</v>
      </c>
      <c r="AT286" s="637">
        <f t="shared" si="293"/>
        <v>26.87</v>
      </c>
      <c r="AU286" s="639">
        <f t="shared" si="316"/>
        <v>143.33292</v>
      </c>
      <c r="AV286" s="618">
        <f t="shared" si="317"/>
        <v>53.5824</v>
      </c>
      <c r="AW286" s="618">
        <f t="shared" si="318"/>
        <v>26.7912</v>
      </c>
      <c r="AX286" s="618">
        <f t="shared" si="319"/>
        <v>20.0934</v>
      </c>
      <c r="AY286" s="618">
        <f t="shared" si="320"/>
        <v>0.66978</v>
      </c>
      <c r="AZ286" s="618">
        <f t="shared" si="321"/>
        <v>2.00934</v>
      </c>
      <c r="BA286" s="618">
        <f t="shared" si="322"/>
        <v>40.1868</v>
      </c>
      <c r="BB286" s="618"/>
      <c r="BC286" s="615">
        <f t="shared" si="294"/>
        <v>-0.68908</v>
      </c>
      <c r="BD286" s="616">
        <f t="shared" si="295"/>
        <v>-0.2576</v>
      </c>
      <c r="BE286" s="616">
        <f t="shared" si="296"/>
        <v>-0.1288</v>
      </c>
      <c r="BF286" s="616">
        <f t="shared" si="297"/>
        <v>-0.0966</v>
      </c>
      <c r="BG286" s="616">
        <f t="shared" si="298"/>
        <v>-0.00322</v>
      </c>
      <c r="BH286" s="616">
        <f t="shared" si="299"/>
        <v>-0.00966</v>
      </c>
      <c r="BI286" s="616">
        <f t="shared" si="300"/>
        <v>-0.1932</v>
      </c>
      <c r="BJ286" s="616"/>
      <c r="BK286" s="615">
        <f t="shared" si="301"/>
        <v>142.64384</v>
      </c>
      <c r="BL286" s="616">
        <f t="shared" si="302"/>
        <v>53.3248</v>
      </c>
      <c r="BM286" s="616">
        <f t="shared" si="303"/>
        <v>26.6624</v>
      </c>
      <c r="BN286" s="616">
        <f t="shared" si="304"/>
        <v>19.9968</v>
      </c>
      <c r="BO286" s="616">
        <f t="shared" si="305"/>
        <v>0.66656</v>
      </c>
      <c r="BP286" s="616">
        <f t="shared" si="306"/>
        <v>1.99968</v>
      </c>
      <c r="BQ286" s="616">
        <f t="shared" si="307"/>
        <v>39.9936</v>
      </c>
      <c r="BR286" s="616">
        <f t="shared" si="308"/>
        <v>0</v>
      </c>
      <c r="BS286" s="304" t="s">
        <v>317</v>
      </c>
    </row>
    <row r="287" s="131" customFormat="1" ht="24" spans="1:71">
      <c r="A287" s="497" t="s">
        <v>584</v>
      </c>
      <c r="B287" s="497" t="s">
        <v>483</v>
      </c>
      <c r="C287" s="497" t="s">
        <v>603</v>
      </c>
      <c r="D287" s="497" t="s">
        <v>604</v>
      </c>
      <c r="E287" s="617">
        <f t="shared" si="313"/>
        <v>42.5248</v>
      </c>
      <c r="F287" s="617">
        <f t="shared" si="314"/>
        <v>35.91</v>
      </c>
      <c r="G287" s="619">
        <v>22.02</v>
      </c>
      <c r="H287" s="619"/>
      <c r="I287" s="619">
        <v>6.86</v>
      </c>
      <c r="J287" s="619"/>
      <c r="K287" s="619"/>
      <c r="L287" s="618">
        <v>7.03</v>
      </c>
      <c r="M287" s="617">
        <f t="shared" si="315"/>
        <v>6.6148</v>
      </c>
      <c r="N287" s="619">
        <v>4.1148</v>
      </c>
      <c r="O287" s="618"/>
      <c r="P287" s="618"/>
      <c r="Q287" s="618"/>
      <c r="R287" s="618">
        <v>2.5</v>
      </c>
      <c r="S287" s="615">
        <f t="shared" si="277"/>
        <v>-2.36</v>
      </c>
      <c r="T287" s="615">
        <f t="shared" si="278"/>
        <v>-2.7</v>
      </c>
      <c r="U287" s="616">
        <v>-1.54</v>
      </c>
      <c r="V287" s="616"/>
      <c r="W287" s="616">
        <v>-0.57</v>
      </c>
      <c r="X287" s="616"/>
      <c r="Y287" s="616"/>
      <c r="Z287" s="616">
        <v>-0.59</v>
      </c>
      <c r="AA287" s="615">
        <f t="shared" si="279"/>
        <v>0.34</v>
      </c>
      <c r="AB287" s="616">
        <v>0.34</v>
      </c>
      <c r="AC287" s="616"/>
      <c r="AD287" s="616"/>
      <c r="AE287" s="616"/>
      <c r="AF287" s="616"/>
      <c r="AG287" s="615">
        <f t="shared" si="280"/>
        <v>40.1648</v>
      </c>
      <c r="AH287" s="615">
        <f t="shared" si="281"/>
        <v>33.21</v>
      </c>
      <c r="AI287" s="616">
        <f t="shared" si="282"/>
        <v>20.48</v>
      </c>
      <c r="AJ287" s="616">
        <f t="shared" si="283"/>
        <v>0</v>
      </c>
      <c r="AK287" s="616">
        <f t="shared" si="284"/>
        <v>6.29</v>
      </c>
      <c r="AL287" s="616">
        <f t="shared" si="285"/>
        <v>0</v>
      </c>
      <c r="AM287" s="616">
        <f t="shared" si="286"/>
        <v>0</v>
      </c>
      <c r="AN287" s="616">
        <f t="shared" si="287"/>
        <v>6.44</v>
      </c>
      <c r="AO287" s="615">
        <f t="shared" si="288"/>
        <v>6.9548</v>
      </c>
      <c r="AP287" s="616">
        <f t="shared" si="289"/>
        <v>4.4548</v>
      </c>
      <c r="AQ287" s="616">
        <f t="shared" si="290"/>
        <v>0</v>
      </c>
      <c r="AR287" s="616">
        <f t="shared" si="291"/>
        <v>0</v>
      </c>
      <c r="AS287" s="616">
        <f t="shared" si="292"/>
        <v>0</v>
      </c>
      <c r="AT287" s="637">
        <f t="shared" si="293"/>
        <v>2.5</v>
      </c>
      <c r="AU287" s="639">
        <f t="shared" si="316"/>
        <v>14.1217744</v>
      </c>
      <c r="AV287" s="618">
        <f t="shared" si="317"/>
        <v>5.279168</v>
      </c>
      <c r="AW287" s="618">
        <f t="shared" si="318"/>
        <v>2.639584</v>
      </c>
      <c r="AX287" s="618">
        <f t="shared" si="319"/>
        <v>1.979688</v>
      </c>
      <c r="AY287" s="618">
        <f t="shared" si="320"/>
        <v>0.0659896</v>
      </c>
      <c r="AZ287" s="618">
        <f t="shared" si="321"/>
        <v>0.1979688</v>
      </c>
      <c r="BA287" s="618">
        <f t="shared" si="322"/>
        <v>3.959376</v>
      </c>
      <c r="BB287" s="618"/>
      <c r="BC287" s="615">
        <f t="shared" si="294"/>
        <v>-0.75756</v>
      </c>
      <c r="BD287" s="616">
        <f t="shared" si="295"/>
        <v>-0.2832</v>
      </c>
      <c r="BE287" s="616">
        <f t="shared" si="296"/>
        <v>-0.1416</v>
      </c>
      <c r="BF287" s="616">
        <f t="shared" si="297"/>
        <v>-0.1062</v>
      </c>
      <c r="BG287" s="616">
        <f t="shared" si="298"/>
        <v>-0.00354</v>
      </c>
      <c r="BH287" s="616">
        <f t="shared" si="299"/>
        <v>-0.01062</v>
      </c>
      <c r="BI287" s="616">
        <f t="shared" si="300"/>
        <v>-0.2124</v>
      </c>
      <c r="BJ287" s="616"/>
      <c r="BK287" s="615">
        <f t="shared" si="301"/>
        <v>13.3642144</v>
      </c>
      <c r="BL287" s="616">
        <f t="shared" si="302"/>
        <v>4.995968</v>
      </c>
      <c r="BM287" s="616">
        <f t="shared" si="303"/>
        <v>2.497984</v>
      </c>
      <c r="BN287" s="616">
        <f t="shared" si="304"/>
        <v>1.873488</v>
      </c>
      <c r="BO287" s="616">
        <f t="shared" si="305"/>
        <v>0.0624496</v>
      </c>
      <c r="BP287" s="616">
        <f t="shared" si="306"/>
        <v>0.1873488</v>
      </c>
      <c r="BQ287" s="616">
        <f t="shared" si="307"/>
        <v>3.746976</v>
      </c>
      <c r="BR287" s="616">
        <f t="shared" si="308"/>
        <v>0</v>
      </c>
      <c r="BS287" s="304"/>
    </row>
    <row r="288" s="131" customFormat="1" ht="24" spans="1:71">
      <c r="A288" s="497" t="s">
        <v>584</v>
      </c>
      <c r="B288" s="497" t="s">
        <v>483</v>
      </c>
      <c r="C288" s="497" t="s">
        <v>605</v>
      </c>
      <c r="D288" s="497" t="s">
        <v>604</v>
      </c>
      <c r="E288" s="617">
        <f t="shared" si="313"/>
        <v>17.624</v>
      </c>
      <c r="F288" s="617">
        <f t="shared" si="314"/>
        <v>0</v>
      </c>
      <c r="G288" s="618"/>
      <c r="H288" s="618"/>
      <c r="I288" s="618"/>
      <c r="J288" s="618"/>
      <c r="K288" s="618"/>
      <c r="L288" s="618"/>
      <c r="M288" s="617">
        <f t="shared" si="315"/>
        <v>17.624</v>
      </c>
      <c r="N288" s="618"/>
      <c r="O288" s="618">
        <f>12.29+1.26+4.074</f>
        <v>17.624</v>
      </c>
      <c r="P288" s="618"/>
      <c r="Q288" s="618"/>
      <c r="R288" s="618"/>
      <c r="S288" s="615">
        <f t="shared" si="277"/>
        <v>0</v>
      </c>
      <c r="T288" s="615">
        <f t="shared" si="278"/>
        <v>0</v>
      </c>
      <c r="U288" s="616"/>
      <c r="V288" s="616"/>
      <c r="W288" s="616"/>
      <c r="X288" s="616"/>
      <c r="Y288" s="616"/>
      <c r="Z288" s="616"/>
      <c r="AA288" s="615">
        <f t="shared" si="279"/>
        <v>0</v>
      </c>
      <c r="AB288" s="616"/>
      <c r="AC288" s="616"/>
      <c r="AD288" s="616"/>
      <c r="AE288" s="616"/>
      <c r="AF288" s="616"/>
      <c r="AG288" s="615">
        <f t="shared" si="280"/>
        <v>17.624</v>
      </c>
      <c r="AH288" s="615">
        <f t="shared" si="281"/>
        <v>0</v>
      </c>
      <c r="AI288" s="616">
        <f t="shared" si="282"/>
        <v>0</v>
      </c>
      <c r="AJ288" s="616">
        <f t="shared" si="283"/>
        <v>0</v>
      </c>
      <c r="AK288" s="616">
        <f t="shared" si="284"/>
        <v>0</v>
      </c>
      <c r="AL288" s="616">
        <f t="shared" si="285"/>
        <v>0</v>
      </c>
      <c r="AM288" s="616">
        <f t="shared" si="286"/>
        <v>0</v>
      </c>
      <c r="AN288" s="616">
        <f t="shared" si="287"/>
        <v>0</v>
      </c>
      <c r="AO288" s="615">
        <f t="shared" si="288"/>
        <v>17.624</v>
      </c>
      <c r="AP288" s="616">
        <f t="shared" si="289"/>
        <v>0</v>
      </c>
      <c r="AQ288" s="616">
        <f t="shared" si="290"/>
        <v>17.624</v>
      </c>
      <c r="AR288" s="616">
        <f t="shared" si="291"/>
        <v>0</v>
      </c>
      <c r="AS288" s="616">
        <f t="shared" si="292"/>
        <v>0</v>
      </c>
      <c r="AT288" s="637">
        <f t="shared" si="293"/>
        <v>0</v>
      </c>
      <c r="AU288" s="639">
        <f t="shared" si="316"/>
        <v>0</v>
      </c>
      <c r="AV288" s="618">
        <f t="shared" si="317"/>
        <v>0</v>
      </c>
      <c r="AW288" s="618">
        <f t="shared" si="318"/>
        <v>0</v>
      </c>
      <c r="AX288" s="618">
        <f t="shared" si="319"/>
        <v>0</v>
      </c>
      <c r="AY288" s="618">
        <f t="shared" si="320"/>
        <v>0</v>
      </c>
      <c r="AZ288" s="618">
        <f t="shared" si="321"/>
        <v>0</v>
      </c>
      <c r="BA288" s="618">
        <f t="shared" si="322"/>
        <v>0</v>
      </c>
      <c r="BB288" s="618"/>
      <c r="BC288" s="615">
        <f t="shared" si="294"/>
        <v>0</v>
      </c>
      <c r="BD288" s="616">
        <f t="shared" si="295"/>
        <v>0</v>
      </c>
      <c r="BE288" s="616">
        <f t="shared" si="296"/>
        <v>0</v>
      </c>
      <c r="BF288" s="616">
        <f t="shared" si="297"/>
        <v>0</v>
      </c>
      <c r="BG288" s="616">
        <f t="shared" si="298"/>
        <v>0</v>
      </c>
      <c r="BH288" s="616">
        <f t="shared" si="299"/>
        <v>0</v>
      </c>
      <c r="BI288" s="616">
        <f t="shared" si="300"/>
        <v>0</v>
      </c>
      <c r="BJ288" s="616"/>
      <c r="BK288" s="615">
        <f t="shared" si="301"/>
        <v>0</v>
      </c>
      <c r="BL288" s="616">
        <f t="shared" si="302"/>
        <v>0</v>
      </c>
      <c r="BM288" s="616">
        <f t="shared" si="303"/>
        <v>0</v>
      </c>
      <c r="BN288" s="616">
        <f t="shared" si="304"/>
        <v>0</v>
      </c>
      <c r="BO288" s="616">
        <f t="shared" si="305"/>
        <v>0</v>
      </c>
      <c r="BP288" s="616">
        <f t="shared" si="306"/>
        <v>0</v>
      </c>
      <c r="BQ288" s="616">
        <f t="shared" si="307"/>
        <v>0</v>
      </c>
      <c r="BR288" s="616">
        <f t="shared" si="308"/>
        <v>0</v>
      </c>
      <c r="BS288" s="304"/>
    </row>
    <row r="289" s="508" customFormat="1" ht="21" customHeight="1" spans="1:72">
      <c r="A289" s="647"/>
      <c r="B289" s="647"/>
      <c r="C289" s="647" t="s">
        <v>137</v>
      </c>
      <c r="D289" s="648">
        <v>214</v>
      </c>
      <c r="E289" s="612">
        <f t="shared" ref="E289:Z289" si="323">SUM(E290:E297)</f>
        <v>464.27672</v>
      </c>
      <c r="F289" s="612">
        <f t="shared" si="323"/>
        <v>363.0812</v>
      </c>
      <c r="G289" s="612">
        <f t="shared" si="323"/>
        <v>212.398</v>
      </c>
      <c r="H289" s="612">
        <f t="shared" si="323"/>
        <v>1.88</v>
      </c>
      <c r="I289" s="612">
        <f t="shared" si="323"/>
        <v>74.4532</v>
      </c>
      <c r="J289" s="612">
        <f t="shared" si="323"/>
        <v>0</v>
      </c>
      <c r="K289" s="612">
        <f t="shared" si="323"/>
        <v>0</v>
      </c>
      <c r="L289" s="612">
        <f t="shared" si="323"/>
        <v>74.35</v>
      </c>
      <c r="M289" s="612">
        <f t="shared" si="323"/>
        <v>101.19552</v>
      </c>
      <c r="N289" s="612">
        <f t="shared" si="323"/>
        <v>44.67552</v>
      </c>
      <c r="O289" s="612">
        <f t="shared" si="323"/>
        <v>0</v>
      </c>
      <c r="P289" s="612">
        <f t="shared" si="323"/>
        <v>30.52</v>
      </c>
      <c r="Q289" s="612">
        <f t="shared" si="323"/>
        <v>0</v>
      </c>
      <c r="R289" s="612">
        <f t="shared" si="323"/>
        <v>26</v>
      </c>
      <c r="S289" s="612">
        <f t="shared" ref="S289:AF289" si="324">SUM(S290:S297)</f>
        <v>11.7246</v>
      </c>
      <c r="T289" s="612">
        <f t="shared" si="324"/>
        <v>6.5868</v>
      </c>
      <c r="U289" s="612">
        <f t="shared" si="324"/>
        <v>0.2718</v>
      </c>
      <c r="V289" s="612">
        <f t="shared" si="324"/>
        <v>-0.12</v>
      </c>
      <c r="W289" s="612">
        <f t="shared" si="324"/>
        <v>4.29</v>
      </c>
      <c r="X289" s="612">
        <f t="shared" si="324"/>
        <v>0</v>
      </c>
      <c r="Y289" s="612">
        <f t="shared" si="324"/>
        <v>0</v>
      </c>
      <c r="Z289" s="612">
        <f t="shared" si="324"/>
        <v>2.145</v>
      </c>
      <c r="AA289" s="612">
        <f t="shared" si="324"/>
        <v>5.1378</v>
      </c>
      <c r="AB289" s="612">
        <f t="shared" si="324"/>
        <v>1.7578</v>
      </c>
      <c r="AC289" s="612">
        <f t="shared" si="324"/>
        <v>0</v>
      </c>
      <c r="AD289" s="612">
        <f t="shared" si="324"/>
        <v>0.97</v>
      </c>
      <c r="AE289" s="612">
        <f t="shared" si="324"/>
        <v>1.65</v>
      </c>
      <c r="AF289" s="612">
        <f t="shared" si="324"/>
        <v>0.76</v>
      </c>
      <c r="AG289" s="612">
        <f t="shared" ref="AG289:BB289" si="325">SUM(AG290:AG297)</f>
        <v>476.00132</v>
      </c>
      <c r="AH289" s="612">
        <f t="shared" si="325"/>
        <v>369.668</v>
      </c>
      <c r="AI289" s="612">
        <f t="shared" si="325"/>
        <v>212.6698</v>
      </c>
      <c r="AJ289" s="612">
        <f t="shared" si="325"/>
        <v>1.76</v>
      </c>
      <c r="AK289" s="612">
        <f t="shared" si="325"/>
        <v>78.7432</v>
      </c>
      <c r="AL289" s="612">
        <f t="shared" si="325"/>
        <v>0</v>
      </c>
      <c r="AM289" s="612">
        <f t="shared" si="325"/>
        <v>0</v>
      </c>
      <c r="AN289" s="612">
        <f t="shared" si="325"/>
        <v>76.495</v>
      </c>
      <c r="AO289" s="612">
        <f t="shared" si="325"/>
        <v>106.33332</v>
      </c>
      <c r="AP289" s="612">
        <f t="shared" si="325"/>
        <v>46.43332</v>
      </c>
      <c r="AQ289" s="612">
        <f t="shared" si="325"/>
        <v>0</v>
      </c>
      <c r="AR289" s="612">
        <f t="shared" si="325"/>
        <v>31.49</v>
      </c>
      <c r="AS289" s="612">
        <f t="shared" si="325"/>
        <v>1.65</v>
      </c>
      <c r="AT289" s="635">
        <f t="shared" si="325"/>
        <v>26.76</v>
      </c>
      <c r="AU289" s="636">
        <f t="shared" si="325"/>
        <v>142.69807616</v>
      </c>
      <c r="AV289" s="612">
        <f t="shared" si="325"/>
        <v>53.3450752</v>
      </c>
      <c r="AW289" s="612">
        <f t="shared" si="325"/>
        <v>26.6725376</v>
      </c>
      <c r="AX289" s="612">
        <f t="shared" si="325"/>
        <v>20.0044032</v>
      </c>
      <c r="AY289" s="612">
        <f t="shared" si="325"/>
        <v>0.66681344</v>
      </c>
      <c r="AZ289" s="612">
        <f t="shared" si="325"/>
        <v>2.00044032</v>
      </c>
      <c r="BA289" s="612">
        <f t="shared" si="325"/>
        <v>40.0088064</v>
      </c>
      <c r="BB289" s="612">
        <f t="shared" si="325"/>
        <v>0</v>
      </c>
      <c r="BC289" s="612">
        <f t="shared" ref="BC289:BR289" si="326">SUM(BC290:BC297)</f>
        <v>2.6534288</v>
      </c>
      <c r="BD289" s="612">
        <f t="shared" si="326"/>
        <v>0.991936</v>
      </c>
      <c r="BE289" s="612">
        <f t="shared" si="326"/>
        <v>0.495968</v>
      </c>
      <c r="BF289" s="612">
        <f t="shared" si="326"/>
        <v>0.371976</v>
      </c>
      <c r="BG289" s="612">
        <f t="shared" si="326"/>
        <v>0.0123992</v>
      </c>
      <c r="BH289" s="612">
        <f t="shared" si="326"/>
        <v>0.0371976</v>
      </c>
      <c r="BI289" s="612">
        <f t="shared" si="326"/>
        <v>0.743952</v>
      </c>
      <c r="BJ289" s="612">
        <f t="shared" si="326"/>
        <v>0</v>
      </c>
      <c r="BK289" s="612">
        <f t="shared" si="326"/>
        <v>145.35150496</v>
      </c>
      <c r="BL289" s="612">
        <f t="shared" si="326"/>
        <v>54.3370112</v>
      </c>
      <c r="BM289" s="612">
        <f t="shared" si="326"/>
        <v>27.1685056</v>
      </c>
      <c r="BN289" s="612">
        <f t="shared" si="326"/>
        <v>20.3763792</v>
      </c>
      <c r="BO289" s="612">
        <f t="shared" si="326"/>
        <v>0.67921264</v>
      </c>
      <c r="BP289" s="612">
        <f t="shared" si="326"/>
        <v>2.03763792</v>
      </c>
      <c r="BQ289" s="612">
        <f t="shared" si="326"/>
        <v>40.7527584</v>
      </c>
      <c r="BR289" s="612">
        <f t="shared" si="326"/>
        <v>0</v>
      </c>
      <c r="BS289" s="334"/>
      <c r="BT289" s="653"/>
    </row>
    <row r="290" s="132" customFormat="1" ht="24" spans="1:71">
      <c r="A290" s="497" t="s">
        <v>261</v>
      </c>
      <c r="B290" s="497" t="s">
        <v>203</v>
      </c>
      <c r="C290" s="497" t="s">
        <v>606</v>
      </c>
      <c r="D290" s="497" t="s">
        <v>607</v>
      </c>
      <c r="E290" s="615">
        <f t="shared" ref="E290:E297" si="327">F290+M290</f>
        <v>0</v>
      </c>
      <c r="F290" s="615">
        <f t="shared" ref="F290:F297" si="328">SUM(G290:L290)</f>
        <v>0</v>
      </c>
      <c r="G290" s="616"/>
      <c r="H290" s="616"/>
      <c r="I290" s="616"/>
      <c r="J290" s="616"/>
      <c r="K290" s="616"/>
      <c r="L290" s="616"/>
      <c r="M290" s="615">
        <f t="shared" ref="M290:M297" si="329">SUM(N290:R290)</f>
        <v>0</v>
      </c>
      <c r="N290" s="616"/>
      <c r="O290" s="616"/>
      <c r="P290" s="616"/>
      <c r="Q290" s="616"/>
      <c r="R290" s="616"/>
      <c r="S290" s="615">
        <f t="shared" si="277"/>
        <v>0</v>
      </c>
      <c r="T290" s="615">
        <f t="shared" si="278"/>
        <v>0</v>
      </c>
      <c r="U290" s="616"/>
      <c r="V290" s="616"/>
      <c r="W290" s="616"/>
      <c r="X290" s="616"/>
      <c r="Y290" s="616"/>
      <c r="Z290" s="616"/>
      <c r="AA290" s="615">
        <f t="shared" si="279"/>
        <v>0</v>
      </c>
      <c r="AB290" s="616"/>
      <c r="AC290" s="616"/>
      <c r="AD290" s="616"/>
      <c r="AE290" s="616"/>
      <c r="AF290" s="616"/>
      <c r="AG290" s="615">
        <f t="shared" si="280"/>
        <v>0</v>
      </c>
      <c r="AH290" s="615">
        <f t="shared" si="281"/>
        <v>0</v>
      </c>
      <c r="AI290" s="616">
        <f t="shared" si="282"/>
        <v>0</v>
      </c>
      <c r="AJ290" s="616">
        <f t="shared" si="283"/>
        <v>0</v>
      </c>
      <c r="AK290" s="616">
        <f t="shared" si="284"/>
        <v>0</v>
      </c>
      <c r="AL290" s="616">
        <f t="shared" si="285"/>
        <v>0</v>
      </c>
      <c r="AM290" s="616">
        <f t="shared" si="286"/>
        <v>0</v>
      </c>
      <c r="AN290" s="616">
        <f t="shared" si="287"/>
        <v>0</v>
      </c>
      <c r="AO290" s="615">
        <f t="shared" si="288"/>
        <v>0</v>
      </c>
      <c r="AP290" s="616">
        <f t="shared" si="289"/>
        <v>0</v>
      </c>
      <c r="AQ290" s="616">
        <f t="shared" si="290"/>
        <v>0</v>
      </c>
      <c r="AR290" s="616">
        <f t="shared" si="291"/>
        <v>0</v>
      </c>
      <c r="AS290" s="616">
        <f t="shared" si="292"/>
        <v>0</v>
      </c>
      <c r="AT290" s="637">
        <f t="shared" si="293"/>
        <v>0</v>
      </c>
      <c r="AU290" s="638">
        <f t="shared" ref="AU290:AU297" si="330">SUM(AV290:BB290)</f>
        <v>0</v>
      </c>
      <c r="AV290" s="616">
        <f t="shared" ref="AV290:AV297" si="331">(G290+H290+I290+N290)*0.16</f>
        <v>0</v>
      </c>
      <c r="AW290" s="616">
        <f t="shared" ref="AW290:AW297" si="332">(G290+H290+I290+N290)*0.08</f>
        <v>0</v>
      </c>
      <c r="AX290" s="616">
        <f t="shared" ref="AX290:AX297" si="333">(G290+H290+I290+N290)*0.06</f>
        <v>0</v>
      </c>
      <c r="AY290" s="616">
        <f t="shared" ref="AY290:AY297" si="334">(G290+H290+I290+N290)*0.002</f>
        <v>0</v>
      </c>
      <c r="AZ290" s="616">
        <f t="shared" ref="AZ290:AZ297" si="335">(G290+H290+I290+N290)*0.006</f>
        <v>0</v>
      </c>
      <c r="BA290" s="616">
        <f t="shared" ref="BA290:BA297" si="336">(G290+H290+I290+N290)*0.12</f>
        <v>0</v>
      </c>
      <c r="BB290" s="616"/>
      <c r="BC290" s="615">
        <f t="shared" si="294"/>
        <v>0</v>
      </c>
      <c r="BD290" s="616">
        <f t="shared" si="295"/>
        <v>0</v>
      </c>
      <c r="BE290" s="616">
        <f t="shared" si="296"/>
        <v>0</v>
      </c>
      <c r="BF290" s="616">
        <f t="shared" si="297"/>
        <v>0</v>
      </c>
      <c r="BG290" s="616">
        <f t="shared" si="298"/>
        <v>0</v>
      </c>
      <c r="BH290" s="616">
        <f t="shared" si="299"/>
        <v>0</v>
      </c>
      <c r="BI290" s="616">
        <f t="shared" si="300"/>
        <v>0</v>
      </c>
      <c r="BJ290" s="616"/>
      <c r="BK290" s="615">
        <f t="shared" si="301"/>
        <v>0</v>
      </c>
      <c r="BL290" s="616">
        <f t="shared" si="302"/>
        <v>0</v>
      </c>
      <c r="BM290" s="616">
        <f t="shared" si="303"/>
        <v>0</v>
      </c>
      <c r="BN290" s="616">
        <f t="shared" si="304"/>
        <v>0</v>
      </c>
      <c r="BO290" s="616">
        <f t="shared" si="305"/>
        <v>0</v>
      </c>
      <c r="BP290" s="616">
        <f t="shared" si="306"/>
        <v>0</v>
      </c>
      <c r="BQ290" s="616">
        <f t="shared" si="307"/>
        <v>0</v>
      </c>
      <c r="BR290" s="616">
        <f t="shared" si="308"/>
        <v>0</v>
      </c>
      <c r="BS290" s="304"/>
    </row>
    <row r="291" s="132" customFormat="1" ht="24" spans="1:71">
      <c r="A291" s="497" t="s">
        <v>261</v>
      </c>
      <c r="B291" s="497" t="s">
        <v>203</v>
      </c>
      <c r="C291" s="497" t="s">
        <v>608</v>
      </c>
      <c r="D291" s="497" t="s">
        <v>607</v>
      </c>
      <c r="E291" s="615">
        <f t="shared" si="327"/>
        <v>0</v>
      </c>
      <c r="F291" s="615">
        <f t="shared" si="328"/>
        <v>0</v>
      </c>
      <c r="G291" s="616"/>
      <c r="H291" s="616"/>
      <c r="I291" s="616"/>
      <c r="J291" s="616"/>
      <c r="K291" s="616"/>
      <c r="L291" s="616"/>
      <c r="M291" s="615">
        <f t="shared" si="329"/>
        <v>0</v>
      </c>
      <c r="N291" s="616"/>
      <c r="O291" s="616"/>
      <c r="P291" s="616"/>
      <c r="Q291" s="616"/>
      <c r="R291" s="616"/>
      <c r="S291" s="615">
        <f t="shared" si="277"/>
        <v>0</v>
      </c>
      <c r="T291" s="615">
        <f t="shared" si="278"/>
        <v>0</v>
      </c>
      <c r="U291" s="616"/>
      <c r="V291" s="616"/>
      <c r="W291" s="616"/>
      <c r="X291" s="616"/>
      <c r="Y291" s="616"/>
      <c r="Z291" s="616"/>
      <c r="AA291" s="615">
        <f t="shared" si="279"/>
        <v>0</v>
      </c>
      <c r="AB291" s="616"/>
      <c r="AC291" s="616"/>
      <c r="AD291" s="616"/>
      <c r="AE291" s="616"/>
      <c r="AF291" s="616"/>
      <c r="AG291" s="615">
        <f t="shared" si="280"/>
        <v>0</v>
      </c>
      <c r="AH291" s="615">
        <f t="shared" si="281"/>
        <v>0</v>
      </c>
      <c r="AI291" s="616">
        <f t="shared" si="282"/>
        <v>0</v>
      </c>
      <c r="AJ291" s="616">
        <f t="shared" si="283"/>
        <v>0</v>
      </c>
      <c r="AK291" s="616">
        <f t="shared" si="284"/>
        <v>0</v>
      </c>
      <c r="AL291" s="616">
        <f t="shared" si="285"/>
        <v>0</v>
      </c>
      <c r="AM291" s="616">
        <f t="shared" si="286"/>
        <v>0</v>
      </c>
      <c r="AN291" s="616">
        <f t="shared" si="287"/>
        <v>0</v>
      </c>
      <c r="AO291" s="615">
        <f t="shared" si="288"/>
        <v>0</v>
      </c>
      <c r="AP291" s="616">
        <f t="shared" si="289"/>
        <v>0</v>
      </c>
      <c r="AQ291" s="616">
        <f t="shared" si="290"/>
        <v>0</v>
      </c>
      <c r="AR291" s="616">
        <f t="shared" si="291"/>
        <v>0</v>
      </c>
      <c r="AS291" s="616">
        <f t="shared" si="292"/>
        <v>0</v>
      </c>
      <c r="AT291" s="637">
        <f t="shared" si="293"/>
        <v>0</v>
      </c>
      <c r="AU291" s="638">
        <f t="shared" si="330"/>
        <v>0</v>
      </c>
      <c r="AV291" s="616">
        <f t="shared" si="331"/>
        <v>0</v>
      </c>
      <c r="AW291" s="616">
        <f t="shared" si="332"/>
        <v>0</v>
      </c>
      <c r="AX291" s="616">
        <f t="shared" si="333"/>
        <v>0</v>
      </c>
      <c r="AY291" s="616">
        <f t="shared" si="334"/>
        <v>0</v>
      </c>
      <c r="AZ291" s="616">
        <f t="shared" si="335"/>
        <v>0</v>
      </c>
      <c r="BA291" s="616">
        <f t="shared" si="336"/>
        <v>0</v>
      </c>
      <c r="BB291" s="616"/>
      <c r="BC291" s="615">
        <f t="shared" si="294"/>
        <v>0</v>
      </c>
      <c r="BD291" s="616">
        <f t="shared" si="295"/>
        <v>0</v>
      </c>
      <c r="BE291" s="616">
        <f t="shared" si="296"/>
        <v>0</v>
      </c>
      <c r="BF291" s="616">
        <f t="shared" si="297"/>
        <v>0</v>
      </c>
      <c r="BG291" s="616">
        <f t="shared" si="298"/>
        <v>0</v>
      </c>
      <c r="BH291" s="616">
        <f t="shared" si="299"/>
        <v>0</v>
      </c>
      <c r="BI291" s="616">
        <f t="shared" si="300"/>
        <v>0</v>
      </c>
      <c r="BJ291" s="616"/>
      <c r="BK291" s="615">
        <f t="shared" si="301"/>
        <v>0</v>
      </c>
      <c r="BL291" s="616">
        <f t="shared" si="302"/>
        <v>0</v>
      </c>
      <c r="BM291" s="616">
        <f t="shared" si="303"/>
        <v>0</v>
      </c>
      <c r="BN291" s="616">
        <f t="shared" si="304"/>
        <v>0</v>
      </c>
      <c r="BO291" s="616">
        <f t="shared" si="305"/>
        <v>0</v>
      </c>
      <c r="BP291" s="616">
        <f t="shared" si="306"/>
        <v>0</v>
      </c>
      <c r="BQ291" s="616">
        <f t="shared" si="307"/>
        <v>0</v>
      </c>
      <c r="BR291" s="616">
        <f t="shared" si="308"/>
        <v>0</v>
      </c>
      <c r="BS291" s="304"/>
    </row>
    <row r="292" s="132" customFormat="1" ht="36" spans="1:71">
      <c r="A292" s="497" t="s">
        <v>261</v>
      </c>
      <c r="B292" s="497" t="s">
        <v>206</v>
      </c>
      <c r="C292" s="497" t="s">
        <v>609</v>
      </c>
      <c r="D292" s="497" t="s">
        <v>610</v>
      </c>
      <c r="E292" s="615">
        <f t="shared" si="327"/>
        <v>164.23992</v>
      </c>
      <c r="F292" s="615">
        <f t="shared" si="328"/>
        <v>134.9792</v>
      </c>
      <c r="G292" s="616">
        <v>67.668</v>
      </c>
      <c r="H292" s="616"/>
      <c r="I292" s="616">
        <v>24.6012</v>
      </c>
      <c r="J292" s="616"/>
      <c r="K292" s="616"/>
      <c r="L292" s="616">
        <v>42.71</v>
      </c>
      <c r="M292" s="615">
        <f t="shared" si="329"/>
        <v>29.26072</v>
      </c>
      <c r="N292" s="616">
        <v>14.76072</v>
      </c>
      <c r="O292" s="616"/>
      <c r="P292" s="616"/>
      <c r="Q292" s="616"/>
      <c r="R292" s="616">
        <v>14.5</v>
      </c>
      <c r="S292" s="615">
        <f t="shared" si="277"/>
        <v>-0.44</v>
      </c>
      <c r="T292" s="615">
        <f t="shared" si="278"/>
        <v>-0.82</v>
      </c>
      <c r="U292" s="616">
        <v>-0.58</v>
      </c>
      <c r="V292" s="616"/>
      <c r="W292" s="616">
        <v>0.54</v>
      </c>
      <c r="X292" s="616"/>
      <c r="Y292" s="616"/>
      <c r="Z292" s="616">
        <v>-0.78</v>
      </c>
      <c r="AA292" s="615">
        <f t="shared" si="279"/>
        <v>0.38</v>
      </c>
      <c r="AB292" s="616">
        <v>-0.07</v>
      </c>
      <c r="AC292" s="616"/>
      <c r="AD292" s="616"/>
      <c r="AE292" s="616">
        <v>0.45</v>
      </c>
      <c r="AF292" s="616"/>
      <c r="AG292" s="615">
        <f t="shared" si="280"/>
        <v>163.79992</v>
      </c>
      <c r="AH292" s="615">
        <f t="shared" si="281"/>
        <v>134.1592</v>
      </c>
      <c r="AI292" s="616">
        <f t="shared" si="282"/>
        <v>67.088</v>
      </c>
      <c r="AJ292" s="616">
        <f t="shared" si="283"/>
        <v>0</v>
      </c>
      <c r="AK292" s="616">
        <f t="shared" si="284"/>
        <v>25.1412</v>
      </c>
      <c r="AL292" s="616">
        <f t="shared" si="285"/>
        <v>0</v>
      </c>
      <c r="AM292" s="616">
        <f t="shared" si="286"/>
        <v>0</v>
      </c>
      <c r="AN292" s="616">
        <f t="shared" si="287"/>
        <v>41.93</v>
      </c>
      <c r="AO292" s="615">
        <f t="shared" si="288"/>
        <v>29.64072</v>
      </c>
      <c r="AP292" s="616">
        <f t="shared" si="289"/>
        <v>14.69072</v>
      </c>
      <c r="AQ292" s="616">
        <f t="shared" si="290"/>
        <v>0</v>
      </c>
      <c r="AR292" s="616">
        <f t="shared" si="291"/>
        <v>0</v>
      </c>
      <c r="AS292" s="616">
        <f t="shared" si="292"/>
        <v>0.45</v>
      </c>
      <c r="AT292" s="637">
        <f t="shared" si="293"/>
        <v>14.5</v>
      </c>
      <c r="AU292" s="638">
        <f t="shared" si="330"/>
        <v>45.80880576</v>
      </c>
      <c r="AV292" s="616">
        <f t="shared" si="331"/>
        <v>17.1247872</v>
      </c>
      <c r="AW292" s="616">
        <f t="shared" si="332"/>
        <v>8.5623936</v>
      </c>
      <c r="AX292" s="616">
        <f t="shared" si="333"/>
        <v>6.4217952</v>
      </c>
      <c r="AY292" s="616">
        <f t="shared" si="334"/>
        <v>0.21405984</v>
      </c>
      <c r="AZ292" s="616">
        <f t="shared" si="335"/>
        <v>0.64217952</v>
      </c>
      <c r="BA292" s="616">
        <f t="shared" si="336"/>
        <v>12.8435904</v>
      </c>
      <c r="BB292" s="616"/>
      <c r="BC292" s="615">
        <f t="shared" si="294"/>
        <v>-0.04708</v>
      </c>
      <c r="BD292" s="616">
        <f t="shared" si="295"/>
        <v>-0.0176</v>
      </c>
      <c r="BE292" s="616">
        <f t="shared" si="296"/>
        <v>-0.0088</v>
      </c>
      <c r="BF292" s="616">
        <f t="shared" si="297"/>
        <v>-0.0066</v>
      </c>
      <c r="BG292" s="616">
        <f t="shared" si="298"/>
        <v>-0.00022</v>
      </c>
      <c r="BH292" s="616">
        <f t="shared" si="299"/>
        <v>-0.00066</v>
      </c>
      <c r="BI292" s="616">
        <f t="shared" si="300"/>
        <v>-0.0132</v>
      </c>
      <c r="BJ292" s="616"/>
      <c r="BK292" s="615">
        <f t="shared" si="301"/>
        <v>45.76172576</v>
      </c>
      <c r="BL292" s="616">
        <f t="shared" si="302"/>
        <v>17.1071872</v>
      </c>
      <c r="BM292" s="616">
        <f t="shared" si="303"/>
        <v>8.5535936</v>
      </c>
      <c r="BN292" s="616">
        <f t="shared" si="304"/>
        <v>6.4151952</v>
      </c>
      <c r="BO292" s="616">
        <f t="shared" si="305"/>
        <v>0.21383984</v>
      </c>
      <c r="BP292" s="616">
        <f t="shared" si="306"/>
        <v>0.64151952</v>
      </c>
      <c r="BQ292" s="616">
        <f t="shared" si="307"/>
        <v>12.8303904</v>
      </c>
      <c r="BR292" s="616">
        <f t="shared" si="308"/>
        <v>0</v>
      </c>
      <c r="BS292" s="304"/>
    </row>
    <row r="293" s="132" customFormat="1" ht="36" spans="1:71">
      <c r="A293" s="497" t="s">
        <v>261</v>
      </c>
      <c r="B293" s="497" t="s">
        <v>206</v>
      </c>
      <c r="C293" s="497" t="s">
        <v>611</v>
      </c>
      <c r="D293" s="497" t="s">
        <v>610</v>
      </c>
      <c r="E293" s="615">
        <f t="shared" si="327"/>
        <v>67.4192</v>
      </c>
      <c r="F293" s="615">
        <f t="shared" si="328"/>
        <v>59.0592</v>
      </c>
      <c r="G293" s="616">
        <v>45.1284</v>
      </c>
      <c r="H293" s="616"/>
      <c r="I293" s="616">
        <v>13.9308</v>
      </c>
      <c r="J293" s="616"/>
      <c r="K293" s="616"/>
      <c r="L293" s="616"/>
      <c r="M293" s="615">
        <f t="shared" si="329"/>
        <v>8.36</v>
      </c>
      <c r="N293" s="616">
        <v>8.36</v>
      </c>
      <c r="O293" s="616"/>
      <c r="P293" s="616"/>
      <c r="Q293" s="616"/>
      <c r="R293" s="616"/>
      <c r="S293" s="615">
        <f t="shared" si="277"/>
        <v>2.13</v>
      </c>
      <c r="T293" s="615">
        <f t="shared" si="278"/>
        <v>1.81</v>
      </c>
      <c r="U293" s="616">
        <v>1.52</v>
      </c>
      <c r="V293" s="616"/>
      <c r="W293" s="616">
        <v>0.29</v>
      </c>
      <c r="X293" s="616"/>
      <c r="Y293" s="616"/>
      <c r="Z293" s="616"/>
      <c r="AA293" s="615">
        <f t="shared" si="279"/>
        <v>0.32</v>
      </c>
      <c r="AB293" s="616">
        <v>0.17</v>
      </c>
      <c r="AC293" s="616"/>
      <c r="AD293" s="616"/>
      <c r="AE293" s="616">
        <v>0.15</v>
      </c>
      <c r="AF293" s="616"/>
      <c r="AG293" s="615">
        <f t="shared" si="280"/>
        <v>69.5492</v>
      </c>
      <c r="AH293" s="615">
        <f t="shared" si="281"/>
        <v>60.8692</v>
      </c>
      <c r="AI293" s="616">
        <f t="shared" si="282"/>
        <v>46.6484</v>
      </c>
      <c r="AJ293" s="616">
        <f t="shared" si="283"/>
        <v>0</v>
      </c>
      <c r="AK293" s="616">
        <f t="shared" si="284"/>
        <v>14.2208</v>
      </c>
      <c r="AL293" s="616">
        <f t="shared" si="285"/>
        <v>0</v>
      </c>
      <c r="AM293" s="616">
        <f t="shared" si="286"/>
        <v>0</v>
      </c>
      <c r="AN293" s="616">
        <f t="shared" si="287"/>
        <v>0</v>
      </c>
      <c r="AO293" s="615">
        <f t="shared" si="288"/>
        <v>8.68</v>
      </c>
      <c r="AP293" s="616">
        <f t="shared" si="289"/>
        <v>8.53</v>
      </c>
      <c r="AQ293" s="616">
        <f t="shared" si="290"/>
        <v>0</v>
      </c>
      <c r="AR293" s="616">
        <f t="shared" si="291"/>
        <v>0</v>
      </c>
      <c r="AS293" s="616">
        <f t="shared" si="292"/>
        <v>0.15</v>
      </c>
      <c r="AT293" s="637">
        <f t="shared" si="293"/>
        <v>0</v>
      </c>
      <c r="AU293" s="638">
        <f t="shared" si="330"/>
        <v>28.8554176</v>
      </c>
      <c r="AV293" s="616">
        <f t="shared" si="331"/>
        <v>10.787072</v>
      </c>
      <c r="AW293" s="616">
        <f t="shared" si="332"/>
        <v>5.393536</v>
      </c>
      <c r="AX293" s="616">
        <f t="shared" si="333"/>
        <v>4.045152</v>
      </c>
      <c r="AY293" s="616">
        <f t="shared" si="334"/>
        <v>0.1348384</v>
      </c>
      <c r="AZ293" s="616">
        <f t="shared" si="335"/>
        <v>0.4045152</v>
      </c>
      <c r="BA293" s="616">
        <f t="shared" si="336"/>
        <v>8.090304</v>
      </c>
      <c r="BB293" s="616"/>
      <c r="BC293" s="615">
        <f t="shared" si="294"/>
        <v>0.84744</v>
      </c>
      <c r="BD293" s="616">
        <f t="shared" si="295"/>
        <v>0.3168</v>
      </c>
      <c r="BE293" s="616">
        <f t="shared" si="296"/>
        <v>0.1584</v>
      </c>
      <c r="BF293" s="616">
        <f t="shared" si="297"/>
        <v>0.1188</v>
      </c>
      <c r="BG293" s="616">
        <f t="shared" si="298"/>
        <v>0.00396</v>
      </c>
      <c r="BH293" s="616">
        <f t="shared" si="299"/>
        <v>0.01188</v>
      </c>
      <c r="BI293" s="616">
        <f t="shared" si="300"/>
        <v>0.2376</v>
      </c>
      <c r="BJ293" s="616"/>
      <c r="BK293" s="615">
        <f t="shared" si="301"/>
        <v>29.7028576</v>
      </c>
      <c r="BL293" s="616">
        <f t="shared" si="302"/>
        <v>11.103872</v>
      </c>
      <c r="BM293" s="616">
        <f t="shared" si="303"/>
        <v>5.551936</v>
      </c>
      <c r="BN293" s="616">
        <f t="shared" si="304"/>
        <v>4.163952</v>
      </c>
      <c r="BO293" s="616">
        <f t="shared" si="305"/>
        <v>0.1387984</v>
      </c>
      <c r="BP293" s="616">
        <f t="shared" si="306"/>
        <v>0.4163952</v>
      </c>
      <c r="BQ293" s="616">
        <f t="shared" si="307"/>
        <v>8.327904</v>
      </c>
      <c r="BR293" s="616">
        <f t="shared" si="308"/>
        <v>0</v>
      </c>
      <c r="BS293" s="304"/>
    </row>
    <row r="294" s="132" customFormat="1" ht="36" spans="1:71">
      <c r="A294" s="497" t="s">
        <v>261</v>
      </c>
      <c r="B294" s="497" t="s">
        <v>206</v>
      </c>
      <c r="C294" s="497" t="s">
        <v>612</v>
      </c>
      <c r="D294" s="497" t="s">
        <v>610</v>
      </c>
      <c r="E294" s="615">
        <f t="shared" si="327"/>
        <v>16.7388</v>
      </c>
      <c r="F294" s="615">
        <f t="shared" si="328"/>
        <v>14.1432</v>
      </c>
      <c r="G294" s="616">
        <v>9.8172</v>
      </c>
      <c r="H294" s="616"/>
      <c r="I294" s="616">
        <v>4.326</v>
      </c>
      <c r="J294" s="616"/>
      <c r="K294" s="616"/>
      <c r="L294" s="616"/>
      <c r="M294" s="615">
        <f t="shared" si="329"/>
        <v>2.5956</v>
      </c>
      <c r="N294" s="616">
        <v>2.5956</v>
      </c>
      <c r="O294" s="616"/>
      <c r="P294" s="616"/>
      <c r="Q294" s="616"/>
      <c r="R294" s="616"/>
      <c r="S294" s="615">
        <f t="shared" si="277"/>
        <v>-4.41</v>
      </c>
      <c r="T294" s="615">
        <f t="shared" si="278"/>
        <v>-4.56</v>
      </c>
      <c r="U294" s="616">
        <v>-4.56</v>
      </c>
      <c r="V294" s="616"/>
      <c r="W294" s="616"/>
      <c r="X294" s="616"/>
      <c r="Y294" s="616"/>
      <c r="Z294" s="616"/>
      <c r="AA294" s="615">
        <f t="shared" si="279"/>
        <v>0.15</v>
      </c>
      <c r="AB294" s="616"/>
      <c r="AC294" s="616"/>
      <c r="AD294" s="616"/>
      <c r="AE294" s="616">
        <v>0.15</v>
      </c>
      <c r="AF294" s="616"/>
      <c r="AG294" s="615">
        <f t="shared" si="280"/>
        <v>12.3288</v>
      </c>
      <c r="AH294" s="615">
        <f t="shared" si="281"/>
        <v>9.5832</v>
      </c>
      <c r="AI294" s="616">
        <f t="shared" si="282"/>
        <v>5.2572</v>
      </c>
      <c r="AJ294" s="616">
        <f t="shared" si="283"/>
        <v>0</v>
      </c>
      <c r="AK294" s="616">
        <f t="shared" si="284"/>
        <v>4.326</v>
      </c>
      <c r="AL294" s="616">
        <f t="shared" si="285"/>
        <v>0</v>
      </c>
      <c r="AM294" s="616">
        <f t="shared" si="286"/>
        <v>0</v>
      </c>
      <c r="AN294" s="616">
        <f t="shared" si="287"/>
        <v>0</v>
      </c>
      <c r="AO294" s="615">
        <f t="shared" si="288"/>
        <v>2.7456</v>
      </c>
      <c r="AP294" s="616">
        <f t="shared" si="289"/>
        <v>2.5956</v>
      </c>
      <c r="AQ294" s="616">
        <f t="shared" si="290"/>
        <v>0</v>
      </c>
      <c r="AR294" s="616">
        <f t="shared" si="291"/>
        <v>0</v>
      </c>
      <c r="AS294" s="616">
        <f t="shared" si="292"/>
        <v>0.15</v>
      </c>
      <c r="AT294" s="637">
        <f t="shared" si="293"/>
        <v>0</v>
      </c>
      <c r="AU294" s="638">
        <f t="shared" si="330"/>
        <v>7.1642064</v>
      </c>
      <c r="AV294" s="616">
        <f t="shared" si="331"/>
        <v>2.678208</v>
      </c>
      <c r="AW294" s="616">
        <f t="shared" si="332"/>
        <v>1.339104</v>
      </c>
      <c r="AX294" s="616">
        <f t="shared" si="333"/>
        <v>1.004328</v>
      </c>
      <c r="AY294" s="616">
        <f t="shared" si="334"/>
        <v>0.0334776</v>
      </c>
      <c r="AZ294" s="616">
        <f t="shared" si="335"/>
        <v>0.1004328</v>
      </c>
      <c r="BA294" s="616">
        <f t="shared" si="336"/>
        <v>2.008656</v>
      </c>
      <c r="BB294" s="616"/>
      <c r="BC294" s="615">
        <f t="shared" si="294"/>
        <v>-1.95168</v>
      </c>
      <c r="BD294" s="616">
        <f t="shared" si="295"/>
        <v>-0.7296</v>
      </c>
      <c r="BE294" s="616">
        <f t="shared" si="296"/>
        <v>-0.3648</v>
      </c>
      <c r="BF294" s="616">
        <f t="shared" si="297"/>
        <v>-0.2736</v>
      </c>
      <c r="BG294" s="616">
        <f t="shared" si="298"/>
        <v>-0.00912</v>
      </c>
      <c r="BH294" s="616">
        <f t="shared" si="299"/>
        <v>-0.02736</v>
      </c>
      <c r="BI294" s="616">
        <f t="shared" si="300"/>
        <v>-0.5472</v>
      </c>
      <c r="BJ294" s="616"/>
      <c r="BK294" s="615">
        <f t="shared" si="301"/>
        <v>5.2125264</v>
      </c>
      <c r="BL294" s="616">
        <f t="shared" si="302"/>
        <v>1.948608</v>
      </c>
      <c r="BM294" s="616">
        <f t="shared" si="303"/>
        <v>0.974304</v>
      </c>
      <c r="BN294" s="616">
        <f t="shared" si="304"/>
        <v>0.730728</v>
      </c>
      <c r="BO294" s="616">
        <f t="shared" si="305"/>
        <v>0.0243576</v>
      </c>
      <c r="BP294" s="616">
        <f t="shared" si="306"/>
        <v>0.0730728</v>
      </c>
      <c r="BQ294" s="616">
        <f t="shared" si="307"/>
        <v>1.461456</v>
      </c>
      <c r="BR294" s="616">
        <f t="shared" si="308"/>
        <v>0</v>
      </c>
      <c r="BS294" s="304"/>
    </row>
    <row r="295" s="132" customFormat="1" ht="36" spans="1:71">
      <c r="A295" s="497" t="s">
        <v>261</v>
      </c>
      <c r="B295" s="497" t="s">
        <v>206</v>
      </c>
      <c r="C295" s="497" t="s">
        <v>613</v>
      </c>
      <c r="D295" s="497" t="s">
        <v>614</v>
      </c>
      <c r="E295" s="615">
        <f t="shared" si="327"/>
        <v>52.8336</v>
      </c>
      <c r="F295" s="615">
        <f t="shared" si="328"/>
        <v>43.4644</v>
      </c>
      <c r="G295" s="616">
        <v>23.8344</v>
      </c>
      <c r="H295" s="616"/>
      <c r="I295" s="616">
        <v>9.78</v>
      </c>
      <c r="J295" s="616"/>
      <c r="K295" s="616"/>
      <c r="L295" s="616">
        <v>9.85</v>
      </c>
      <c r="M295" s="615">
        <f t="shared" si="329"/>
        <v>9.3692</v>
      </c>
      <c r="N295" s="616">
        <v>5.8692</v>
      </c>
      <c r="O295" s="616"/>
      <c r="P295" s="616"/>
      <c r="Q295" s="616"/>
      <c r="R295" s="616">
        <v>3.5</v>
      </c>
      <c r="S295" s="615">
        <f t="shared" si="277"/>
        <v>8.3746</v>
      </c>
      <c r="T295" s="615">
        <f t="shared" si="278"/>
        <v>6.8768</v>
      </c>
      <c r="U295" s="616">
        <v>3.2118</v>
      </c>
      <c r="V295" s="616"/>
      <c r="W295" s="616">
        <v>2.09</v>
      </c>
      <c r="X295" s="616"/>
      <c r="Y295" s="616"/>
      <c r="Z295" s="616">
        <v>1.575</v>
      </c>
      <c r="AA295" s="615">
        <f t="shared" si="279"/>
        <v>1.4978</v>
      </c>
      <c r="AB295" s="616">
        <v>1.0478</v>
      </c>
      <c r="AC295" s="616"/>
      <c r="AD295" s="616"/>
      <c r="AE295" s="616">
        <f>0.3+0.15</f>
        <v>0.45</v>
      </c>
      <c r="AF295" s="616"/>
      <c r="AG295" s="615">
        <f t="shared" si="280"/>
        <v>61.2082</v>
      </c>
      <c r="AH295" s="615">
        <f t="shared" si="281"/>
        <v>50.3412</v>
      </c>
      <c r="AI295" s="616">
        <f t="shared" si="282"/>
        <v>27.0462</v>
      </c>
      <c r="AJ295" s="616">
        <f t="shared" si="283"/>
        <v>0</v>
      </c>
      <c r="AK295" s="616">
        <f t="shared" si="284"/>
        <v>11.87</v>
      </c>
      <c r="AL295" s="616">
        <f t="shared" si="285"/>
        <v>0</v>
      </c>
      <c r="AM295" s="616">
        <f t="shared" si="286"/>
        <v>0</v>
      </c>
      <c r="AN295" s="616">
        <f t="shared" si="287"/>
        <v>11.425</v>
      </c>
      <c r="AO295" s="615">
        <f t="shared" si="288"/>
        <v>10.867</v>
      </c>
      <c r="AP295" s="616">
        <f t="shared" si="289"/>
        <v>6.917</v>
      </c>
      <c r="AQ295" s="616">
        <f t="shared" si="290"/>
        <v>0</v>
      </c>
      <c r="AR295" s="616">
        <f t="shared" si="291"/>
        <v>0</v>
      </c>
      <c r="AS295" s="616">
        <f t="shared" si="292"/>
        <v>0.45</v>
      </c>
      <c r="AT295" s="637">
        <f t="shared" si="293"/>
        <v>3.5</v>
      </c>
      <c r="AU295" s="638">
        <f t="shared" si="330"/>
        <v>16.8989808</v>
      </c>
      <c r="AV295" s="616">
        <f t="shared" si="331"/>
        <v>6.317376</v>
      </c>
      <c r="AW295" s="616">
        <f t="shared" si="332"/>
        <v>3.158688</v>
      </c>
      <c r="AX295" s="616">
        <f t="shared" si="333"/>
        <v>2.369016</v>
      </c>
      <c r="AY295" s="616">
        <f t="shared" si="334"/>
        <v>0.0789672</v>
      </c>
      <c r="AZ295" s="616">
        <f t="shared" si="335"/>
        <v>0.2369016</v>
      </c>
      <c r="BA295" s="616">
        <f t="shared" si="336"/>
        <v>4.738032</v>
      </c>
      <c r="BB295" s="616"/>
      <c r="BC295" s="615">
        <f t="shared" si="294"/>
        <v>2.7176288</v>
      </c>
      <c r="BD295" s="616">
        <f t="shared" si="295"/>
        <v>1.015936</v>
      </c>
      <c r="BE295" s="616">
        <f t="shared" si="296"/>
        <v>0.507968</v>
      </c>
      <c r="BF295" s="616">
        <f t="shared" si="297"/>
        <v>0.380976</v>
      </c>
      <c r="BG295" s="616">
        <f t="shared" si="298"/>
        <v>0.0126992</v>
      </c>
      <c r="BH295" s="616">
        <f t="shared" si="299"/>
        <v>0.0380976</v>
      </c>
      <c r="BI295" s="616">
        <f t="shared" si="300"/>
        <v>0.761952</v>
      </c>
      <c r="BJ295" s="616"/>
      <c r="BK295" s="615">
        <f t="shared" si="301"/>
        <v>19.6166096</v>
      </c>
      <c r="BL295" s="616">
        <f t="shared" si="302"/>
        <v>7.333312</v>
      </c>
      <c r="BM295" s="616">
        <f t="shared" si="303"/>
        <v>3.666656</v>
      </c>
      <c r="BN295" s="616">
        <f t="shared" si="304"/>
        <v>2.749992</v>
      </c>
      <c r="BO295" s="616">
        <f t="shared" si="305"/>
        <v>0.0916664</v>
      </c>
      <c r="BP295" s="616">
        <f t="shared" si="306"/>
        <v>0.2749992</v>
      </c>
      <c r="BQ295" s="616">
        <f t="shared" si="307"/>
        <v>5.499984</v>
      </c>
      <c r="BR295" s="616">
        <f t="shared" si="308"/>
        <v>0</v>
      </c>
      <c r="BS295" s="304"/>
    </row>
    <row r="296" s="132" customFormat="1" ht="36" spans="1:71">
      <c r="A296" s="497" t="s">
        <v>202</v>
      </c>
      <c r="B296" s="497" t="s">
        <v>206</v>
      </c>
      <c r="C296" s="497" t="s">
        <v>615</v>
      </c>
      <c r="D296" s="497" t="s">
        <v>616</v>
      </c>
      <c r="E296" s="615">
        <f t="shared" si="327"/>
        <v>17.31</v>
      </c>
      <c r="F296" s="615">
        <f t="shared" si="328"/>
        <v>14.54</v>
      </c>
      <c r="G296" s="616">
        <v>8.76</v>
      </c>
      <c r="H296" s="616"/>
      <c r="I296" s="616">
        <v>2.95</v>
      </c>
      <c r="J296" s="616"/>
      <c r="K296" s="616"/>
      <c r="L296" s="616">
        <v>2.83</v>
      </c>
      <c r="M296" s="615">
        <f t="shared" si="329"/>
        <v>2.77</v>
      </c>
      <c r="N296" s="616">
        <v>1.77</v>
      </c>
      <c r="O296" s="616"/>
      <c r="P296" s="616"/>
      <c r="Q296" s="616"/>
      <c r="R296" s="616">
        <v>1</v>
      </c>
      <c r="S296" s="615">
        <f t="shared" si="277"/>
        <v>8.18</v>
      </c>
      <c r="T296" s="615">
        <f t="shared" si="278"/>
        <v>6.71</v>
      </c>
      <c r="U296" s="616">
        <v>3.86</v>
      </c>
      <c r="V296" s="616"/>
      <c r="W296" s="616">
        <v>1.37</v>
      </c>
      <c r="X296" s="616"/>
      <c r="Y296" s="616"/>
      <c r="Z296" s="616">
        <v>1.48</v>
      </c>
      <c r="AA296" s="615">
        <f t="shared" si="279"/>
        <v>1.47</v>
      </c>
      <c r="AB296" s="616">
        <v>0.82</v>
      </c>
      <c r="AC296" s="616"/>
      <c r="AD296" s="616"/>
      <c r="AE296" s="616">
        <v>0.15</v>
      </c>
      <c r="AF296" s="616">
        <v>0.5</v>
      </c>
      <c r="AG296" s="615">
        <f t="shared" si="280"/>
        <v>25.49</v>
      </c>
      <c r="AH296" s="615">
        <f t="shared" si="281"/>
        <v>21.25</v>
      </c>
      <c r="AI296" s="616">
        <f t="shared" si="282"/>
        <v>12.62</v>
      </c>
      <c r="AJ296" s="616">
        <f t="shared" si="283"/>
        <v>0</v>
      </c>
      <c r="AK296" s="616">
        <f t="shared" si="284"/>
        <v>4.32</v>
      </c>
      <c r="AL296" s="616">
        <f t="shared" si="285"/>
        <v>0</v>
      </c>
      <c r="AM296" s="616">
        <f t="shared" si="286"/>
        <v>0</v>
      </c>
      <c r="AN296" s="616">
        <f t="shared" si="287"/>
        <v>4.31</v>
      </c>
      <c r="AO296" s="615">
        <f t="shared" si="288"/>
        <v>4.24</v>
      </c>
      <c r="AP296" s="616">
        <f t="shared" si="289"/>
        <v>2.59</v>
      </c>
      <c r="AQ296" s="616">
        <f t="shared" si="290"/>
        <v>0</v>
      </c>
      <c r="AR296" s="616">
        <f t="shared" si="291"/>
        <v>0</v>
      </c>
      <c r="AS296" s="616">
        <f t="shared" si="292"/>
        <v>0.15</v>
      </c>
      <c r="AT296" s="637">
        <f t="shared" si="293"/>
        <v>1.5</v>
      </c>
      <c r="AU296" s="638">
        <f t="shared" si="330"/>
        <v>5.76944</v>
      </c>
      <c r="AV296" s="616">
        <f t="shared" si="331"/>
        <v>2.1568</v>
      </c>
      <c r="AW296" s="616">
        <f t="shared" si="332"/>
        <v>1.0784</v>
      </c>
      <c r="AX296" s="616">
        <f t="shared" si="333"/>
        <v>0.8088</v>
      </c>
      <c r="AY296" s="616">
        <f t="shared" si="334"/>
        <v>0.02696</v>
      </c>
      <c r="AZ296" s="616">
        <f t="shared" si="335"/>
        <v>0.08088</v>
      </c>
      <c r="BA296" s="616">
        <f t="shared" si="336"/>
        <v>1.6176</v>
      </c>
      <c r="BB296" s="616"/>
      <c r="BC296" s="615">
        <f t="shared" si="294"/>
        <v>2.5894</v>
      </c>
      <c r="BD296" s="616">
        <f t="shared" si="295"/>
        <v>0.968</v>
      </c>
      <c r="BE296" s="616">
        <f t="shared" si="296"/>
        <v>0.484</v>
      </c>
      <c r="BF296" s="616">
        <f t="shared" si="297"/>
        <v>0.363</v>
      </c>
      <c r="BG296" s="616">
        <f t="shared" si="298"/>
        <v>0.0121</v>
      </c>
      <c r="BH296" s="616">
        <f t="shared" si="299"/>
        <v>0.0363</v>
      </c>
      <c r="BI296" s="616">
        <f t="shared" si="300"/>
        <v>0.726</v>
      </c>
      <c r="BJ296" s="616"/>
      <c r="BK296" s="615">
        <f t="shared" si="301"/>
        <v>8.35884</v>
      </c>
      <c r="BL296" s="616">
        <f t="shared" si="302"/>
        <v>3.1248</v>
      </c>
      <c r="BM296" s="616">
        <f t="shared" si="303"/>
        <v>1.5624</v>
      </c>
      <c r="BN296" s="616">
        <f t="shared" si="304"/>
        <v>1.1718</v>
      </c>
      <c r="BO296" s="616">
        <f t="shared" si="305"/>
        <v>0.03906</v>
      </c>
      <c r="BP296" s="616">
        <f t="shared" si="306"/>
        <v>0.11718</v>
      </c>
      <c r="BQ296" s="616">
        <f t="shared" si="307"/>
        <v>2.3436</v>
      </c>
      <c r="BR296" s="616">
        <f t="shared" si="308"/>
        <v>0</v>
      </c>
      <c r="BS296" s="304"/>
    </row>
    <row r="297" s="132" customFormat="1" ht="36" spans="1:71">
      <c r="A297" s="497" t="s">
        <v>261</v>
      </c>
      <c r="B297" s="497" t="s">
        <v>206</v>
      </c>
      <c r="C297" s="497" t="s">
        <v>617</v>
      </c>
      <c r="D297" s="497" t="s">
        <v>616</v>
      </c>
      <c r="E297" s="615">
        <f t="shared" si="327"/>
        <v>145.7352</v>
      </c>
      <c r="F297" s="615">
        <f t="shared" si="328"/>
        <v>96.8952</v>
      </c>
      <c r="G297" s="616">
        <v>57.19</v>
      </c>
      <c r="H297" s="616">
        <v>1.88</v>
      </c>
      <c r="I297" s="616">
        <v>18.8652</v>
      </c>
      <c r="J297" s="616"/>
      <c r="K297" s="616"/>
      <c r="L297" s="616">
        <v>18.96</v>
      </c>
      <c r="M297" s="615">
        <f t="shared" si="329"/>
        <v>48.84</v>
      </c>
      <c r="N297" s="616">
        <v>11.32</v>
      </c>
      <c r="O297" s="616"/>
      <c r="P297" s="616">
        <v>30.52</v>
      </c>
      <c r="Q297" s="616"/>
      <c r="R297" s="616">
        <v>7</v>
      </c>
      <c r="S297" s="615">
        <f t="shared" si="277"/>
        <v>-2.11</v>
      </c>
      <c r="T297" s="615">
        <f t="shared" si="278"/>
        <v>-3.43</v>
      </c>
      <c r="U297" s="616">
        <v>-3.18</v>
      </c>
      <c r="V297" s="616">
        <v>-0.12</v>
      </c>
      <c r="W297" s="616"/>
      <c r="X297" s="616"/>
      <c r="Y297" s="616"/>
      <c r="Z297" s="616">
        <v>-0.13</v>
      </c>
      <c r="AA297" s="615">
        <f t="shared" si="279"/>
        <v>1.32</v>
      </c>
      <c r="AB297" s="616">
        <v>-0.21</v>
      </c>
      <c r="AC297" s="616"/>
      <c r="AD297" s="616">
        <v>0.97</v>
      </c>
      <c r="AE297" s="616">
        <v>0.3</v>
      </c>
      <c r="AF297" s="616">
        <v>0.26</v>
      </c>
      <c r="AG297" s="615">
        <f t="shared" si="280"/>
        <v>143.6252</v>
      </c>
      <c r="AH297" s="615">
        <f t="shared" si="281"/>
        <v>93.4652</v>
      </c>
      <c r="AI297" s="616">
        <f t="shared" si="282"/>
        <v>54.01</v>
      </c>
      <c r="AJ297" s="616">
        <f t="shared" si="283"/>
        <v>1.76</v>
      </c>
      <c r="AK297" s="616">
        <f t="shared" si="284"/>
        <v>18.8652</v>
      </c>
      <c r="AL297" s="616">
        <f t="shared" si="285"/>
        <v>0</v>
      </c>
      <c r="AM297" s="616">
        <f t="shared" si="286"/>
        <v>0</v>
      </c>
      <c r="AN297" s="616">
        <f t="shared" si="287"/>
        <v>18.83</v>
      </c>
      <c r="AO297" s="615">
        <f t="shared" si="288"/>
        <v>50.16</v>
      </c>
      <c r="AP297" s="616">
        <f t="shared" si="289"/>
        <v>11.11</v>
      </c>
      <c r="AQ297" s="616">
        <f t="shared" si="290"/>
        <v>0</v>
      </c>
      <c r="AR297" s="616">
        <f t="shared" si="291"/>
        <v>31.49</v>
      </c>
      <c r="AS297" s="616">
        <f t="shared" si="292"/>
        <v>0.3</v>
      </c>
      <c r="AT297" s="637">
        <f t="shared" si="293"/>
        <v>7.26</v>
      </c>
      <c r="AU297" s="638">
        <f t="shared" si="330"/>
        <v>38.2012256</v>
      </c>
      <c r="AV297" s="616">
        <f t="shared" si="331"/>
        <v>14.280832</v>
      </c>
      <c r="AW297" s="616">
        <f t="shared" si="332"/>
        <v>7.140416</v>
      </c>
      <c r="AX297" s="616">
        <f t="shared" si="333"/>
        <v>5.355312</v>
      </c>
      <c r="AY297" s="616">
        <f t="shared" si="334"/>
        <v>0.1785104</v>
      </c>
      <c r="AZ297" s="616">
        <f t="shared" si="335"/>
        <v>0.5355312</v>
      </c>
      <c r="BA297" s="616">
        <f t="shared" si="336"/>
        <v>10.710624</v>
      </c>
      <c r="BB297" s="616"/>
      <c r="BC297" s="615">
        <f t="shared" si="294"/>
        <v>-1.50228</v>
      </c>
      <c r="BD297" s="616">
        <f t="shared" si="295"/>
        <v>-0.5616</v>
      </c>
      <c r="BE297" s="616">
        <f t="shared" si="296"/>
        <v>-0.2808</v>
      </c>
      <c r="BF297" s="616">
        <f t="shared" si="297"/>
        <v>-0.2106</v>
      </c>
      <c r="BG297" s="616">
        <f t="shared" si="298"/>
        <v>-0.00702</v>
      </c>
      <c r="BH297" s="616">
        <f t="shared" si="299"/>
        <v>-0.02106</v>
      </c>
      <c r="BI297" s="616">
        <f t="shared" si="300"/>
        <v>-0.4212</v>
      </c>
      <c r="BJ297" s="616"/>
      <c r="BK297" s="615">
        <f t="shared" si="301"/>
        <v>36.6989456</v>
      </c>
      <c r="BL297" s="616">
        <f t="shared" si="302"/>
        <v>13.719232</v>
      </c>
      <c r="BM297" s="616">
        <f t="shared" si="303"/>
        <v>6.859616</v>
      </c>
      <c r="BN297" s="616">
        <f t="shared" si="304"/>
        <v>5.144712</v>
      </c>
      <c r="BO297" s="616">
        <f t="shared" si="305"/>
        <v>0.1714904</v>
      </c>
      <c r="BP297" s="616">
        <f t="shared" si="306"/>
        <v>0.5144712</v>
      </c>
      <c r="BQ297" s="616">
        <f t="shared" si="307"/>
        <v>10.289424</v>
      </c>
      <c r="BR297" s="616">
        <f t="shared" si="308"/>
        <v>0</v>
      </c>
      <c r="BS297" s="304"/>
    </row>
    <row r="298" s="508" customFormat="1" ht="21" customHeight="1" spans="1:72">
      <c r="A298" s="647"/>
      <c r="B298" s="647"/>
      <c r="C298" s="647" t="s">
        <v>139</v>
      </c>
      <c r="D298" s="648">
        <v>216</v>
      </c>
      <c r="E298" s="612">
        <f t="shared" ref="E298:Z298" si="337">SUM(E299:E300)</f>
        <v>19.4</v>
      </c>
      <c r="F298" s="612">
        <f t="shared" si="337"/>
        <v>16.56</v>
      </c>
      <c r="G298" s="612">
        <f t="shared" si="337"/>
        <v>10.52</v>
      </c>
      <c r="H298" s="612">
        <f t="shared" si="337"/>
        <v>0</v>
      </c>
      <c r="I298" s="612">
        <f t="shared" si="337"/>
        <v>3.06</v>
      </c>
      <c r="J298" s="612">
        <f t="shared" si="337"/>
        <v>0</v>
      </c>
      <c r="K298" s="612">
        <f t="shared" si="337"/>
        <v>0</v>
      </c>
      <c r="L298" s="612">
        <f t="shared" si="337"/>
        <v>2.98</v>
      </c>
      <c r="M298" s="612">
        <f t="shared" si="337"/>
        <v>2.84</v>
      </c>
      <c r="N298" s="612">
        <f t="shared" si="337"/>
        <v>1.84</v>
      </c>
      <c r="O298" s="612">
        <f t="shared" si="337"/>
        <v>0</v>
      </c>
      <c r="P298" s="612">
        <f t="shared" si="337"/>
        <v>0</v>
      </c>
      <c r="Q298" s="612">
        <f t="shared" si="337"/>
        <v>0</v>
      </c>
      <c r="R298" s="612">
        <f t="shared" si="337"/>
        <v>1</v>
      </c>
      <c r="S298" s="612">
        <f t="shared" ref="S298:AF298" si="338">SUM(S299:S300)</f>
        <v>1.05</v>
      </c>
      <c r="T298" s="612">
        <f t="shared" si="338"/>
        <v>0.79</v>
      </c>
      <c r="U298" s="612">
        <f t="shared" si="338"/>
        <v>0.64</v>
      </c>
      <c r="V298" s="612">
        <f t="shared" si="338"/>
        <v>0</v>
      </c>
      <c r="W298" s="612">
        <f t="shared" si="338"/>
        <v>0</v>
      </c>
      <c r="X298" s="612">
        <f t="shared" si="338"/>
        <v>0</v>
      </c>
      <c r="Y298" s="612">
        <f t="shared" si="338"/>
        <v>0</v>
      </c>
      <c r="Z298" s="612">
        <f t="shared" si="338"/>
        <v>0.15</v>
      </c>
      <c r="AA298" s="612">
        <f t="shared" si="338"/>
        <v>0.26</v>
      </c>
      <c r="AB298" s="612">
        <v>-0.21</v>
      </c>
      <c r="AC298" s="612"/>
      <c r="AD298" s="612">
        <v>0.97</v>
      </c>
      <c r="AE298" s="612">
        <v>0.3</v>
      </c>
      <c r="AF298" s="612"/>
      <c r="AG298" s="612">
        <f t="shared" ref="AG298:BB298" si="339">SUM(AG299:AG300)</f>
        <v>20.45</v>
      </c>
      <c r="AH298" s="612">
        <f t="shared" si="339"/>
        <v>17.35</v>
      </c>
      <c r="AI298" s="612">
        <f t="shared" si="339"/>
        <v>11.16</v>
      </c>
      <c r="AJ298" s="612">
        <f t="shared" si="339"/>
        <v>0</v>
      </c>
      <c r="AK298" s="612">
        <f t="shared" si="339"/>
        <v>3.06</v>
      </c>
      <c r="AL298" s="612">
        <f t="shared" si="339"/>
        <v>0</v>
      </c>
      <c r="AM298" s="612">
        <f t="shared" si="339"/>
        <v>0</v>
      </c>
      <c r="AN298" s="612">
        <f t="shared" si="339"/>
        <v>3.13</v>
      </c>
      <c r="AO298" s="612">
        <f t="shared" si="339"/>
        <v>3.1</v>
      </c>
      <c r="AP298" s="612">
        <f t="shared" si="339"/>
        <v>1.95</v>
      </c>
      <c r="AQ298" s="612">
        <f t="shared" si="339"/>
        <v>0</v>
      </c>
      <c r="AR298" s="612">
        <f t="shared" si="339"/>
        <v>0</v>
      </c>
      <c r="AS298" s="612">
        <f t="shared" si="339"/>
        <v>0.15</v>
      </c>
      <c r="AT298" s="635">
        <f t="shared" si="339"/>
        <v>1</v>
      </c>
      <c r="AU298" s="636">
        <f t="shared" si="339"/>
        <v>6.59976</v>
      </c>
      <c r="AV298" s="612">
        <f t="shared" si="339"/>
        <v>2.4672</v>
      </c>
      <c r="AW298" s="612">
        <f t="shared" si="339"/>
        <v>1.2336</v>
      </c>
      <c r="AX298" s="612">
        <f t="shared" si="339"/>
        <v>0.9252</v>
      </c>
      <c r="AY298" s="612">
        <f t="shared" si="339"/>
        <v>0.03084</v>
      </c>
      <c r="AZ298" s="612">
        <f t="shared" si="339"/>
        <v>0.09252</v>
      </c>
      <c r="BA298" s="612">
        <f t="shared" si="339"/>
        <v>1.8504</v>
      </c>
      <c r="BB298" s="612">
        <f t="shared" si="339"/>
        <v>0</v>
      </c>
      <c r="BC298" s="612">
        <f t="shared" ref="BC298:BR298" si="340">SUM(BC299:BC300)</f>
        <v>0.321</v>
      </c>
      <c r="BD298" s="612">
        <f t="shared" si="340"/>
        <v>0.12</v>
      </c>
      <c r="BE298" s="612">
        <f t="shared" si="340"/>
        <v>0.06</v>
      </c>
      <c r="BF298" s="612">
        <f t="shared" si="340"/>
        <v>0.045</v>
      </c>
      <c r="BG298" s="612">
        <f t="shared" si="340"/>
        <v>0.0015</v>
      </c>
      <c r="BH298" s="612">
        <f t="shared" si="340"/>
        <v>0.0045</v>
      </c>
      <c r="BI298" s="612">
        <f t="shared" si="340"/>
        <v>0.09</v>
      </c>
      <c r="BJ298" s="612">
        <f t="shared" si="340"/>
        <v>0</v>
      </c>
      <c r="BK298" s="612">
        <f t="shared" si="340"/>
        <v>6.92076</v>
      </c>
      <c r="BL298" s="612">
        <f t="shared" si="340"/>
        <v>2.5872</v>
      </c>
      <c r="BM298" s="612">
        <f t="shared" si="340"/>
        <v>1.2936</v>
      </c>
      <c r="BN298" s="612">
        <f t="shared" si="340"/>
        <v>0.9702</v>
      </c>
      <c r="BO298" s="612">
        <f t="shared" si="340"/>
        <v>0.03234</v>
      </c>
      <c r="BP298" s="612">
        <f t="shared" si="340"/>
        <v>0.09702</v>
      </c>
      <c r="BQ298" s="612">
        <f t="shared" si="340"/>
        <v>1.9404</v>
      </c>
      <c r="BR298" s="612">
        <f t="shared" si="340"/>
        <v>0</v>
      </c>
      <c r="BS298" s="334"/>
      <c r="BT298" s="653"/>
    </row>
    <row r="299" s="131" customFormat="1" ht="24" spans="1:71">
      <c r="A299" s="497" t="s">
        <v>261</v>
      </c>
      <c r="B299" s="497" t="s">
        <v>203</v>
      </c>
      <c r="C299" s="497" t="s">
        <v>618</v>
      </c>
      <c r="D299" s="497" t="s">
        <v>619</v>
      </c>
      <c r="E299" s="617">
        <f t="shared" ref="E299:E308" si="341">F299+M299</f>
        <v>0</v>
      </c>
      <c r="F299" s="617">
        <f t="shared" ref="F299:F308" si="342">SUM(G299:L299)</f>
        <v>0</v>
      </c>
      <c r="G299" s="618"/>
      <c r="H299" s="618"/>
      <c r="I299" s="618"/>
      <c r="J299" s="618"/>
      <c r="K299" s="618"/>
      <c r="L299" s="618"/>
      <c r="M299" s="617">
        <f t="shared" ref="M299:M308" si="343">SUM(N299:R299)</f>
        <v>0</v>
      </c>
      <c r="N299" s="618"/>
      <c r="O299" s="618"/>
      <c r="P299" s="618"/>
      <c r="Q299" s="618"/>
      <c r="R299" s="618"/>
      <c r="S299" s="615">
        <f t="shared" si="277"/>
        <v>0</v>
      </c>
      <c r="T299" s="615">
        <f t="shared" si="278"/>
        <v>0</v>
      </c>
      <c r="U299" s="616"/>
      <c r="V299" s="616"/>
      <c r="W299" s="616"/>
      <c r="X299" s="616"/>
      <c r="Y299" s="616"/>
      <c r="Z299" s="616"/>
      <c r="AA299" s="615">
        <f t="shared" si="279"/>
        <v>0</v>
      </c>
      <c r="AB299" s="616"/>
      <c r="AC299" s="616"/>
      <c r="AD299" s="616"/>
      <c r="AE299" s="616"/>
      <c r="AF299" s="616"/>
      <c r="AG299" s="615">
        <f t="shared" si="280"/>
        <v>0</v>
      </c>
      <c r="AH299" s="615">
        <f t="shared" si="281"/>
        <v>0</v>
      </c>
      <c r="AI299" s="616">
        <f t="shared" si="282"/>
        <v>0</v>
      </c>
      <c r="AJ299" s="616">
        <f t="shared" si="283"/>
        <v>0</v>
      </c>
      <c r="AK299" s="616">
        <f t="shared" si="284"/>
        <v>0</v>
      </c>
      <c r="AL299" s="616">
        <f t="shared" si="285"/>
        <v>0</v>
      </c>
      <c r="AM299" s="616">
        <f t="shared" si="286"/>
        <v>0</v>
      </c>
      <c r="AN299" s="616">
        <f t="shared" si="287"/>
        <v>0</v>
      </c>
      <c r="AO299" s="615">
        <f t="shared" si="288"/>
        <v>0</v>
      </c>
      <c r="AP299" s="616">
        <f t="shared" si="289"/>
        <v>0</v>
      </c>
      <c r="AQ299" s="616">
        <f t="shared" si="290"/>
        <v>0</v>
      </c>
      <c r="AR299" s="616">
        <f t="shared" si="291"/>
        <v>0</v>
      </c>
      <c r="AS299" s="616">
        <f t="shared" si="292"/>
        <v>0</v>
      </c>
      <c r="AT299" s="637">
        <f t="shared" si="293"/>
        <v>0</v>
      </c>
      <c r="AU299" s="639">
        <f t="shared" ref="AU299:AU308" si="344">SUM(AV299:BB299)</f>
        <v>0</v>
      </c>
      <c r="AV299" s="618">
        <f>(G299+H299+I299+N299)*0.16</f>
        <v>0</v>
      </c>
      <c r="AW299" s="618">
        <f>(G299+H299+I299+N299)*0.08</f>
        <v>0</v>
      </c>
      <c r="AX299" s="618">
        <f>(G299+H299+I299+N299)*0.06</f>
        <v>0</v>
      </c>
      <c r="AY299" s="618">
        <f>(G299+H299+I299+N299)*0.002</f>
        <v>0</v>
      </c>
      <c r="AZ299" s="618">
        <f>(G299+H299+I299+N299)*0.006</f>
        <v>0</v>
      </c>
      <c r="BA299" s="618">
        <f>(G299+H299+I299+N299)*0.12</f>
        <v>0</v>
      </c>
      <c r="BB299" s="618"/>
      <c r="BC299" s="615">
        <f t="shared" si="294"/>
        <v>0</v>
      </c>
      <c r="BD299" s="616">
        <f t="shared" si="295"/>
        <v>0</v>
      </c>
      <c r="BE299" s="616">
        <f t="shared" si="296"/>
        <v>0</v>
      </c>
      <c r="BF299" s="616">
        <f t="shared" si="297"/>
        <v>0</v>
      </c>
      <c r="BG299" s="616">
        <f t="shared" si="298"/>
        <v>0</v>
      </c>
      <c r="BH299" s="616">
        <f t="shared" si="299"/>
        <v>0</v>
      </c>
      <c r="BI299" s="616">
        <f t="shared" si="300"/>
        <v>0</v>
      </c>
      <c r="BJ299" s="616"/>
      <c r="BK299" s="615">
        <f t="shared" si="301"/>
        <v>0</v>
      </c>
      <c r="BL299" s="616">
        <f t="shared" si="302"/>
        <v>0</v>
      </c>
      <c r="BM299" s="616">
        <f t="shared" si="303"/>
        <v>0</v>
      </c>
      <c r="BN299" s="616">
        <f t="shared" si="304"/>
        <v>0</v>
      </c>
      <c r="BO299" s="616">
        <f t="shared" si="305"/>
        <v>0</v>
      </c>
      <c r="BP299" s="616">
        <f t="shared" si="306"/>
        <v>0</v>
      </c>
      <c r="BQ299" s="616">
        <f t="shared" si="307"/>
        <v>0</v>
      </c>
      <c r="BR299" s="616">
        <f t="shared" si="308"/>
        <v>0</v>
      </c>
      <c r="BS299" s="304"/>
    </row>
    <row r="300" s="131" customFormat="1" ht="24" spans="1:71">
      <c r="A300" s="497" t="s">
        <v>261</v>
      </c>
      <c r="B300" s="497" t="s">
        <v>206</v>
      </c>
      <c r="C300" s="497" t="s">
        <v>620</v>
      </c>
      <c r="D300" s="497" t="s">
        <v>621</v>
      </c>
      <c r="E300" s="617">
        <f t="shared" si="341"/>
        <v>19.4</v>
      </c>
      <c r="F300" s="617">
        <f t="shared" si="342"/>
        <v>16.56</v>
      </c>
      <c r="G300" s="619">
        <v>10.52</v>
      </c>
      <c r="H300" s="619"/>
      <c r="I300" s="619">
        <v>3.06</v>
      </c>
      <c r="J300" s="618"/>
      <c r="K300" s="618"/>
      <c r="L300" s="618">
        <v>2.98</v>
      </c>
      <c r="M300" s="617">
        <f t="shared" si="343"/>
        <v>2.84</v>
      </c>
      <c r="N300" s="619">
        <v>1.84</v>
      </c>
      <c r="O300" s="618"/>
      <c r="P300" s="618"/>
      <c r="Q300" s="618"/>
      <c r="R300" s="618">
        <v>1</v>
      </c>
      <c r="S300" s="615">
        <f t="shared" si="277"/>
        <v>1.05</v>
      </c>
      <c r="T300" s="615">
        <f t="shared" si="278"/>
        <v>0.79</v>
      </c>
      <c r="U300" s="616">
        <v>0.64</v>
      </c>
      <c r="V300" s="616"/>
      <c r="W300" s="616"/>
      <c r="X300" s="616"/>
      <c r="Y300" s="616"/>
      <c r="Z300" s="616">
        <v>0.15</v>
      </c>
      <c r="AA300" s="615">
        <f t="shared" si="279"/>
        <v>0.26</v>
      </c>
      <c r="AB300" s="616">
        <v>0.11</v>
      </c>
      <c r="AC300" s="616"/>
      <c r="AD300" s="616"/>
      <c r="AE300" s="616">
        <v>0.15</v>
      </c>
      <c r="AF300" s="616"/>
      <c r="AG300" s="615">
        <f t="shared" si="280"/>
        <v>20.45</v>
      </c>
      <c r="AH300" s="615">
        <f t="shared" si="281"/>
        <v>17.35</v>
      </c>
      <c r="AI300" s="616">
        <f t="shared" si="282"/>
        <v>11.16</v>
      </c>
      <c r="AJ300" s="616">
        <f t="shared" si="283"/>
        <v>0</v>
      </c>
      <c r="AK300" s="616">
        <f t="shared" si="284"/>
        <v>3.06</v>
      </c>
      <c r="AL300" s="616">
        <f t="shared" si="285"/>
        <v>0</v>
      </c>
      <c r="AM300" s="616">
        <f t="shared" si="286"/>
        <v>0</v>
      </c>
      <c r="AN300" s="616">
        <f t="shared" si="287"/>
        <v>3.13</v>
      </c>
      <c r="AO300" s="615">
        <f t="shared" si="288"/>
        <v>3.1</v>
      </c>
      <c r="AP300" s="616">
        <f t="shared" si="289"/>
        <v>1.95</v>
      </c>
      <c r="AQ300" s="616">
        <f t="shared" si="290"/>
        <v>0</v>
      </c>
      <c r="AR300" s="616">
        <f t="shared" si="291"/>
        <v>0</v>
      </c>
      <c r="AS300" s="616">
        <f t="shared" si="292"/>
        <v>0.15</v>
      </c>
      <c r="AT300" s="637">
        <f t="shared" si="293"/>
        <v>1</v>
      </c>
      <c r="AU300" s="639">
        <f t="shared" si="344"/>
        <v>6.59976</v>
      </c>
      <c r="AV300" s="618">
        <f>(G300+H300+I300+N300)*0.16</f>
        <v>2.4672</v>
      </c>
      <c r="AW300" s="618">
        <f>(G300+H300+I300+N300)*0.08</f>
        <v>1.2336</v>
      </c>
      <c r="AX300" s="618">
        <f>(G300+H300+I300+N300)*0.06</f>
        <v>0.9252</v>
      </c>
      <c r="AY300" s="618">
        <f>(G300+H300+I300+N300)*0.002</f>
        <v>0.03084</v>
      </c>
      <c r="AZ300" s="618">
        <f>(G300+H300+I300+N300)*0.006</f>
        <v>0.09252</v>
      </c>
      <c r="BA300" s="618">
        <f>(G300+H300+I300+N300)*0.12</f>
        <v>1.8504</v>
      </c>
      <c r="BB300" s="618"/>
      <c r="BC300" s="615">
        <f t="shared" si="294"/>
        <v>0.321</v>
      </c>
      <c r="BD300" s="616">
        <f t="shared" si="295"/>
        <v>0.12</v>
      </c>
      <c r="BE300" s="616">
        <f t="shared" si="296"/>
        <v>0.06</v>
      </c>
      <c r="BF300" s="616">
        <f t="shared" si="297"/>
        <v>0.045</v>
      </c>
      <c r="BG300" s="616">
        <f t="shared" si="298"/>
        <v>0.0015</v>
      </c>
      <c r="BH300" s="616">
        <f t="shared" si="299"/>
        <v>0.0045</v>
      </c>
      <c r="BI300" s="616">
        <f t="shared" si="300"/>
        <v>0.09</v>
      </c>
      <c r="BJ300" s="616"/>
      <c r="BK300" s="615">
        <f t="shared" si="301"/>
        <v>6.92076</v>
      </c>
      <c r="BL300" s="616">
        <f t="shared" si="302"/>
        <v>2.5872</v>
      </c>
      <c r="BM300" s="616">
        <f t="shared" si="303"/>
        <v>1.2936</v>
      </c>
      <c r="BN300" s="616">
        <f t="shared" si="304"/>
        <v>0.9702</v>
      </c>
      <c r="BO300" s="616">
        <f t="shared" si="305"/>
        <v>0.03234</v>
      </c>
      <c r="BP300" s="616">
        <f t="shared" si="306"/>
        <v>0.09702</v>
      </c>
      <c r="BQ300" s="616">
        <f t="shared" si="307"/>
        <v>1.9404</v>
      </c>
      <c r="BR300" s="616">
        <f t="shared" si="308"/>
        <v>0</v>
      </c>
      <c r="BS300" s="304"/>
    </row>
    <row r="301" s="508" customFormat="1" ht="21" customHeight="1" spans="1:72">
      <c r="A301" s="647"/>
      <c r="B301" s="647"/>
      <c r="C301" s="647" t="s">
        <v>142</v>
      </c>
      <c r="D301" s="648">
        <v>220</v>
      </c>
      <c r="E301" s="612">
        <f t="shared" ref="E301:Z301" si="345">SUM(E302:E308)</f>
        <v>868.49312</v>
      </c>
      <c r="F301" s="612">
        <f t="shared" si="345"/>
        <v>629.4304</v>
      </c>
      <c r="G301" s="612">
        <f t="shared" si="345"/>
        <v>340.6516</v>
      </c>
      <c r="H301" s="612">
        <f t="shared" si="345"/>
        <v>47.15</v>
      </c>
      <c r="I301" s="612">
        <f t="shared" si="345"/>
        <v>108.5688</v>
      </c>
      <c r="J301" s="612">
        <f t="shared" si="345"/>
        <v>2.76</v>
      </c>
      <c r="K301" s="612">
        <f t="shared" si="345"/>
        <v>0</v>
      </c>
      <c r="L301" s="612">
        <f t="shared" si="345"/>
        <v>130.3</v>
      </c>
      <c r="M301" s="612">
        <f t="shared" si="345"/>
        <v>239.06272</v>
      </c>
      <c r="N301" s="612">
        <f t="shared" si="345"/>
        <v>78.53272</v>
      </c>
      <c r="O301" s="612">
        <f t="shared" si="345"/>
        <v>39.74</v>
      </c>
      <c r="P301" s="612">
        <f t="shared" si="345"/>
        <v>76.29</v>
      </c>
      <c r="Q301" s="612">
        <f t="shared" si="345"/>
        <v>0</v>
      </c>
      <c r="R301" s="612">
        <f t="shared" si="345"/>
        <v>44.5</v>
      </c>
      <c r="S301" s="612">
        <f t="shared" ref="S301:AF301" si="346">SUM(S302:S308)</f>
        <v>21.695</v>
      </c>
      <c r="T301" s="612">
        <f t="shared" si="346"/>
        <v>-9.8808</v>
      </c>
      <c r="U301" s="612">
        <f t="shared" si="346"/>
        <v>-9.001</v>
      </c>
      <c r="V301" s="612">
        <f t="shared" si="346"/>
        <v>0</v>
      </c>
      <c r="W301" s="612">
        <f t="shared" si="346"/>
        <v>2.29</v>
      </c>
      <c r="X301" s="612">
        <f t="shared" si="346"/>
        <v>0</v>
      </c>
      <c r="Y301" s="612">
        <f t="shared" si="346"/>
        <v>0</v>
      </c>
      <c r="Z301" s="612">
        <f t="shared" si="346"/>
        <v>-3.1698</v>
      </c>
      <c r="AA301" s="612">
        <f t="shared" si="346"/>
        <v>31.5758</v>
      </c>
      <c r="AB301" s="612">
        <f t="shared" si="346"/>
        <v>-1.6942</v>
      </c>
      <c r="AC301" s="612">
        <f t="shared" si="346"/>
        <v>0</v>
      </c>
      <c r="AD301" s="612">
        <f t="shared" si="346"/>
        <v>31.18</v>
      </c>
      <c r="AE301" s="612">
        <f t="shared" si="346"/>
        <v>2.4</v>
      </c>
      <c r="AF301" s="612">
        <f t="shared" si="346"/>
        <v>-0.31</v>
      </c>
      <c r="AG301" s="612">
        <f t="shared" ref="AG301:BB301" si="347">SUM(AG302:AG308)</f>
        <v>890.18812</v>
      </c>
      <c r="AH301" s="612">
        <f t="shared" si="347"/>
        <v>619.5496</v>
      </c>
      <c r="AI301" s="612">
        <f t="shared" si="347"/>
        <v>331.6506</v>
      </c>
      <c r="AJ301" s="612">
        <f t="shared" si="347"/>
        <v>47.15</v>
      </c>
      <c r="AK301" s="612">
        <f t="shared" si="347"/>
        <v>110.8588</v>
      </c>
      <c r="AL301" s="612">
        <f t="shared" si="347"/>
        <v>2.76</v>
      </c>
      <c r="AM301" s="612">
        <f t="shared" si="347"/>
        <v>0</v>
      </c>
      <c r="AN301" s="612">
        <f t="shared" si="347"/>
        <v>127.1302</v>
      </c>
      <c r="AO301" s="612">
        <f t="shared" si="347"/>
        <v>270.63852</v>
      </c>
      <c r="AP301" s="612">
        <f t="shared" si="347"/>
        <v>76.83852</v>
      </c>
      <c r="AQ301" s="612">
        <f t="shared" si="347"/>
        <v>39.74</v>
      </c>
      <c r="AR301" s="612">
        <f t="shared" si="347"/>
        <v>107.47</v>
      </c>
      <c r="AS301" s="612">
        <f t="shared" si="347"/>
        <v>2.4</v>
      </c>
      <c r="AT301" s="635">
        <f t="shared" si="347"/>
        <v>44.19</v>
      </c>
      <c r="AU301" s="636">
        <f t="shared" si="347"/>
        <v>246.05853536</v>
      </c>
      <c r="AV301" s="612">
        <f t="shared" si="347"/>
        <v>91.9844992</v>
      </c>
      <c r="AW301" s="612">
        <f t="shared" si="347"/>
        <v>45.9922496</v>
      </c>
      <c r="AX301" s="612">
        <f t="shared" si="347"/>
        <v>34.4941872</v>
      </c>
      <c r="AY301" s="612">
        <f t="shared" si="347"/>
        <v>1.14980624</v>
      </c>
      <c r="AZ301" s="612">
        <f t="shared" si="347"/>
        <v>3.44941872</v>
      </c>
      <c r="BA301" s="612">
        <f t="shared" si="347"/>
        <v>68.9883744</v>
      </c>
      <c r="BB301" s="612">
        <f t="shared" si="347"/>
        <v>0</v>
      </c>
      <c r="BC301" s="612">
        <f t="shared" ref="BC301:BR301" si="348">SUM(BC302:BC308)</f>
        <v>-3.5974256</v>
      </c>
      <c r="BD301" s="612">
        <f t="shared" si="348"/>
        <v>-1.344832</v>
      </c>
      <c r="BE301" s="612">
        <f t="shared" si="348"/>
        <v>-0.672416</v>
      </c>
      <c r="BF301" s="612">
        <f t="shared" si="348"/>
        <v>-0.504312</v>
      </c>
      <c r="BG301" s="612">
        <f t="shared" si="348"/>
        <v>-0.0168104</v>
      </c>
      <c r="BH301" s="612">
        <f t="shared" si="348"/>
        <v>-0.0504312</v>
      </c>
      <c r="BI301" s="612">
        <f t="shared" si="348"/>
        <v>-1.008624</v>
      </c>
      <c r="BJ301" s="612">
        <f t="shared" si="348"/>
        <v>0</v>
      </c>
      <c r="BK301" s="612">
        <f t="shared" si="348"/>
        <v>242.46110976</v>
      </c>
      <c r="BL301" s="612">
        <f t="shared" si="348"/>
        <v>90.6396672</v>
      </c>
      <c r="BM301" s="612">
        <f t="shared" si="348"/>
        <v>45.3198336</v>
      </c>
      <c r="BN301" s="612">
        <f t="shared" si="348"/>
        <v>33.9898752</v>
      </c>
      <c r="BO301" s="612">
        <f t="shared" si="348"/>
        <v>1.13299584</v>
      </c>
      <c r="BP301" s="612">
        <f t="shared" si="348"/>
        <v>3.39898752</v>
      </c>
      <c r="BQ301" s="612">
        <f t="shared" si="348"/>
        <v>67.9797504</v>
      </c>
      <c r="BR301" s="612">
        <f t="shared" si="348"/>
        <v>0</v>
      </c>
      <c r="BS301" s="334"/>
      <c r="BT301" s="653"/>
    </row>
    <row r="302" s="131" customFormat="1" ht="24" spans="1:71">
      <c r="A302" s="497" t="s">
        <v>590</v>
      </c>
      <c r="B302" s="497" t="s">
        <v>203</v>
      </c>
      <c r="C302" s="497" t="s">
        <v>622</v>
      </c>
      <c r="D302" s="497" t="s">
        <v>623</v>
      </c>
      <c r="E302" s="617">
        <f t="shared" si="341"/>
        <v>0</v>
      </c>
      <c r="F302" s="617">
        <f t="shared" si="342"/>
        <v>0</v>
      </c>
      <c r="G302" s="618"/>
      <c r="H302" s="618"/>
      <c r="I302" s="618"/>
      <c r="J302" s="618"/>
      <c r="K302" s="618"/>
      <c r="L302" s="618"/>
      <c r="M302" s="617">
        <f t="shared" si="343"/>
        <v>0</v>
      </c>
      <c r="N302" s="618"/>
      <c r="O302" s="618"/>
      <c r="P302" s="618"/>
      <c r="Q302" s="618"/>
      <c r="R302" s="618"/>
      <c r="S302" s="615">
        <f t="shared" si="277"/>
        <v>0</v>
      </c>
      <c r="T302" s="615">
        <f t="shared" si="278"/>
        <v>0</v>
      </c>
      <c r="U302" s="616"/>
      <c r="V302" s="616"/>
      <c r="W302" s="616"/>
      <c r="X302" s="616"/>
      <c r="Y302" s="616"/>
      <c r="Z302" s="616"/>
      <c r="AA302" s="615">
        <f t="shared" si="279"/>
        <v>0</v>
      </c>
      <c r="AB302" s="616"/>
      <c r="AC302" s="616"/>
      <c r="AD302" s="616"/>
      <c r="AE302" s="616"/>
      <c r="AF302" s="616"/>
      <c r="AG302" s="615">
        <f t="shared" si="280"/>
        <v>0</v>
      </c>
      <c r="AH302" s="615">
        <f t="shared" si="281"/>
        <v>0</v>
      </c>
      <c r="AI302" s="616">
        <f t="shared" si="282"/>
        <v>0</v>
      </c>
      <c r="AJ302" s="616">
        <f t="shared" si="283"/>
        <v>0</v>
      </c>
      <c r="AK302" s="616">
        <f t="shared" si="284"/>
        <v>0</v>
      </c>
      <c r="AL302" s="616">
        <f t="shared" si="285"/>
        <v>0</v>
      </c>
      <c r="AM302" s="616">
        <f t="shared" si="286"/>
        <v>0</v>
      </c>
      <c r="AN302" s="616">
        <f t="shared" si="287"/>
        <v>0</v>
      </c>
      <c r="AO302" s="615">
        <f t="shared" si="288"/>
        <v>0</v>
      </c>
      <c r="AP302" s="616">
        <f t="shared" si="289"/>
        <v>0</v>
      </c>
      <c r="AQ302" s="616">
        <f t="shared" si="290"/>
        <v>0</v>
      </c>
      <c r="AR302" s="616">
        <f t="shared" si="291"/>
        <v>0</v>
      </c>
      <c r="AS302" s="616">
        <f t="shared" si="292"/>
        <v>0</v>
      </c>
      <c r="AT302" s="637">
        <f t="shared" si="293"/>
        <v>0</v>
      </c>
      <c r="AU302" s="639">
        <f t="shared" si="344"/>
        <v>0</v>
      </c>
      <c r="AV302" s="618">
        <f t="shared" ref="AV302:AV308" si="349">(G302+H302+I302+N302)*0.16</f>
        <v>0</v>
      </c>
      <c r="AW302" s="618">
        <f t="shared" ref="AW302:AW308" si="350">(G302+H302+I302+N302)*0.08</f>
        <v>0</v>
      </c>
      <c r="AX302" s="618">
        <f t="shared" ref="AX302:AX308" si="351">(G302+H302+I302+N302)*0.06</f>
        <v>0</v>
      </c>
      <c r="AY302" s="618">
        <f t="shared" ref="AY302:AY308" si="352">(G302+H302+I302+N302)*0.002</f>
        <v>0</v>
      </c>
      <c r="AZ302" s="618">
        <f t="shared" ref="AZ302:AZ308" si="353">(G302+H302+I302+N302)*0.006</f>
        <v>0</v>
      </c>
      <c r="BA302" s="618">
        <f t="shared" ref="BA302:BA308" si="354">(G302+H302+I302+N302)*0.12</f>
        <v>0</v>
      </c>
      <c r="BB302" s="618"/>
      <c r="BC302" s="615">
        <f t="shared" si="294"/>
        <v>0</v>
      </c>
      <c r="BD302" s="616">
        <f t="shared" si="295"/>
        <v>0</v>
      </c>
      <c r="BE302" s="616">
        <f t="shared" si="296"/>
        <v>0</v>
      </c>
      <c r="BF302" s="616">
        <f t="shared" si="297"/>
        <v>0</v>
      </c>
      <c r="BG302" s="616">
        <f t="shared" si="298"/>
        <v>0</v>
      </c>
      <c r="BH302" s="616">
        <f t="shared" si="299"/>
        <v>0</v>
      </c>
      <c r="BI302" s="616">
        <f t="shared" si="300"/>
        <v>0</v>
      </c>
      <c r="BJ302" s="616"/>
      <c r="BK302" s="615">
        <f t="shared" si="301"/>
        <v>0</v>
      </c>
      <c r="BL302" s="616">
        <f t="shared" si="302"/>
        <v>0</v>
      </c>
      <c r="BM302" s="616">
        <f t="shared" si="303"/>
        <v>0</v>
      </c>
      <c r="BN302" s="616">
        <f t="shared" si="304"/>
        <v>0</v>
      </c>
      <c r="BO302" s="616">
        <f t="shared" si="305"/>
        <v>0</v>
      </c>
      <c r="BP302" s="616">
        <f t="shared" si="306"/>
        <v>0</v>
      </c>
      <c r="BQ302" s="616">
        <f t="shared" si="307"/>
        <v>0</v>
      </c>
      <c r="BR302" s="616">
        <f t="shared" si="308"/>
        <v>0</v>
      </c>
      <c r="BS302" s="304"/>
    </row>
    <row r="303" s="131" customFormat="1" ht="24" spans="1:71">
      <c r="A303" s="497" t="s">
        <v>590</v>
      </c>
      <c r="B303" s="497" t="s">
        <v>206</v>
      </c>
      <c r="C303" s="497" t="s">
        <v>625</v>
      </c>
      <c r="D303" s="497" t="s">
        <v>626</v>
      </c>
      <c r="E303" s="617">
        <f t="shared" si="341"/>
        <v>209.87192</v>
      </c>
      <c r="F303" s="617">
        <f t="shared" si="342"/>
        <v>174.9324</v>
      </c>
      <c r="G303" s="618">
        <v>100.2732</v>
      </c>
      <c r="H303" s="618">
        <v>0</v>
      </c>
      <c r="I303" s="618">
        <v>37.3992</v>
      </c>
      <c r="J303" s="618">
        <v>0</v>
      </c>
      <c r="K303" s="618">
        <v>0</v>
      </c>
      <c r="L303" s="618">
        <v>37.26</v>
      </c>
      <c r="M303" s="617">
        <f t="shared" si="343"/>
        <v>34.93952</v>
      </c>
      <c r="N303" s="618">
        <v>22.43952</v>
      </c>
      <c r="O303" s="618"/>
      <c r="P303" s="618"/>
      <c r="Q303" s="618"/>
      <c r="R303" s="618">
        <v>12.5</v>
      </c>
      <c r="S303" s="615">
        <f t="shared" si="277"/>
        <v>0.29</v>
      </c>
      <c r="T303" s="615">
        <f t="shared" si="278"/>
        <v>-0.44</v>
      </c>
      <c r="U303" s="616">
        <v>-0.25</v>
      </c>
      <c r="V303" s="616"/>
      <c r="W303" s="616">
        <v>0.49</v>
      </c>
      <c r="X303" s="616"/>
      <c r="Y303" s="616"/>
      <c r="Z303" s="616">
        <v>-0.68</v>
      </c>
      <c r="AA303" s="615">
        <f t="shared" si="279"/>
        <v>0.73</v>
      </c>
      <c r="AB303" s="616">
        <v>-0.34</v>
      </c>
      <c r="AC303" s="616"/>
      <c r="AD303" s="616"/>
      <c r="AE303" s="616">
        <v>1.05</v>
      </c>
      <c r="AF303" s="616">
        <v>0.02</v>
      </c>
      <c r="AG303" s="615">
        <f t="shared" si="280"/>
        <v>210.16192</v>
      </c>
      <c r="AH303" s="615">
        <f t="shared" si="281"/>
        <v>174.4924</v>
      </c>
      <c r="AI303" s="616">
        <f t="shared" si="282"/>
        <v>100.0232</v>
      </c>
      <c r="AJ303" s="616">
        <f t="shared" si="283"/>
        <v>0</v>
      </c>
      <c r="AK303" s="616">
        <f t="shared" si="284"/>
        <v>37.8892</v>
      </c>
      <c r="AL303" s="616">
        <f t="shared" si="285"/>
        <v>0</v>
      </c>
      <c r="AM303" s="616">
        <f t="shared" si="286"/>
        <v>0</v>
      </c>
      <c r="AN303" s="616">
        <f t="shared" si="287"/>
        <v>36.58</v>
      </c>
      <c r="AO303" s="615">
        <f t="shared" si="288"/>
        <v>35.66952</v>
      </c>
      <c r="AP303" s="616">
        <f t="shared" si="289"/>
        <v>22.09952</v>
      </c>
      <c r="AQ303" s="616">
        <f t="shared" si="290"/>
        <v>0</v>
      </c>
      <c r="AR303" s="616">
        <f t="shared" si="291"/>
        <v>0</v>
      </c>
      <c r="AS303" s="616">
        <f t="shared" si="292"/>
        <v>1.05</v>
      </c>
      <c r="AT303" s="637">
        <f t="shared" si="293"/>
        <v>12.52</v>
      </c>
      <c r="AU303" s="639">
        <f t="shared" si="344"/>
        <v>68.52790176</v>
      </c>
      <c r="AV303" s="618">
        <f t="shared" si="349"/>
        <v>25.6179072</v>
      </c>
      <c r="AW303" s="618">
        <f t="shared" si="350"/>
        <v>12.8089536</v>
      </c>
      <c r="AX303" s="618">
        <f t="shared" si="351"/>
        <v>9.6067152</v>
      </c>
      <c r="AY303" s="618">
        <f t="shared" si="352"/>
        <v>0.32022384</v>
      </c>
      <c r="AZ303" s="618">
        <f t="shared" si="353"/>
        <v>0.96067152</v>
      </c>
      <c r="BA303" s="618">
        <f t="shared" si="354"/>
        <v>19.2134304</v>
      </c>
      <c r="BB303" s="618"/>
      <c r="BC303" s="615">
        <f t="shared" si="294"/>
        <v>-0.0428</v>
      </c>
      <c r="BD303" s="616">
        <f t="shared" si="295"/>
        <v>-0.016</v>
      </c>
      <c r="BE303" s="616">
        <f t="shared" si="296"/>
        <v>-0.008</v>
      </c>
      <c r="BF303" s="616">
        <f t="shared" si="297"/>
        <v>-0.006</v>
      </c>
      <c r="BG303" s="616">
        <f t="shared" si="298"/>
        <v>-0.0002</v>
      </c>
      <c r="BH303" s="616">
        <f t="shared" si="299"/>
        <v>-0.0006</v>
      </c>
      <c r="BI303" s="616">
        <f t="shared" si="300"/>
        <v>-0.012</v>
      </c>
      <c r="BJ303" s="616"/>
      <c r="BK303" s="615">
        <f t="shared" si="301"/>
        <v>68.48510176</v>
      </c>
      <c r="BL303" s="616">
        <f t="shared" si="302"/>
        <v>25.6019072</v>
      </c>
      <c r="BM303" s="616">
        <f t="shared" si="303"/>
        <v>12.8009536</v>
      </c>
      <c r="BN303" s="616">
        <f t="shared" si="304"/>
        <v>9.6007152</v>
      </c>
      <c r="BO303" s="616">
        <f t="shared" si="305"/>
        <v>0.32002384</v>
      </c>
      <c r="BP303" s="616">
        <f t="shared" si="306"/>
        <v>0.96007152</v>
      </c>
      <c r="BQ303" s="616">
        <f t="shared" si="307"/>
        <v>19.2014304</v>
      </c>
      <c r="BR303" s="616">
        <f t="shared" si="308"/>
        <v>0</v>
      </c>
      <c r="BS303" s="304"/>
    </row>
    <row r="304" s="131" customFormat="1" ht="24" spans="1:71">
      <c r="A304" s="497" t="s">
        <v>590</v>
      </c>
      <c r="B304" s="497" t="s">
        <v>206</v>
      </c>
      <c r="C304" s="497" t="s">
        <v>627</v>
      </c>
      <c r="D304" s="497" t="s">
        <v>626</v>
      </c>
      <c r="E304" s="617">
        <f t="shared" si="341"/>
        <v>90.2888</v>
      </c>
      <c r="F304" s="617">
        <f t="shared" si="342"/>
        <v>75.4396</v>
      </c>
      <c r="G304" s="618">
        <v>44.3676</v>
      </c>
      <c r="H304" s="618"/>
      <c r="I304" s="618">
        <v>15.582</v>
      </c>
      <c r="J304" s="618"/>
      <c r="K304" s="618"/>
      <c r="L304" s="618">
        <v>15.49</v>
      </c>
      <c r="M304" s="617">
        <f t="shared" si="343"/>
        <v>14.8492</v>
      </c>
      <c r="N304" s="619">
        <v>9.3492</v>
      </c>
      <c r="O304" s="618"/>
      <c r="P304" s="618"/>
      <c r="Q304" s="618"/>
      <c r="R304" s="618">
        <v>5.5</v>
      </c>
      <c r="S304" s="615">
        <f t="shared" si="277"/>
        <v>1.701</v>
      </c>
      <c r="T304" s="615">
        <f t="shared" si="278"/>
        <v>1.3452</v>
      </c>
      <c r="U304" s="616">
        <v>1.119</v>
      </c>
      <c r="V304" s="616"/>
      <c r="W304" s="616">
        <v>0.09</v>
      </c>
      <c r="X304" s="616"/>
      <c r="Y304" s="616"/>
      <c r="Z304" s="616">
        <v>0.1362</v>
      </c>
      <c r="AA304" s="615">
        <f t="shared" si="279"/>
        <v>0.3558</v>
      </c>
      <c r="AB304" s="616">
        <v>0.0558</v>
      </c>
      <c r="AC304" s="616"/>
      <c r="AD304" s="616"/>
      <c r="AE304" s="616">
        <v>0.3</v>
      </c>
      <c r="AF304" s="616">
        <v>0</v>
      </c>
      <c r="AG304" s="615">
        <f t="shared" si="280"/>
        <v>91.9898</v>
      </c>
      <c r="AH304" s="615">
        <f t="shared" si="281"/>
        <v>76.7848</v>
      </c>
      <c r="AI304" s="616">
        <f t="shared" si="282"/>
        <v>45.4866</v>
      </c>
      <c r="AJ304" s="616">
        <f t="shared" si="283"/>
        <v>0</v>
      </c>
      <c r="AK304" s="616">
        <f t="shared" si="284"/>
        <v>15.672</v>
      </c>
      <c r="AL304" s="616">
        <f t="shared" si="285"/>
        <v>0</v>
      </c>
      <c r="AM304" s="616">
        <f t="shared" si="286"/>
        <v>0</v>
      </c>
      <c r="AN304" s="616">
        <f t="shared" si="287"/>
        <v>15.6262</v>
      </c>
      <c r="AO304" s="615">
        <f t="shared" si="288"/>
        <v>15.205</v>
      </c>
      <c r="AP304" s="616">
        <f t="shared" si="289"/>
        <v>9.405</v>
      </c>
      <c r="AQ304" s="616">
        <f t="shared" si="290"/>
        <v>0</v>
      </c>
      <c r="AR304" s="616">
        <f t="shared" si="291"/>
        <v>0</v>
      </c>
      <c r="AS304" s="616">
        <f t="shared" si="292"/>
        <v>0.3</v>
      </c>
      <c r="AT304" s="637">
        <f t="shared" si="293"/>
        <v>5.5</v>
      </c>
      <c r="AU304" s="639">
        <f t="shared" si="344"/>
        <v>29.6598864</v>
      </c>
      <c r="AV304" s="618">
        <f t="shared" si="349"/>
        <v>11.087808</v>
      </c>
      <c r="AW304" s="618">
        <f t="shared" si="350"/>
        <v>5.543904</v>
      </c>
      <c r="AX304" s="618">
        <f t="shared" si="351"/>
        <v>4.157928</v>
      </c>
      <c r="AY304" s="618">
        <f t="shared" si="352"/>
        <v>0.1385976</v>
      </c>
      <c r="AZ304" s="618">
        <f t="shared" si="353"/>
        <v>0.4157928</v>
      </c>
      <c r="BA304" s="618">
        <f t="shared" si="354"/>
        <v>8.315856</v>
      </c>
      <c r="BB304" s="618"/>
      <c r="BC304" s="615">
        <f t="shared" si="294"/>
        <v>0.5413344</v>
      </c>
      <c r="BD304" s="616">
        <f t="shared" si="295"/>
        <v>0.202368</v>
      </c>
      <c r="BE304" s="616">
        <f t="shared" si="296"/>
        <v>0.101184</v>
      </c>
      <c r="BF304" s="616">
        <f t="shared" si="297"/>
        <v>0.075888</v>
      </c>
      <c r="BG304" s="616">
        <f t="shared" si="298"/>
        <v>0.0025296</v>
      </c>
      <c r="BH304" s="616">
        <f t="shared" si="299"/>
        <v>0.0075888</v>
      </c>
      <c r="BI304" s="616">
        <f t="shared" si="300"/>
        <v>0.151776</v>
      </c>
      <c r="BJ304" s="616"/>
      <c r="BK304" s="615">
        <f t="shared" si="301"/>
        <v>30.2012208</v>
      </c>
      <c r="BL304" s="616">
        <f t="shared" si="302"/>
        <v>11.290176</v>
      </c>
      <c r="BM304" s="616">
        <f t="shared" si="303"/>
        <v>5.645088</v>
      </c>
      <c r="BN304" s="616">
        <f t="shared" si="304"/>
        <v>4.233816</v>
      </c>
      <c r="BO304" s="616">
        <f t="shared" si="305"/>
        <v>0.1411272</v>
      </c>
      <c r="BP304" s="616">
        <f t="shared" si="306"/>
        <v>0.4233816</v>
      </c>
      <c r="BQ304" s="616">
        <f t="shared" si="307"/>
        <v>8.467632</v>
      </c>
      <c r="BR304" s="616">
        <f t="shared" si="308"/>
        <v>0</v>
      </c>
      <c r="BS304" s="304"/>
    </row>
    <row r="305" s="131" customFormat="1" ht="24" spans="1:71">
      <c r="A305" s="497" t="s">
        <v>590</v>
      </c>
      <c r="B305" s="497" t="s">
        <v>206</v>
      </c>
      <c r="C305" s="497" t="s">
        <v>628</v>
      </c>
      <c r="D305" s="497" t="s">
        <v>626</v>
      </c>
      <c r="E305" s="617">
        <f t="shared" si="341"/>
        <v>297.6668</v>
      </c>
      <c r="F305" s="617">
        <f t="shared" si="342"/>
        <v>192.5848</v>
      </c>
      <c r="G305" s="619">
        <v>108.1248</v>
      </c>
      <c r="H305" s="619"/>
      <c r="I305" s="619">
        <v>40.77</v>
      </c>
      <c r="J305" s="619">
        <v>2.76</v>
      </c>
      <c r="K305" s="618"/>
      <c r="L305" s="618">
        <v>40.93</v>
      </c>
      <c r="M305" s="617">
        <f t="shared" si="343"/>
        <v>105.082</v>
      </c>
      <c r="N305" s="618">
        <v>24.462</v>
      </c>
      <c r="O305" s="618"/>
      <c r="P305" s="618">
        <v>66.12</v>
      </c>
      <c r="Q305" s="618"/>
      <c r="R305" s="618">
        <v>14.5</v>
      </c>
      <c r="S305" s="615">
        <f t="shared" si="277"/>
        <v>20.324</v>
      </c>
      <c r="T305" s="615">
        <f t="shared" si="278"/>
        <v>-10.006</v>
      </c>
      <c r="U305" s="616">
        <v>-8.42</v>
      </c>
      <c r="V305" s="616"/>
      <c r="W305" s="616">
        <v>0.64</v>
      </c>
      <c r="X305" s="616"/>
      <c r="Y305" s="616"/>
      <c r="Z305" s="650">
        <f>-6.36*0.35</f>
        <v>-2.226</v>
      </c>
      <c r="AA305" s="615">
        <f t="shared" si="279"/>
        <v>30.33</v>
      </c>
      <c r="AB305" s="616">
        <v>-1.28</v>
      </c>
      <c r="AC305" s="616"/>
      <c r="AD305" s="616">
        <v>30.86</v>
      </c>
      <c r="AE305" s="616">
        <v>0.75</v>
      </c>
      <c r="AF305" s="616"/>
      <c r="AG305" s="615">
        <f t="shared" si="280"/>
        <v>317.9908</v>
      </c>
      <c r="AH305" s="615">
        <f t="shared" si="281"/>
        <v>182.5788</v>
      </c>
      <c r="AI305" s="616">
        <f t="shared" si="282"/>
        <v>99.7048</v>
      </c>
      <c r="AJ305" s="616">
        <f t="shared" si="283"/>
        <v>0</v>
      </c>
      <c r="AK305" s="616">
        <f t="shared" si="284"/>
        <v>41.41</v>
      </c>
      <c r="AL305" s="616">
        <f t="shared" si="285"/>
        <v>2.76</v>
      </c>
      <c r="AM305" s="616">
        <f t="shared" si="286"/>
        <v>0</v>
      </c>
      <c r="AN305" s="616">
        <f t="shared" si="287"/>
        <v>38.704</v>
      </c>
      <c r="AO305" s="615">
        <f t="shared" si="288"/>
        <v>135.412</v>
      </c>
      <c r="AP305" s="616">
        <f t="shared" si="289"/>
        <v>23.182</v>
      </c>
      <c r="AQ305" s="616">
        <f t="shared" si="290"/>
        <v>0</v>
      </c>
      <c r="AR305" s="616">
        <f t="shared" si="291"/>
        <v>96.98</v>
      </c>
      <c r="AS305" s="616">
        <f t="shared" si="292"/>
        <v>0.75</v>
      </c>
      <c r="AT305" s="637">
        <f t="shared" si="293"/>
        <v>14.5</v>
      </c>
      <c r="AU305" s="639">
        <f t="shared" si="344"/>
        <v>74.1967104</v>
      </c>
      <c r="AV305" s="618">
        <f t="shared" si="349"/>
        <v>27.737088</v>
      </c>
      <c r="AW305" s="618">
        <f t="shared" si="350"/>
        <v>13.868544</v>
      </c>
      <c r="AX305" s="618">
        <f t="shared" si="351"/>
        <v>10.401408</v>
      </c>
      <c r="AY305" s="618">
        <f t="shared" si="352"/>
        <v>0.3467136</v>
      </c>
      <c r="AZ305" s="618">
        <f t="shared" si="353"/>
        <v>1.0401408</v>
      </c>
      <c r="BA305" s="618">
        <f t="shared" si="354"/>
        <v>20.802816</v>
      </c>
      <c r="BB305" s="618"/>
      <c r="BC305" s="615">
        <f t="shared" si="294"/>
        <v>-3.87768</v>
      </c>
      <c r="BD305" s="616">
        <f t="shared" si="295"/>
        <v>-1.4496</v>
      </c>
      <c r="BE305" s="616">
        <f t="shared" si="296"/>
        <v>-0.7248</v>
      </c>
      <c r="BF305" s="616">
        <f t="shared" si="297"/>
        <v>-0.5436</v>
      </c>
      <c r="BG305" s="616">
        <f t="shared" si="298"/>
        <v>-0.01812</v>
      </c>
      <c r="BH305" s="616">
        <f t="shared" si="299"/>
        <v>-0.05436</v>
      </c>
      <c r="BI305" s="616">
        <f t="shared" si="300"/>
        <v>-1.0872</v>
      </c>
      <c r="BJ305" s="616"/>
      <c r="BK305" s="615">
        <f t="shared" si="301"/>
        <v>70.3190304</v>
      </c>
      <c r="BL305" s="616">
        <f t="shared" si="302"/>
        <v>26.287488</v>
      </c>
      <c r="BM305" s="616">
        <f t="shared" si="303"/>
        <v>13.143744</v>
      </c>
      <c r="BN305" s="616">
        <f t="shared" si="304"/>
        <v>9.857808</v>
      </c>
      <c r="BO305" s="616">
        <f t="shared" si="305"/>
        <v>0.3285936</v>
      </c>
      <c r="BP305" s="616">
        <f t="shared" si="306"/>
        <v>0.9857808</v>
      </c>
      <c r="BQ305" s="616">
        <f t="shared" si="307"/>
        <v>19.715616</v>
      </c>
      <c r="BR305" s="616">
        <f t="shared" si="308"/>
        <v>0</v>
      </c>
      <c r="BS305" s="304"/>
    </row>
    <row r="306" s="131" customFormat="1" ht="24" spans="1:71">
      <c r="A306" s="497" t="s">
        <v>590</v>
      </c>
      <c r="B306" s="497" t="s">
        <v>206</v>
      </c>
      <c r="C306" s="497" t="s">
        <v>629</v>
      </c>
      <c r="D306" s="497" t="s">
        <v>626</v>
      </c>
      <c r="E306" s="617">
        <f t="shared" si="341"/>
        <v>101.9356</v>
      </c>
      <c r="F306" s="617">
        <f t="shared" si="342"/>
        <v>77.8736</v>
      </c>
      <c r="G306" s="618">
        <v>23.556</v>
      </c>
      <c r="H306" s="618">
        <v>24.84</v>
      </c>
      <c r="I306" s="618">
        <v>14.8176</v>
      </c>
      <c r="J306" s="618"/>
      <c r="K306" s="618"/>
      <c r="L306" s="618">
        <v>14.66</v>
      </c>
      <c r="M306" s="617">
        <f t="shared" si="343"/>
        <v>24.062</v>
      </c>
      <c r="N306" s="618">
        <v>8.892</v>
      </c>
      <c r="O306" s="618"/>
      <c r="P306" s="618">
        <v>10.17</v>
      </c>
      <c r="Q306" s="618"/>
      <c r="R306" s="618">
        <v>5</v>
      </c>
      <c r="S306" s="615">
        <f t="shared" si="277"/>
        <v>-4.12</v>
      </c>
      <c r="T306" s="615">
        <f t="shared" si="278"/>
        <v>-3.88</v>
      </c>
      <c r="U306" s="616">
        <v>-3.78</v>
      </c>
      <c r="V306" s="616"/>
      <c r="W306" s="616">
        <v>0.65</v>
      </c>
      <c r="X306" s="616"/>
      <c r="Y306" s="616"/>
      <c r="Z306" s="616">
        <v>-0.75</v>
      </c>
      <c r="AA306" s="615">
        <f t="shared" si="279"/>
        <v>-0.24</v>
      </c>
      <c r="AB306" s="616">
        <v>-0.38</v>
      </c>
      <c r="AC306" s="616"/>
      <c r="AD306" s="616">
        <v>0.32</v>
      </c>
      <c r="AE306" s="616">
        <v>0.15</v>
      </c>
      <c r="AF306" s="616">
        <v>-0.33</v>
      </c>
      <c r="AG306" s="615">
        <f t="shared" si="280"/>
        <v>97.8156</v>
      </c>
      <c r="AH306" s="615">
        <f t="shared" si="281"/>
        <v>73.9936</v>
      </c>
      <c r="AI306" s="616">
        <f t="shared" si="282"/>
        <v>19.776</v>
      </c>
      <c r="AJ306" s="616">
        <f t="shared" si="283"/>
        <v>24.84</v>
      </c>
      <c r="AK306" s="616">
        <f t="shared" si="284"/>
        <v>15.4676</v>
      </c>
      <c r="AL306" s="616">
        <f t="shared" si="285"/>
        <v>0</v>
      </c>
      <c r="AM306" s="616">
        <f t="shared" si="286"/>
        <v>0</v>
      </c>
      <c r="AN306" s="616">
        <f t="shared" si="287"/>
        <v>13.91</v>
      </c>
      <c r="AO306" s="615">
        <f t="shared" si="288"/>
        <v>23.822</v>
      </c>
      <c r="AP306" s="616">
        <f t="shared" si="289"/>
        <v>8.512</v>
      </c>
      <c r="AQ306" s="616">
        <f t="shared" si="290"/>
        <v>0</v>
      </c>
      <c r="AR306" s="616">
        <f t="shared" si="291"/>
        <v>10.49</v>
      </c>
      <c r="AS306" s="616">
        <f t="shared" si="292"/>
        <v>0.15</v>
      </c>
      <c r="AT306" s="637">
        <f t="shared" si="293"/>
        <v>4.67</v>
      </c>
      <c r="AU306" s="639">
        <f t="shared" si="344"/>
        <v>30.8611968</v>
      </c>
      <c r="AV306" s="618">
        <f t="shared" si="349"/>
        <v>11.536896</v>
      </c>
      <c r="AW306" s="618">
        <f t="shared" si="350"/>
        <v>5.768448</v>
      </c>
      <c r="AX306" s="618">
        <f t="shared" si="351"/>
        <v>4.326336</v>
      </c>
      <c r="AY306" s="618">
        <f t="shared" si="352"/>
        <v>0.1442112</v>
      </c>
      <c r="AZ306" s="618">
        <f t="shared" si="353"/>
        <v>0.4326336</v>
      </c>
      <c r="BA306" s="618">
        <f t="shared" si="354"/>
        <v>8.652672</v>
      </c>
      <c r="BB306" s="618"/>
      <c r="BC306" s="615">
        <f t="shared" si="294"/>
        <v>-1.50228</v>
      </c>
      <c r="BD306" s="616">
        <f t="shared" si="295"/>
        <v>-0.5616</v>
      </c>
      <c r="BE306" s="616">
        <f t="shared" si="296"/>
        <v>-0.2808</v>
      </c>
      <c r="BF306" s="616">
        <f t="shared" si="297"/>
        <v>-0.2106</v>
      </c>
      <c r="BG306" s="616">
        <f t="shared" si="298"/>
        <v>-0.00702</v>
      </c>
      <c r="BH306" s="616">
        <f t="shared" si="299"/>
        <v>-0.02106</v>
      </c>
      <c r="BI306" s="616">
        <f t="shared" si="300"/>
        <v>-0.4212</v>
      </c>
      <c r="BJ306" s="616"/>
      <c r="BK306" s="615">
        <f t="shared" si="301"/>
        <v>29.3589168</v>
      </c>
      <c r="BL306" s="616">
        <f t="shared" si="302"/>
        <v>10.975296</v>
      </c>
      <c r="BM306" s="616">
        <f t="shared" si="303"/>
        <v>5.487648</v>
      </c>
      <c r="BN306" s="616">
        <f t="shared" si="304"/>
        <v>4.115736</v>
      </c>
      <c r="BO306" s="616">
        <f t="shared" si="305"/>
        <v>0.1371912</v>
      </c>
      <c r="BP306" s="616">
        <f t="shared" si="306"/>
        <v>0.4115736</v>
      </c>
      <c r="BQ306" s="616">
        <f t="shared" si="307"/>
        <v>8.231472</v>
      </c>
      <c r="BR306" s="616">
        <f t="shared" si="308"/>
        <v>0</v>
      </c>
      <c r="BS306" s="304"/>
    </row>
    <row r="307" s="131" customFormat="1" ht="36" spans="1:71">
      <c r="A307" s="497" t="s">
        <v>590</v>
      </c>
      <c r="B307" s="497" t="s">
        <v>206</v>
      </c>
      <c r="C307" s="497" t="s">
        <v>630</v>
      </c>
      <c r="D307" s="497" t="s">
        <v>631</v>
      </c>
      <c r="E307" s="617">
        <f t="shared" si="341"/>
        <v>128.99</v>
      </c>
      <c r="F307" s="617">
        <f t="shared" si="342"/>
        <v>108.6</v>
      </c>
      <c r="G307" s="618">
        <v>64.33</v>
      </c>
      <c r="H307" s="618">
        <v>22.31</v>
      </c>
      <c r="I307" s="618"/>
      <c r="J307" s="618"/>
      <c r="K307" s="618"/>
      <c r="L307" s="618">
        <v>21.96</v>
      </c>
      <c r="M307" s="617">
        <f t="shared" si="343"/>
        <v>20.39</v>
      </c>
      <c r="N307" s="618">
        <v>13.39</v>
      </c>
      <c r="O307" s="618"/>
      <c r="P307" s="618"/>
      <c r="Q307" s="618"/>
      <c r="R307" s="618">
        <v>7</v>
      </c>
      <c r="S307" s="615">
        <f t="shared" si="277"/>
        <v>3.5</v>
      </c>
      <c r="T307" s="615">
        <f t="shared" si="278"/>
        <v>3.1</v>
      </c>
      <c r="U307" s="616">
        <v>2.33</v>
      </c>
      <c r="V307" s="616"/>
      <c r="W307" s="616">
        <v>0.42</v>
      </c>
      <c r="X307" s="616"/>
      <c r="Y307" s="616"/>
      <c r="Z307" s="616">
        <v>0.35</v>
      </c>
      <c r="AA307" s="615">
        <f t="shared" si="279"/>
        <v>0.4</v>
      </c>
      <c r="AB307" s="616">
        <v>0.25</v>
      </c>
      <c r="AC307" s="616"/>
      <c r="AD307" s="616"/>
      <c r="AE307" s="616">
        <v>0.15</v>
      </c>
      <c r="AF307" s="616"/>
      <c r="AG307" s="615">
        <f t="shared" si="280"/>
        <v>132.49</v>
      </c>
      <c r="AH307" s="615">
        <f t="shared" si="281"/>
        <v>111.7</v>
      </c>
      <c r="AI307" s="616">
        <f t="shared" si="282"/>
        <v>66.66</v>
      </c>
      <c r="AJ307" s="616">
        <f t="shared" si="283"/>
        <v>22.31</v>
      </c>
      <c r="AK307" s="616">
        <f t="shared" si="284"/>
        <v>0.42</v>
      </c>
      <c r="AL307" s="616">
        <f t="shared" si="285"/>
        <v>0</v>
      </c>
      <c r="AM307" s="616">
        <f t="shared" si="286"/>
        <v>0</v>
      </c>
      <c r="AN307" s="616">
        <f t="shared" si="287"/>
        <v>22.31</v>
      </c>
      <c r="AO307" s="615">
        <f t="shared" si="288"/>
        <v>20.79</v>
      </c>
      <c r="AP307" s="616">
        <f t="shared" si="289"/>
        <v>13.64</v>
      </c>
      <c r="AQ307" s="616">
        <f t="shared" si="290"/>
        <v>0</v>
      </c>
      <c r="AR307" s="616">
        <f t="shared" si="291"/>
        <v>0</v>
      </c>
      <c r="AS307" s="616">
        <f t="shared" si="292"/>
        <v>0.15</v>
      </c>
      <c r="AT307" s="637">
        <f t="shared" si="293"/>
        <v>7</v>
      </c>
      <c r="AU307" s="639">
        <f t="shared" si="344"/>
        <v>42.81284</v>
      </c>
      <c r="AV307" s="618">
        <f t="shared" si="349"/>
        <v>16.0048</v>
      </c>
      <c r="AW307" s="618">
        <f t="shared" si="350"/>
        <v>8.0024</v>
      </c>
      <c r="AX307" s="618">
        <f t="shared" si="351"/>
        <v>6.0018</v>
      </c>
      <c r="AY307" s="618">
        <f t="shared" si="352"/>
        <v>0.20006</v>
      </c>
      <c r="AZ307" s="618">
        <f t="shared" si="353"/>
        <v>0.60018</v>
      </c>
      <c r="BA307" s="618">
        <f t="shared" si="354"/>
        <v>12.0036</v>
      </c>
      <c r="BB307" s="618"/>
      <c r="BC307" s="615">
        <f t="shared" si="294"/>
        <v>1.284</v>
      </c>
      <c r="BD307" s="616">
        <f t="shared" si="295"/>
        <v>0.48</v>
      </c>
      <c r="BE307" s="616">
        <f t="shared" si="296"/>
        <v>0.24</v>
      </c>
      <c r="BF307" s="616">
        <f t="shared" si="297"/>
        <v>0.18</v>
      </c>
      <c r="BG307" s="616">
        <f t="shared" si="298"/>
        <v>0.006</v>
      </c>
      <c r="BH307" s="616">
        <f t="shared" si="299"/>
        <v>0.018</v>
      </c>
      <c r="BI307" s="616">
        <f t="shared" si="300"/>
        <v>0.36</v>
      </c>
      <c r="BJ307" s="616"/>
      <c r="BK307" s="615">
        <f t="shared" si="301"/>
        <v>44.09684</v>
      </c>
      <c r="BL307" s="616">
        <f t="shared" si="302"/>
        <v>16.4848</v>
      </c>
      <c r="BM307" s="616">
        <f t="shared" si="303"/>
        <v>8.2424</v>
      </c>
      <c r="BN307" s="616">
        <f t="shared" si="304"/>
        <v>6.1818</v>
      </c>
      <c r="BO307" s="616">
        <f t="shared" si="305"/>
        <v>0.20606</v>
      </c>
      <c r="BP307" s="616">
        <f t="shared" si="306"/>
        <v>0.61818</v>
      </c>
      <c r="BQ307" s="616">
        <f t="shared" si="307"/>
        <v>12.3636</v>
      </c>
      <c r="BR307" s="616">
        <f t="shared" si="308"/>
        <v>0</v>
      </c>
      <c r="BS307" s="304"/>
    </row>
    <row r="308" s="131" customFormat="1" ht="24" spans="1:71">
      <c r="A308" s="497" t="s">
        <v>584</v>
      </c>
      <c r="B308" s="497" t="s">
        <v>203</v>
      </c>
      <c r="C308" s="497" t="s">
        <v>632</v>
      </c>
      <c r="D308" s="497" t="s">
        <v>633</v>
      </c>
      <c r="E308" s="617">
        <f t="shared" si="341"/>
        <v>39.74</v>
      </c>
      <c r="F308" s="617">
        <f t="shared" si="342"/>
        <v>0</v>
      </c>
      <c r="G308" s="618"/>
      <c r="H308" s="618"/>
      <c r="I308" s="618"/>
      <c r="J308" s="618"/>
      <c r="K308" s="618"/>
      <c r="L308" s="618"/>
      <c r="M308" s="617">
        <f t="shared" si="343"/>
        <v>39.74</v>
      </c>
      <c r="N308" s="618"/>
      <c r="O308" s="618">
        <v>39.74</v>
      </c>
      <c r="P308" s="618"/>
      <c r="Q308" s="618"/>
      <c r="R308" s="618"/>
      <c r="S308" s="615">
        <f t="shared" si="277"/>
        <v>0</v>
      </c>
      <c r="T308" s="615">
        <f t="shared" si="278"/>
        <v>0</v>
      </c>
      <c r="U308" s="616"/>
      <c r="V308" s="616"/>
      <c r="W308" s="616"/>
      <c r="X308" s="616"/>
      <c r="Y308" s="616"/>
      <c r="Z308" s="616"/>
      <c r="AA308" s="615">
        <f t="shared" si="279"/>
        <v>0</v>
      </c>
      <c r="AB308" s="616"/>
      <c r="AC308" s="616"/>
      <c r="AD308" s="616"/>
      <c r="AE308" s="616"/>
      <c r="AF308" s="616"/>
      <c r="AG308" s="615">
        <f t="shared" si="280"/>
        <v>39.74</v>
      </c>
      <c r="AH308" s="615">
        <f t="shared" si="281"/>
        <v>0</v>
      </c>
      <c r="AI308" s="616">
        <f t="shared" si="282"/>
        <v>0</v>
      </c>
      <c r="AJ308" s="616">
        <f t="shared" si="283"/>
        <v>0</v>
      </c>
      <c r="AK308" s="616">
        <f t="shared" si="284"/>
        <v>0</v>
      </c>
      <c r="AL308" s="616">
        <f t="shared" si="285"/>
        <v>0</v>
      </c>
      <c r="AM308" s="616">
        <f t="shared" si="286"/>
        <v>0</v>
      </c>
      <c r="AN308" s="616">
        <f t="shared" si="287"/>
        <v>0</v>
      </c>
      <c r="AO308" s="615">
        <f t="shared" si="288"/>
        <v>39.74</v>
      </c>
      <c r="AP308" s="616">
        <f t="shared" si="289"/>
        <v>0</v>
      </c>
      <c r="AQ308" s="616">
        <f t="shared" si="290"/>
        <v>39.74</v>
      </c>
      <c r="AR308" s="616">
        <f t="shared" si="291"/>
        <v>0</v>
      </c>
      <c r="AS308" s="616">
        <f t="shared" si="292"/>
        <v>0</v>
      </c>
      <c r="AT308" s="637">
        <f t="shared" si="293"/>
        <v>0</v>
      </c>
      <c r="AU308" s="639">
        <f t="shared" si="344"/>
        <v>0</v>
      </c>
      <c r="AV308" s="618">
        <f t="shared" si="349"/>
        <v>0</v>
      </c>
      <c r="AW308" s="618">
        <f t="shared" si="350"/>
        <v>0</v>
      </c>
      <c r="AX308" s="618">
        <f t="shared" si="351"/>
        <v>0</v>
      </c>
      <c r="AY308" s="618">
        <f t="shared" si="352"/>
        <v>0</v>
      </c>
      <c r="AZ308" s="618">
        <f t="shared" si="353"/>
        <v>0</v>
      </c>
      <c r="BA308" s="618">
        <f t="shared" si="354"/>
        <v>0</v>
      </c>
      <c r="BB308" s="618"/>
      <c r="BC308" s="615">
        <f t="shared" si="294"/>
        <v>0</v>
      </c>
      <c r="BD308" s="616">
        <f t="shared" si="295"/>
        <v>0</v>
      </c>
      <c r="BE308" s="616">
        <f t="shared" si="296"/>
        <v>0</v>
      </c>
      <c r="BF308" s="616">
        <f t="shared" si="297"/>
        <v>0</v>
      </c>
      <c r="BG308" s="616">
        <f t="shared" si="298"/>
        <v>0</v>
      </c>
      <c r="BH308" s="616">
        <f t="shared" si="299"/>
        <v>0</v>
      </c>
      <c r="BI308" s="616">
        <f t="shared" si="300"/>
        <v>0</v>
      </c>
      <c r="BJ308" s="616"/>
      <c r="BK308" s="615">
        <f t="shared" si="301"/>
        <v>0</v>
      </c>
      <c r="BL308" s="616">
        <f t="shared" si="302"/>
        <v>0</v>
      </c>
      <c r="BM308" s="616">
        <f t="shared" si="303"/>
        <v>0</v>
      </c>
      <c r="BN308" s="616">
        <f t="shared" si="304"/>
        <v>0</v>
      </c>
      <c r="BO308" s="616">
        <f t="shared" si="305"/>
        <v>0</v>
      </c>
      <c r="BP308" s="616">
        <f t="shared" si="306"/>
        <v>0</v>
      </c>
      <c r="BQ308" s="616">
        <f t="shared" si="307"/>
        <v>0</v>
      </c>
      <c r="BR308" s="616">
        <f t="shared" si="308"/>
        <v>0</v>
      </c>
      <c r="BS308" s="304"/>
    </row>
    <row r="309" s="508" customFormat="1" ht="21" customHeight="1" spans="1:72">
      <c r="A309" s="647"/>
      <c r="B309" s="647"/>
      <c r="C309" s="647" t="s">
        <v>145</v>
      </c>
      <c r="D309" s="648">
        <v>224</v>
      </c>
      <c r="E309" s="612">
        <f t="shared" ref="E309:Z309" si="355">SUM(E310:E313)</f>
        <v>253.95</v>
      </c>
      <c r="F309" s="612">
        <f t="shared" si="355"/>
        <v>202.92</v>
      </c>
      <c r="G309" s="612">
        <f t="shared" si="355"/>
        <v>120.3</v>
      </c>
      <c r="H309" s="612">
        <f t="shared" si="355"/>
        <v>0</v>
      </c>
      <c r="I309" s="612">
        <f t="shared" si="355"/>
        <v>41.51</v>
      </c>
      <c r="J309" s="612">
        <f t="shared" si="355"/>
        <v>0</v>
      </c>
      <c r="K309" s="612">
        <f t="shared" si="355"/>
        <v>0</v>
      </c>
      <c r="L309" s="612">
        <f t="shared" si="355"/>
        <v>41.11</v>
      </c>
      <c r="M309" s="612">
        <f t="shared" si="355"/>
        <v>51.03</v>
      </c>
      <c r="N309" s="612">
        <f t="shared" si="355"/>
        <v>24.91</v>
      </c>
      <c r="O309" s="612">
        <f t="shared" si="355"/>
        <v>0</v>
      </c>
      <c r="P309" s="612">
        <f t="shared" si="355"/>
        <v>8.12</v>
      </c>
      <c r="Q309" s="612">
        <f t="shared" si="355"/>
        <v>3</v>
      </c>
      <c r="R309" s="612">
        <f t="shared" si="355"/>
        <v>15</v>
      </c>
      <c r="S309" s="612">
        <f t="shared" ref="S309:AF309" si="356">SUM(S310:S313)</f>
        <v>17.36</v>
      </c>
      <c r="T309" s="612">
        <f t="shared" si="356"/>
        <v>14.83</v>
      </c>
      <c r="U309" s="612">
        <f t="shared" si="356"/>
        <v>9.03</v>
      </c>
      <c r="V309" s="612">
        <f t="shared" si="356"/>
        <v>2.29</v>
      </c>
      <c r="W309" s="612">
        <f t="shared" si="356"/>
        <v>0.4</v>
      </c>
      <c r="X309" s="612">
        <f t="shared" si="356"/>
        <v>0</v>
      </c>
      <c r="Y309" s="612">
        <f t="shared" si="356"/>
        <v>0</v>
      </c>
      <c r="Z309" s="612">
        <f t="shared" si="356"/>
        <v>3.11</v>
      </c>
      <c r="AA309" s="612">
        <f t="shared" si="356"/>
        <v>2.53</v>
      </c>
      <c r="AB309" s="612">
        <f t="shared" si="356"/>
        <v>1.61</v>
      </c>
      <c r="AC309" s="612">
        <f t="shared" si="356"/>
        <v>0</v>
      </c>
      <c r="AD309" s="612">
        <f t="shared" si="356"/>
        <v>0</v>
      </c>
      <c r="AE309" s="612">
        <f t="shared" si="356"/>
        <v>0.9</v>
      </c>
      <c r="AF309" s="612">
        <f t="shared" si="356"/>
        <v>0.02</v>
      </c>
      <c r="AG309" s="612">
        <f t="shared" ref="AG309:BB309" si="357">SUM(AG310:AG313)</f>
        <v>271.31</v>
      </c>
      <c r="AH309" s="612">
        <f t="shared" si="357"/>
        <v>217.75</v>
      </c>
      <c r="AI309" s="612">
        <f t="shared" si="357"/>
        <v>129.33</v>
      </c>
      <c r="AJ309" s="612">
        <f t="shared" si="357"/>
        <v>2.29</v>
      </c>
      <c r="AK309" s="612">
        <f t="shared" si="357"/>
        <v>41.91</v>
      </c>
      <c r="AL309" s="612">
        <f t="shared" si="357"/>
        <v>0</v>
      </c>
      <c r="AM309" s="612">
        <f t="shared" si="357"/>
        <v>0</v>
      </c>
      <c r="AN309" s="612">
        <f t="shared" si="357"/>
        <v>44.22</v>
      </c>
      <c r="AO309" s="612">
        <f t="shared" si="357"/>
        <v>53.56</v>
      </c>
      <c r="AP309" s="612">
        <f t="shared" si="357"/>
        <v>26.52</v>
      </c>
      <c r="AQ309" s="612">
        <f t="shared" si="357"/>
        <v>0</v>
      </c>
      <c r="AR309" s="612">
        <f t="shared" si="357"/>
        <v>8.12</v>
      </c>
      <c r="AS309" s="612">
        <f t="shared" si="357"/>
        <v>3.9</v>
      </c>
      <c r="AT309" s="635">
        <f t="shared" si="357"/>
        <v>15.02</v>
      </c>
      <c r="AU309" s="636">
        <f t="shared" si="357"/>
        <v>79.91616</v>
      </c>
      <c r="AV309" s="612">
        <f t="shared" si="357"/>
        <v>29.8752</v>
      </c>
      <c r="AW309" s="612">
        <f t="shared" si="357"/>
        <v>14.9376</v>
      </c>
      <c r="AX309" s="612">
        <f t="shared" si="357"/>
        <v>11.2032</v>
      </c>
      <c r="AY309" s="612">
        <f t="shared" si="357"/>
        <v>0.37344</v>
      </c>
      <c r="AZ309" s="612">
        <f t="shared" si="357"/>
        <v>1.12032</v>
      </c>
      <c r="BA309" s="612">
        <f t="shared" si="357"/>
        <v>22.4064</v>
      </c>
      <c r="BB309" s="612">
        <f t="shared" si="357"/>
        <v>0</v>
      </c>
      <c r="BC309" s="612">
        <f t="shared" ref="BC309:BR309" si="358">SUM(BC310:BC313)</f>
        <v>5.70524</v>
      </c>
      <c r="BD309" s="612">
        <f t="shared" si="358"/>
        <v>2.1328</v>
      </c>
      <c r="BE309" s="612">
        <f t="shared" si="358"/>
        <v>1.0664</v>
      </c>
      <c r="BF309" s="612">
        <f t="shared" si="358"/>
        <v>0.7998</v>
      </c>
      <c r="BG309" s="612">
        <f t="shared" si="358"/>
        <v>0.02666</v>
      </c>
      <c r="BH309" s="612">
        <f t="shared" si="358"/>
        <v>0.07998</v>
      </c>
      <c r="BI309" s="612">
        <f t="shared" si="358"/>
        <v>1.5996</v>
      </c>
      <c r="BJ309" s="612">
        <f t="shared" si="358"/>
        <v>0</v>
      </c>
      <c r="BK309" s="612">
        <f t="shared" si="358"/>
        <v>85.6214</v>
      </c>
      <c r="BL309" s="612">
        <f t="shared" si="358"/>
        <v>32.008</v>
      </c>
      <c r="BM309" s="612">
        <f t="shared" si="358"/>
        <v>16.004</v>
      </c>
      <c r="BN309" s="612">
        <f t="shared" si="358"/>
        <v>12.003</v>
      </c>
      <c r="BO309" s="612">
        <f t="shared" si="358"/>
        <v>0.4001</v>
      </c>
      <c r="BP309" s="612">
        <f t="shared" si="358"/>
        <v>1.2003</v>
      </c>
      <c r="BQ309" s="612">
        <f t="shared" si="358"/>
        <v>24.006</v>
      </c>
      <c r="BR309" s="612">
        <f t="shared" si="358"/>
        <v>0</v>
      </c>
      <c r="BS309" s="334"/>
      <c r="BT309" s="653"/>
    </row>
    <row r="310" s="131" customFormat="1" ht="24" spans="1:71">
      <c r="A310" s="497" t="s">
        <v>261</v>
      </c>
      <c r="B310" s="497" t="s">
        <v>203</v>
      </c>
      <c r="C310" s="497" t="s">
        <v>634</v>
      </c>
      <c r="D310" s="497" t="s">
        <v>635</v>
      </c>
      <c r="E310" s="617">
        <f t="shared" ref="E310:E313" si="359">F310+M310</f>
        <v>0</v>
      </c>
      <c r="F310" s="617">
        <f t="shared" ref="F310:F313" si="360">SUM(G310:L310)</f>
        <v>0</v>
      </c>
      <c r="G310" s="618"/>
      <c r="H310" s="618"/>
      <c r="I310" s="618"/>
      <c r="J310" s="618"/>
      <c r="K310" s="618"/>
      <c r="L310" s="618"/>
      <c r="M310" s="617">
        <f t="shared" ref="M310:M313" si="361">SUM(N310:R310)</f>
        <v>0</v>
      </c>
      <c r="N310" s="618"/>
      <c r="O310" s="618"/>
      <c r="P310" s="618"/>
      <c r="Q310" s="618"/>
      <c r="R310" s="618"/>
      <c r="S310" s="615">
        <f t="shared" si="277"/>
        <v>0</v>
      </c>
      <c r="T310" s="615">
        <f t="shared" si="278"/>
        <v>0</v>
      </c>
      <c r="U310" s="616"/>
      <c r="V310" s="616"/>
      <c r="W310" s="616"/>
      <c r="X310" s="616"/>
      <c r="Y310" s="616"/>
      <c r="Z310" s="616"/>
      <c r="AA310" s="615">
        <f t="shared" si="279"/>
        <v>0</v>
      </c>
      <c r="AB310" s="616"/>
      <c r="AC310" s="616"/>
      <c r="AD310" s="616"/>
      <c r="AE310" s="616"/>
      <c r="AF310" s="616"/>
      <c r="AG310" s="615">
        <f t="shared" si="280"/>
        <v>0</v>
      </c>
      <c r="AH310" s="615">
        <f t="shared" si="281"/>
        <v>0</v>
      </c>
      <c r="AI310" s="616">
        <f t="shared" si="282"/>
        <v>0</v>
      </c>
      <c r="AJ310" s="616">
        <f t="shared" si="283"/>
        <v>0</v>
      </c>
      <c r="AK310" s="616">
        <f t="shared" si="284"/>
        <v>0</v>
      </c>
      <c r="AL310" s="616">
        <f t="shared" si="285"/>
        <v>0</v>
      </c>
      <c r="AM310" s="616">
        <f t="shared" si="286"/>
        <v>0</v>
      </c>
      <c r="AN310" s="616">
        <f t="shared" si="287"/>
        <v>0</v>
      </c>
      <c r="AO310" s="615">
        <f t="shared" si="288"/>
        <v>0</v>
      </c>
      <c r="AP310" s="616">
        <f t="shared" si="289"/>
        <v>0</v>
      </c>
      <c r="AQ310" s="616">
        <f t="shared" si="290"/>
        <v>0</v>
      </c>
      <c r="AR310" s="616">
        <f t="shared" si="291"/>
        <v>0</v>
      </c>
      <c r="AS310" s="616">
        <f t="shared" si="292"/>
        <v>0</v>
      </c>
      <c r="AT310" s="637">
        <f t="shared" si="293"/>
        <v>0</v>
      </c>
      <c r="AU310" s="639">
        <f t="shared" ref="AU310:AU313" si="362">SUM(AV310:BB310)</f>
        <v>0</v>
      </c>
      <c r="AV310" s="618">
        <f>(G310+H310+I310+N310)*0.16</f>
        <v>0</v>
      </c>
      <c r="AW310" s="618">
        <f>(G310+H310+I310+N310)*0.08</f>
        <v>0</v>
      </c>
      <c r="AX310" s="618">
        <f>(G310+H310+I310+N310)*0.06</f>
        <v>0</v>
      </c>
      <c r="AY310" s="618">
        <f>(G310+H310+I310+N310)*0.002</f>
        <v>0</v>
      </c>
      <c r="AZ310" s="618">
        <f>(G310+H310+I310+N310)*0.006</f>
        <v>0</v>
      </c>
      <c r="BA310" s="618">
        <f>(G310+H310+I310+N310)*0.12</f>
        <v>0</v>
      </c>
      <c r="BB310" s="618"/>
      <c r="BC310" s="615">
        <f t="shared" si="294"/>
        <v>0</v>
      </c>
      <c r="BD310" s="616">
        <f t="shared" si="295"/>
        <v>0</v>
      </c>
      <c r="BE310" s="616">
        <f t="shared" si="296"/>
        <v>0</v>
      </c>
      <c r="BF310" s="616">
        <f t="shared" si="297"/>
        <v>0</v>
      </c>
      <c r="BG310" s="616">
        <f t="shared" si="298"/>
        <v>0</v>
      </c>
      <c r="BH310" s="616">
        <f t="shared" si="299"/>
        <v>0</v>
      </c>
      <c r="BI310" s="616">
        <f t="shared" si="300"/>
        <v>0</v>
      </c>
      <c r="BJ310" s="616"/>
      <c r="BK310" s="615">
        <f t="shared" si="301"/>
        <v>0</v>
      </c>
      <c r="BL310" s="616">
        <f t="shared" si="302"/>
        <v>0</v>
      </c>
      <c r="BM310" s="616">
        <f t="shared" si="303"/>
        <v>0</v>
      </c>
      <c r="BN310" s="616">
        <f t="shared" si="304"/>
        <v>0</v>
      </c>
      <c r="BO310" s="616">
        <f t="shared" si="305"/>
        <v>0</v>
      </c>
      <c r="BP310" s="616">
        <f t="shared" si="306"/>
        <v>0</v>
      </c>
      <c r="BQ310" s="616">
        <f t="shared" si="307"/>
        <v>0</v>
      </c>
      <c r="BR310" s="616">
        <f t="shared" si="308"/>
        <v>0</v>
      </c>
      <c r="BS310" s="304"/>
    </row>
    <row r="311" s="131" customFormat="1" ht="24" spans="1:71">
      <c r="A311" s="497" t="s">
        <v>261</v>
      </c>
      <c r="B311" s="497" t="s">
        <v>206</v>
      </c>
      <c r="C311" s="497" t="s">
        <v>636</v>
      </c>
      <c r="D311" s="497" t="s">
        <v>637</v>
      </c>
      <c r="E311" s="617">
        <f t="shared" si="359"/>
        <v>175.4</v>
      </c>
      <c r="F311" s="617">
        <f t="shared" si="360"/>
        <v>144.16</v>
      </c>
      <c r="G311" s="618">
        <v>85.57</v>
      </c>
      <c r="H311" s="618"/>
      <c r="I311" s="618">
        <v>29.57</v>
      </c>
      <c r="J311" s="618"/>
      <c r="K311" s="618"/>
      <c r="L311" s="618">
        <v>29.02</v>
      </c>
      <c r="M311" s="617">
        <f t="shared" si="361"/>
        <v>31.24</v>
      </c>
      <c r="N311" s="618">
        <v>17.74</v>
      </c>
      <c r="O311" s="618"/>
      <c r="P311" s="618"/>
      <c r="Q311" s="618">
        <v>3</v>
      </c>
      <c r="R311" s="618">
        <v>10.5</v>
      </c>
      <c r="S311" s="615">
        <f t="shared" si="277"/>
        <v>14.74</v>
      </c>
      <c r="T311" s="615">
        <f t="shared" si="278"/>
        <v>12.45</v>
      </c>
      <c r="U311" s="616">
        <v>7.4</v>
      </c>
      <c r="V311" s="616">
        <v>2.29</v>
      </c>
      <c r="W311" s="616"/>
      <c r="X311" s="616"/>
      <c r="Y311" s="616"/>
      <c r="Z311" s="616">
        <v>2.76</v>
      </c>
      <c r="AA311" s="615">
        <f t="shared" si="279"/>
        <v>2.29</v>
      </c>
      <c r="AB311" s="616">
        <v>1.37</v>
      </c>
      <c r="AC311" s="616"/>
      <c r="AD311" s="616"/>
      <c r="AE311" s="616">
        <v>0.9</v>
      </c>
      <c r="AF311" s="616">
        <v>0.02</v>
      </c>
      <c r="AG311" s="615">
        <f t="shared" si="280"/>
        <v>190.14</v>
      </c>
      <c r="AH311" s="615">
        <f t="shared" si="281"/>
        <v>156.61</v>
      </c>
      <c r="AI311" s="616">
        <f t="shared" si="282"/>
        <v>92.97</v>
      </c>
      <c r="AJ311" s="616">
        <f t="shared" si="283"/>
        <v>2.29</v>
      </c>
      <c r="AK311" s="616">
        <f t="shared" si="284"/>
        <v>29.57</v>
      </c>
      <c r="AL311" s="616">
        <f t="shared" si="285"/>
        <v>0</v>
      </c>
      <c r="AM311" s="616">
        <f t="shared" si="286"/>
        <v>0</v>
      </c>
      <c r="AN311" s="616">
        <f t="shared" si="287"/>
        <v>31.78</v>
      </c>
      <c r="AO311" s="615">
        <f t="shared" si="288"/>
        <v>33.53</v>
      </c>
      <c r="AP311" s="616">
        <f t="shared" si="289"/>
        <v>19.11</v>
      </c>
      <c r="AQ311" s="616">
        <f t="shared" si="290"/>
        <v>0</v>
      </c>
      <c r="AR311" s="616">
        <f t="shared" si="291"/>
        <v>0</v>
      </c>
      <c r="AS311" s="616">
        <f t="shared" si="292"/>
        <v>3.9</v>
      </c>
      <c r="AT311" s="637">
        <f t="shared" si="293"/>
        <v>10.52</v>
      </c>
      <c r="AU311" s="639">
        <f t="shared" si="362"/>
        <v>56.87264</v>
      </c>
      <c r="AV311" s="618">
        <f>(G311+H311+I311+N311)*0.16</f>
        <v>21.2608</v>
      </c>
      <c r="AW311" s="618">
        <f>(G311+H311+I311+N311)*0.08</f>
        <v>10.6304</v>
      </c>
      <c r="AX311" s="618">
        <f>(G311+H311+I311+N311)*0.06</f>
        <v>7.9728</v>
      </c>
      <c r="AY311" s="618">
        <f>(G311+H311+I311+N311)*0.002</f>
        <v>0.26576</v>
      </c>
      <c r="AZ311" s="618">
        <f>(G311+H311+I311+N311)*0.006</f>
        <v>0.79728</v>
      </c>
      <c r="BA311" s="618">
        <f>(G311+H311+I311+N311)*0.12</f>
        <v>15.9456</v>
      </c>
      <c r="BB311" s="618"/>
      <c r="BC311" s="615">
        <f t="shared" si="294"/>
        <v>4.73368</v>
      </c>
      <c r="BD311" s="616">
        <f t="shared" si="295"/>
        <v>1.7696</v>
      </c>
      <c r="BE311" s="616">
        <f t="shared" si="296"/>
        <v>0.8848</v>
      </c>
      <c r="BF311" s="616">
        <f t="shared" si="297"/>
        <v>0.6636</v>
      </c>
      <c r="BG311" s="616">
        <f t="shared" si="298"/>
        <v>0.02212</v>
      </c>
      <c r="BH311" s="616">
        <f t="shared" si="299"/>
        <v>0.06636</v>
      </c>
      <c r="BI311" s="616">
        <f t="shared" si="300"/>
        <v>1.3272</v>
      </c>
      <c r="BJ311" s="616"/>
      <c r="BK311" s="615">
        <f t="shared" si="301"/>
        <v>61.60632</v>
      </c>
      <c r="BL311" s="616">
        <f t="shared" si="302"/>
        <v>23.0304</v>
      </c>
      <c r="BM311" s="616">
        <f t="shared" si="303"/>
        <v>11.5152</v>
      </c>
      <c r="BN311" s="616">
        <f t="shared" si="304"/>
        <v>8.6364</v>
      </c>
      <c r="BO311" s="616">
        <f t="shared" si="305"/>
        <v>0.28788</v>
      </c>
      <c r="BP311" s="616">
        <f t="shared" si="306"/>
        <v>0.86364</v>
      </c>
      <c r="BQ311" s="616">
        <f t="shared" si="307"/>
        <v>17.2728</v>
      </c>
      <c r="BR311" s="616">
        <f t="shared" si="308"/>
        <v>0</v>
      </c>
      <c r="BS311" s="304" t="s">
        <v>718</v>
      </c>
    </row>
    <row r="312" s="131" customFormat="1" ht="24" spans="1:71">
      <c r="A312" s="497" t="s">
        <v>202</v>
      </c>
      <c r="B312" s="497" t="s">
        <v>203</v>
      </c>
      <c r="C312" s="497" t="s">
        <v>638</v>
      </c>
      <c r="D312" s="497" t="s">
        <v>639</v>
      </c>
      <c r="E312" s="617">
        <f t="shared" si="359"/>
        <v>0</v>
      </c>
      <c r="F312" s="617">
        <f t="shared" si="360"/>
        <v>0</v>
      </c>
      <c r="G312" s="618"/>
      <c r="H312" s="618"/>
      <c r="I312" s="618"/>
      <c r="J312" s="618"/>
      <c r="K312" s="618"/>
      <c r="L312" s="618"/>
      <c r="M312" s="617">
        <f t="shared" si="361"/>
        <v>0</v>
      </c>
      <c r="N312" s="618"/>
      <c r="O312" s="618"/>
      <c r="P312" s="618"/>
      <c r="Q312" s="618"/>
      <c r="R312" s="618"/>
      <c r="S312" s="615">
        <f t="shared" si="277"/>
        <v>0</v>
      </c>
      <c r="T312" s="615">
        <f t="shared" si="278"/>
        <v>0</v>
      </c>
      <c r="U312" s="616"/>
      <c r="V312" s="616"/>
      <c r="W312" s="616"/>
      <c r="X312" s="616"/>
      <c r="Y312" s="616"/>
      <c r="Z312" s="616"/>
      <c r="AA312" s="615">
        <f t="shared" si="279"/>
        <v>0</v>
      </c>
      <c r="AB312" s="616"/>
      <c r="AC312" s="616"/>
      <c r="AD312" s="616"/>
      <c r="AE312" s="616"/>
      <c r="AF312" s="616"/>
      <c r="AG312" s="615">
        <f t="shared" si="280"/>
        <v>0</v>
      </c>
      <c r="AH312" s="615">
        <f t="shared" si="281"/>
        <v>0</v>
      </c>
      <c r="AI312" s="616">
        <f t="shared" si="282"/>
        <v>0</v>
      </c>
      <c r="AJ312" s="616">
        <f t="shared" si="283"/>
        <v>0</v>
      </c>
      <c r="AK312" s="616">
        <f t="shared" si="284"/>
        <v>0</v>
      </c>
      <c r="AL312" s="616">
        <f t="shared" si="285"/>
        <v>0</v>
      </c>
      <c r="AM312" s="616">
        <f t="shared" si="286"/>
        <v>0</v>
      </c>
      <c r="AN312" s="616">
        <f t="shared" si="287"/>
        <v>0</v>
      </c>
      <c r="AO312" s="615">
        <f t="shared" si="288"/>
        <v>0</v>
      </c>
      <c r="AP312" s="616">
        <f t="shared" si="289"/>
        <v>0</v>
      </c>
      <c r="AQ312" s="616">
        <f t="shared" si="290"/>
        <v>0</v>
      </c>
      <c r="AR312" s="616">
        <f t="shared" si="291"/>
        <v>0</v>
      </c>
      <c r="AS312" s="616">
        <f t="shared" si="292"/>
        <v>0</v>
      </c>
      <c r="AT312" s="637">
        <f t="shared" si="293"/>
        <v>0</v>
      </c>
      <c r="AU312" s="639">
        <f t="shared" si="362"/>
        <v>0</v>
      </c>
      <c r="AV312" s="618">
        <f>(G312+H312+I312+N312)*0.16</f>
        <v>0</v>
      </c>
      <c r="AW312" s="618">
        <f>(G312+H312+I312+N312)*0.08</f>
        <v>0</v>
      </c>
      <c r="AX312" s="618">
        <f>(G312+H312+I312+N312)*0.06</f>
        <v>0</v>
      </c>
      <c r="AY312" s="618">
        <f>(G312+H312+I312+N312)*0.002</f>
        <v>0</v>
      </c>
      <c r="AZ312" s="618">
        <f>(G312+H312+I312+N312)*0.006</f>
        <v>0</v>
      </c>
      <c r="BA312" s="618">
        <f>(G312+H312+I312+N312)*0.12</f>
        <v>0</v>
      </c>
      <c r="BB312" s="618"/>
      <c r="BC312" s="615">
        <f t="shared" si="294"/>
        <v>0</v>
      </c>
      <c r="BD312" s="616">
        <f t="shared" si="295"/>
        <v>0</v>
      </c>
      <c r="BE312" s="616">
        <f t="shared" si="296"/>
        <v>0</v>
      </c>
      <c r="BF312" s="616">
        <f t="shared" si="297"/>
        <v>0</v>
      </c>
      <c r="BG312" s="616">
        <f t="shared" si="298"/>
        <v>0</v>
      </c>
      <c r="BH312" s="616">
        <f t="shared" si="299"/>
        <v>0</v>
      </c>
      <c r="BI312" s="616">
        <f t="shared" si="300"/>
        <v>0</v>
      </c>
      <c r="BJ312" s="616"/>
      <c r="BK312" s="615">
        <f t="shared" si="301"/>
        <v>0</v>
      </c>
      <c r="BL312" s="616">
        <f t="shared" si="302"/>
        <v>0</v>
      </c>
      <c r="BM312" s="616">
        <f t="shared" si="303"/>
        <v>0</v>
      </c>
      <c r="BN312" s="616">
        <f t="shared" si="304"/>
        <v>0</v>
      </c>
      <c r="BO312" s="616">
        <f t="shared" si="305"/>
        <v>0</v>
      </c>
      <c r="BP312" s="616">
        <f t="shared" si="306"/>
        <v>0</v>
      </c>
      <c r="BQ312" s="616">
        <f t="shared" si="307"/>
        <v>0</v>
      </c>
      <c r="BR312" s="616">
        <f t="shared" si="308"/>
        <v>0</v>
      </c>
      <c r="BS312" s="304"/>
    </row>
    <row r="313" s="132" customFormat="1" ht="24" spans="1:71">
      <c r="A313" s="497" t="s">
        <v>215</v>
      </c>
      <c r="B313" s="497" t="s">
        <v>206</v>
      </c>
      <c r="C313" s="497" t="s">
        <v>640</v>
      </c>
      <c r="D313" s="497" t="s">
        <v>641</v>
      </c>
      <c r="E313" s="615">
        <f t="shared" si="359"/>
        <v>78.55</v>
      </c>
      <c r="F313" s="615">
        <f t="shared" si="360"/>
        <v>58.76</v>
      </c>
      <c r="G313" s="616">
        <v>34.73</v>
      </c>
      <c r="H313" s="616"/>
      <c r="I313" s="616">
        <v>11.94</v>
      </c>
      <c r="J313" s="616"/>
      <c r="K313" s="616"/>
      <c r="L313" s="616">
        <v>12.09</v>
      </c>
      <c r="M313" s="615">
        <f t="shared" si="361"/>
        <v>19.79</v>
      </c>
      <c r="N313" s="616">
        <v>7.17</v>
      </c>
      <c r="O313" s="616"/>
      <c r="P313" s="616">
        <v>8.12</v>
      </c>
      <c r="Q313" s="616"/>
      <c r="R313" s="616">
        <v>4.5</v>
      </c>
      <c r="S313" s="615">
        <f t="shared" si="277"/>
        <v>2.62</v>
      </c>
      <c r="T313" s="615">
        <f t="shared" si="278"/>
        <v>2.38</v>
      </c>
      <c r="U313" s="616">
        <v>1.63</v>
      </c>
      <c r="V313" s="616"/>
      <c r="W313" s="616">
        <v>0.4</v>
      </c>
      <c r="X313" s="616"/>
      <c r="Y313" s="616"/>
      <c r="Z313" s="616">
        <v>0.35</v>
      </c>
      <c r="AA313" s="615">
        <f t="shared" si="279"/>
        <v>0.24</v>
      </c>
      <c r="AB313" s="616">
        <v>0.24</v>
      </c>
      <c r="AC313" s="616"/>
      <c r="AD313" s="616"/>
      <c r="AE313" s="616"/>
      <c r="AF313" s="616"/>
      <c r="AG313" s="615">
        <f t="shared" si="280"/>
        <v>81.17</v>
      </c>
      <c r="AH313" s="615">
        <f t="shared" si="281"/>
        <v>61.14</v>
      </c>
      <c r="AI313" s="616">
        <f t="shared" si="282"/>
        <v>36.36</v>
      </c>
      <c r="AJ313" s="616">
        <f t="shared" si="283"/>
        <v>0</v>
      </c>
      <c r="AK313" s="616">
        <f t="shared" si="284"/>
        <v>12.34</v>
      </c>
      <c r="AL313" s="616">
        <f t="shared" si="285"/>
        <v>0</v>
      </c>
      <c r="AM313" s="616">
        <f t="shared" si="286"/>
        <v>0</v>
      </c>
      <c r="AN313" s="616">
        <f t="shared" si="287"/>
        <v>12.44</v>
      </c>
      <c r="AO313" s="615">
        <f t="shared" si="288"/>
        <v>20.03</v>
      </c>
      <c r="AP313" s="616">
        <f t="shared" si="289"/>
        <v>7.41</v>
      </c>
      <c r="AQ313" s="616">
        <f t="shared" si="290"/>
        <v>0</v>
      </c>
      <c r="AR313" s="616">
        <f t="shared" si="291"/>
        <v>8.12</v>
      </c>
      <c r="AS313" s="616">
        <f t="shared" si="292"/>
        <v>0</v>
      </c>
      <c r="AT313" s="637">
        <f t="shared" si="293"/>
        <v>4.5</v>
      </c>
      <c r="AU313" s="638">
        <f t="shared" si="362"/>
        <v>23.04352</v>
      </c>
      <c r="AV313" s="616">
        <f>(G313+H313+I313+N313)*0.16</f>
        <v>8.6144</v>
      </c>
      <c r="AW313" s="616">
        <f>(G313+H313+I313+N313)*0.08</f>
        <v>4.3072</v>
      </c>
      <c r="AX313" s="616">
        <f>(G313+H313+I313+N313)*0.06</f>
        <v>3.2304</v>
      </c>
      <c r="AY313" s="616">
        <f>(G313+H313+I313+N313)*0.002</f>
        <v>0.10768</v>
      </c>
      <c r="AZ313" s="616">
        <f>(G313+H313+I313+N313)*0.006</f>
        <v>0.32304</v>
      </c>
      <c r="BA313" s="616">
        <f>(G313+H313+I313+N313)*0.12</f>
        <v>6.4608</v>
      </c>
      <c r="BB313" s="616"/>
      <c r="BC313" s="615">
        <f t="shared" si="294"/>
        <v>0.97156</v>
      </c>
      <c r="BD313" s="616">
        <f t="shared" si="295"/>
        <v>0.3632</v>
      </c>
      <c r="BE313" s="616">
        <f t="shared" si="296"/>
        <v>0.1816</v>
      </c>
      <c r="BF313" s="616">
        <f t="shared" si="297"/>
        <v>0.1362</v>
      </c>
      <c r="BG313" s="616">
        <f t="shared" si="298"/>
        <v>0.00454</v>
      </c>
      <c r="BH313" s="616">
        <f t="shared" si="299"/>
        <v>0.01362</v>
      </c>
      <c r="BI313" s="616">
        <f t="shared" si="300"/>
        <v>0.2724</v>
      </c>
      <c r="BJ313" s="616"/>
      <c r="BK313" s="615">
        <f t="shared" si="301"/>
        <v>24.01508</v>
      </c>
      <c r="BL313" s="616">
        <f t="shared" si="302"/>
        <v>8.9776</v>
      </c>
      <c r="BM313" s="616">
        <f t="shared" si="303"/>
        <v>4.4888</v>
      </c>
      <c r="BN313" s="616">
        <f t="shared" si="304"/>
        <v>3.3666</v>
      </c>
      <c r="BO313" s="616">
        <f t="shared" si="305"/>
        <v>0.11222</v>
      </c>
      <c r="BP313" s="616">
        <f t="shared" si="306"/>
        <v>0.33666</v>
      </c>
      <c r="BQ313" s="616">
        <f t="shared" si="307"/>
        <v>6.7332</v>
      </c>
      <c r="BR313" s="616">
        <f t="shared" si="308"/>
        <v>0</v>
      </c>
      <c r="BS313" s="304"/>
    </row>
  </sheetData>
  <autoFilter ref="A5:BT313">
    <extLst/>
  </autoFilter>
  <mergeCells count="22">
    <mergeCell ref="B2:D2"/>
    <mergeCell ref="E3:R3"/>
    <mergeCell ref="S3:AF3"/>
    <mergeCell ref="AG3:AT3"/>
    <mergeCell ref="AU3:BR3"/>
    <mergeCell ref="F4:L4"/>
    <mergeCell ref="M4:R4"/>
    <mergeCell ref="T4:Z4"/>
    <mergeCell ref="AA4:AF4"/>
    <mergeCell ref="AH4:AN4"/>
    <mergeCell ref="AO4:AT4"/>
    <mergeCell ref="AU4:BB4"/>
    <mergeCell ref="BC4:BJ4"/>
    <mergeCell ref="BK4:BR4"/>
    <mergeCell ref="A3:A5"/>
    <mergeCell ref="B3:B5"/>
    <mergeCell ref="C3:C5"/>
    <mergeCell ref="D3:D5"/>
    <mergeCell ref="E4:E5"/>
    <mergeCell ref="S4:S5"/>
    <mergeCell ref="AG4:AG5"/>
    <mergeCell ref="BS3:BS5"/>
  </mergeCells>
  <conditionalFormatting sqref="C121">
    <cfRule type="duplicateValues" dxfId="0" priority="1"/>
  </conditionalFormatting>
  <conditionalFormatting sqref="C263">
    <cfRule type="duplicateValues" dxfId="0" priority="2"/>
  </conditionalFormatting>
  <pageMargins left="0.699305555555556" right="0.699305555555556" top="0.75" bottom="0.75" header="0.3" footer="0.3"/>
  <pageSetup paperSize="9" scale="28" fitToHeight="0" orientation="landscape"/>
  <headerFooter>
    <oddFooter>&amp;C第 &amp;P 页，共 &amp;N 页</oddFooter>
  </headerFooter>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P311"/>
  <sheetViews>
    <sheetView zoomScale="70" zoomScaleNormal="70" workbookViewId="0">
      <pane xSplit="4" ySplit="8" topLeftCell="E117" activePane="bottomRight" state="frozen"/>
      <selection/>
      <selection pane="topRight"/>
      <selection pane="bottomLeft"/>
      <selection pane="bottomRight" activeCell="N144" sqref="N144"/>
    </sheetView>
  </sheetViews>
  <sheetFormatPr defaultColWidth="9" defaultRowHeight="13.5"/>
  <cols>
    <col min="1" max="1" width="10.1333333333333" style="509" customWidth="1"/>
    <col min="2" max="2" width="9.36666666666667" style="509" customWidth="1"/>
    <col min="3" max="3" width="25.8666666666667" style="509" customWidth="1"/>
    <col min="4" max="4" width="15.8666666666667" style="509" customWidth="1"/>
    <col min="5" max="5" width="13.0916666666667" style="134" customWidth="1"/>
    <col min="6" max="7" width="11.9083333333333" style="130" customWidth="1"/>
    <col min="8" max="8" width="11.875" style="130" customWidth="1"/>
    <col min="9" max="9" width="10.6833333333333" style="130" customWidth="1"/>
    <col min="10" max="11" width="10.375" style="130" customWidth="1"/>
    <col min="12" max="12" width="10.225" style="130" customWidth="1"/>
    <col min="13" max="13" width="13" style="130" customWidth="1"/>
    <col min="14" max="14" width="11.9083333333333" style="134" customWidth="1"/>
    <col min="15" max="15" width="12.9083333333333" style="130" customWidth="1"/>
    <col min="16" max="17" width="9.68333333333333" style="130" customWidth="1"/>
    <col min="18" max="18" width="10.6833333333333" style="130" customWidth="1"/>
    <col min="19" max="19" width="11.9083333333333" style="134" customWidth="1"/>
    <col min="20" max="21" width="11.9083333333333" style="130" customWidth="1"/>
    <col min="22" max="22" width="9.45" style="130" customWidth="1"/>
    <col min="23" max="23" width="10.6833333333333" style="130" customWidth="1"/>
    <col min="24" max="26" width="9.45" style="130" customWidth="1"/>
    <col min="27" max="27" width="11.9083333333333" style="134" customWidth="1"/>
    <col min="28" max="28" width="10.6833333333333" style="130" customWidth="1"/>
    <col min="29" max="30" width="9.45" style="130" customWidth="1"/>
    <col min="31" max="31" width="9.86666666666667" style="130" customWidth="1"/>
    <col min="32" max="32" width="10.6333333333333" style="130" customWidth="1"/>
    <col min="33" max="33" width="11.9083333333333" style="134" customWidth="1"/>
    <col min="34" max="36" width="9.36666666666667" style="130" customWidth="1"/>
    <col min="37" max="38" width="9" style="130" customWidth="1"/>
    <col min="39" max="40" width="9.36666666666667" style="130" customWidth="1"/>
    <col min="41" max="41" width="29.6333333333333" style="548" customWidth="1"/>
  </cols>
  <sheetData>
    <row r="1" ht="27" spans="1:41">
      <c r="A1" s="549" t="s">
        <v>719</v>
      </c>
      <c r="B1" s="549"/>
      <c r="C1" s="549"/>
      <c r="D1" s="549"/>
      <c r="E1" s="549"/>
      <c r="F1" s="549"/>
      <c r="G1" s="549"/>
      <c r="H1" s="549"/>
      <c r="I1" s="549"/>
      <c r="J1" s="549"/>
      <c r="K1" s="549"/>
      <c r="L1" s="549"/>
      <c r="M1" s="549"/>
      <c r="N1" s="549"/>
      <c r="O1" s="549"/>
      <c r="P1" s="549"/>
      <c r="Q1" s="549"/>
      <c r="R1" s="549"/>
      <c r="S1" s="549"/>
      <c r="T1" s="549"/>
      <c r="U1" s="549"/>
      <c r="V1" s="549"/>
      <c r="W1" s="549"/>
      <c r="X1" s="549"/>
      <c r="Y1" s="549"/>
      <c r="Z1" s="549"/>
      <c r="AA1" s="549"/>
      <c r="AB1" s="549"/>
      <c r="AC1" s="549"/>
      <c r="AD1" s="549"/>
      <c r="AE1" s="549"/>
      <c r="AF1" s="549"/>
      <c r="AG1" s="549"/>
      <c r="AH1" s="549"/>
      <c r="AI1" s="549"/>
      <c r="AJ1" s="549"/>
      <c r="AK1" s="549"/>
      <c r="AL1" s="549"/>
      <c r="AM1" s="549"/>
      <c r="AN1" s="549"/>
      <c r="AO1" s="575"/>
    </row>
    <row r="2" s="18" customFormat="1" spans="1:41">
      <c r="A2" s="550"/>
      <c r="B2" s="514"/>
      <c r="C2" s="514"/>
      <c r="D2" s="514"/>
      <c r="E2" s="551"/>
      <c r="F2" s="552"/>
      <c r="G2" s="552"/>
      <c r="H2" s="552"/>
      <c r="I2" s="552"/>
      <c r="J2" s="568"/>
      <c r="K2" s="552"/>
      <c r="L2" s="552"/>
      <c r="M2" s="552"/>
      <c r="N2" s="551"/>
      <c r="O2" s="552"/>
      <c r="P2" s="552"/>
      <c r="Q2" s="552"/>
      <c r="R2" s="552"/>
      <c r="S2" s="551"/>
      <c r="T2" s="552"/>
      <c r="U2" s="552"/>
      <c r="V2" s="552"/>
      <c r="W2" s="552"/>
      <c r="X2" s="552"/>
      <c r="Y2" s="552"/>
      <c r="Z2" s="552"/>
      <c r="AA2" s="551"/>
      <c r="AB2" s="552"/>
      <c r="AC2" s="552"/>
      <c r="AD2" s="552"/>
      <c r="AE2" s="552"/>
      <c r="AF2" s="552"/>
      <c r="AG2" s="551"/>
      <c r="AH2" s="552"/>
      <c r="AI2" s="552"/>
      <c r="AJ2" s="552"/>
      <c r="AK2" s="552"/>
      <c r="AL2" s="552"/>
      <c r="AM2" s="552"/>
      <c r="AN2" s="552"/>
      <c r="AO2" s="550" t="s">
        <v>2</v>
      </c>
    </row>
    <row r="3" spans="1:41">
      <c r="A3" s="467" t="s">
        <v>178</v>
      </c>
      <c r="B3" s="516" t="s">
        <v>179</v>
      </c>
      <c r="C3" s="467" t="s">
        <v>157</v>
      </c>
      <c r="D3" s="467" t="s">
        <v>156</v>
      </c>
      <c r="E3" s="520" t="s">
        <v>720</v>
      </c>
      <c r="F3" s="553"/>
      <c r="G3" s="553"/>
      <c r="H3" s="553"/>
      <c r="I3" s="553"/>
      <c r="J3" s="553"/>
      <c r="K3" s="553"/>
      <c r="L3" s="553"/>
      <c r="M3" s="553"/>
      <c r="N3" s="520"/>
      <c r="O3" s="553"/>
      <c r="P3" s="553"/>
      <c r="Q3" s="553"/>
      <c r="R3" s="553"/>
      <c r="S3" s="520"/>
      <c r="T3" s="553"/>
      <c r="U3" s="553"/>
      <c r="V3" s="553"/>
      <c r="W3" s="553"/>
      <c r="X3" s="553"/>
      <c r="Y3" s="553"/>
      <c r="Z3" s="553"/>
      <c r="AA3" s="520"/>
      <c r="AB3" s="553"/>
      <c r="AC3" s="553"/>
      <c r="AD3" s="553"/>
      <c r="AE3" s="553"/>
      <c r="AF3" s="553"/>
      <c r="AG3" s="520"/>
      <c r="AH3" s="553"/>
      <c r="AI3" s="553"/>
      <c r="AJ3" s="553"/>
      <c r="AK3" s="553"/>
      <c r="AL3" s="553"/>
      <c r="AM3" s="553"/>
      <c r="AN3" s="553"/>
      <c r="AO3" s="467" t="s">
        <v>181</v>
      </c>
    </row>
    <row r="4" spans="1:41">
      <c r="A4" s="467"/>
      <c r="B4" s="554"/>
      <c r="C4" s="467"/>
      <c r="D4" s="467"/>
      <c r="E4" s="555" t="s">
        <v>721</v>
      </c>
      <c r="F4" s="520" t="s">
        <v>722</v>
      </c>
      <c r="G4" s="520"/>
      <c r="H4" s="520"/>
      <c r="I4" s="520"/>
      <c r="J4" s="520"/>
      <c r="K4" s="520"/>
      <c r="L4" s="520"/>
      <c r="M4" s="520"/>
      <c r="N4" s="520"/>
      <c r="O4" s="520"/>
      <c r="P4" s="520"/>
      <c r="Q4" s="520"/>
      <c r="R4" s="520"/>
      <c r="S4" s="520" t="s">
        <v>723</v>
      </c>
      <c r="T4" s="553"/>
      <c r="U4" s="553"/>
      <c r="V4" s="553"/>
      <c r="W4" s="553"/>
      <c r="X4" s="553"/>
      <c r="Y4" s="553"/>
      <c r="Z4" s="553"/>
      <c r="AA4" s="520"/>
      <c r="AB4" s="553"/>
      <c r="AC4" s="553"/>
      <c r="AD4" s="553"/>
      <c r="AE4" s="553"/>
      <c r="AF4" s="553"/>
      <c r="AG4" s="555" t="s">
        <v>180</v>
      </c>
      <c r="AH4" s="467"/>
      <c r="AI4" s="467"/>
      <c r="AJ4" s="467"/>
      <c r="AK4" s="467"/>
      <c r="AL4" s="467"/>
      <c r="AM4" s="467"/>
      <c r="AN4" s="467"/>
      <c r="AO4" s="467"/>
    </row>
    <row r="5" ht="12" customHeight="1" spans="1:41">
      <c r="A5" s="467"/>
      <c r="B5" s="554"/>
      <c r="C5" s="467"/>
      <c r="D5" s="467"/>
      <c r="E5" s="520"/>
      <c r="F5" s="467" t="s">
        <v>22</v>
      </c>
      <c r="G5" s="556" t="s">
        <v>182</v>
      </c>
      <c r="H5" s="557"/>
      <c r="I5" s="557"/>
      <c r="J5" s="557"/>
      <c r="K5" s="557"/>
      <c r="L5" s="557"/>
      <c r="M5" s="569"/>
      <c r="N5" s="555" t="s">
        <v>183</v>
      </c>
      <c r="O5" s="467"/>
      <c r="P5" s="467"/>
      <c r="Q5" s="467"/>
      <c r="R5" s="467"/>
      <c r="S5" s="555" t="s">
        <v>22</v>
      </c>
      <c r="T5" s="556" t="s">
        <v>182</v>
      </c>
      <c r="U5" s="557"/>
      <c r="V5" s="557"/>
      <c r="W5" s="557"/>
      <c r="X5" s="557"/>
      <c r="Y5" s="557"/>
      <c r="Z5" s="569"/>
      <c r="AA5" s="520" t="s">
        <v>183</v>
      </c>
      <c r="AB5" s="553"/>
      <c r="AC5" s="553"/>
      <c r="AD5" s="553"/>
      <c r="AE5" s="553"/>
      <c r="AF5" s="553"/>
      <c r="AG5" s="555" t="s">
        <v>22</v>
      </c>
      <c r="AH5" s="467" t="s">
        <v>195</v>
      </c>
      <c r="AI5" s="467" t="s">
        <v>196</v>
      </c>
      <c r="AJ5" s="467" t="s">
        <v>197</v>
      </c>
      <c r="AK5" s="467" t="s">
        <v>198</v>
      </c>
      <c r="AL5" s="467" t="s">
        <v>199</v>
      </c>
      <c r="AM5" s="467" t="s">
        <v>200</v>
      </c>
      <c r="AN5" s="467" t="s">
        <v>201</v>
      </c>
      <c r="AO5" s="467"/>
    </row>
    <row r="6" s="130" customFormat="1" ht="48" customHeight="1" spans="1:41">
      <c r="A6" s="516"/>
      <c r="B6" s="554"/>
      <c r="C6" s="516"/>
      <c r="D6" s="516"/>
      <c r="E6" s="520"/>
      <c r="F6" s="467"/>
      <c r="G6" s="521" t="s">
        <v>184</v>
      </c>
      <c r="H6" s="521" t="s">
        <v>185</v>
      </c>
      <c r="I6" s="521" t="s">
        <v>186</v>
      </c>
      <c r="J6" s="467" t="s">
        <v>187</v>
      </c>
      <c r="K6" s="570" t="s">
        <v>188</v>
      </c>
      <c r="L6" s="521" t="s">
        <v>189</v>
      </c>
      <c r="M6" s="571" t="s">
        <v>190</v>
      </c>
      <c r="N6" s="572" t="s">
        <v>184</v>
      </c>
      <c r="O6" s="521" t="s">
        <v>191</v>
      </c>
      <c r="P6" s="521" t="s">
        <v>192</v>
      </c>
      <c r="Q6" s="571" t="s">
        <v>193</v>
      </c>
      <c r="R6" s="571" t="s">
        <v>194</v>
      </c>
      <c r="S6" s="555"/>
      <c r="T6" s="521" t="s">
        <v>184</v>
      </c>
      <c r="U6" s="521" t="s">
        <v>643</v>
      </c>
      <c r="V6" s="521" t="s">
        <v>644</v>
      </c>
      <c r="W6" s="521" t="s">
        <v>645</v>
      </c>
      <c r="X6" s="521" t="s">
        <v>646</v>
      </c>
      <c r="Y6" s="521" t="s">
        <v>647</v>
      </c>
      <c r="Z6" s="571" t="s">
        <v>648</v>
      </c>
      <c r="AA6" s="573" t="s">
        <v>184</v>
      </c>
      <c r="AB6" s="467" t="s">
        <v>649</v>
      </c>
      <c r="AC6" s="521" t="s">
        <v>650</v>
      </c>
      <c r="AD6" s="521" t="s">
        <v>191</v>
      </c>
      <c r="AE6" s="521" t="s">
        <v>192</v>
      </c>
      <c r="AF6" s="571" t="s">
        <v>651</v>
      </c>
      <c r="AG6" s="555"/>
      <c r="AH6" s="467"/>
      <c r="AI6" s="467"/>
      <c r="AJ6" s="467"/>
      <c r="AK6" s="467"/>
      <c r="AL6" s="467"/>
      <c r="AM6" s="467"/>
      <c r="AN6" s="467"/>
      <c r="AO6" s="467"/>
    </row>
    <row r="7" s="508" customFormat="1" ht="21" customHeight="1" spans="1:41">
      <c r="A7" s="558"/>
      <c r="B7" s="559"/>
      <c r="C7" s="560" t="s">
        <v>22</v>
      </c>
      <c r="D7" s="560"/>
      <c r="E7" s="561">
        <f t="shared" ref="E7:AN7" si="0">E8+E135+E145+E207+E210+E224+E237+E263+E275+E287+E296+E299+E307</f>
        <v>118938.22327496</v>
      </c>
      <c r="F7" s="561">
        <f t="shared" si="0"/>
        <v>23287.3916</v>
      </c>
      <c r="G7" s="561">
        <f t="shared" si="0"/>
        <v>18336.5316</v>
      </c>
      <c r="H7" s="561">
        <f t="shared" si="0"/>
        <v>6860.5396</v>
      </c>
      <c r="I7" s="561">
        <f t="shared" si="0"/>
        <v>5139.9032</v>
      </c>
      <c r="J7" s="561">
        <f t="shared" si="0"/>
        <v>578.8424</v>
      </c>
      <c r="K7" s="561">
        <f t="shared" si="0"/>
        <v>140.28</v>
      </c>
      <c r="L7" s="561">
        <f t="shared" si="0"/>
        <v>121.4664</v>
      </c>
      <c r="M7" s="561">
        <f t="shared" si="0"/>
        <v>5495.5</v>
      </c>
      <c r="N7" s="561">
        <f t="shared" si="0"/>
        <v>4950.86</v>
      </c>
      <c r="O7" s="561">
        <f t="shared" si="0"/>
        <v>2594.2</v>
      </c>
      <c r="P7" s="561">
        <f t="shared" si="0"/>
        <v>712.71</v>
      </c>
      <c r="Q7" s="561">
        <f t="shared" si="0"/>
        <v>862.45</v>
      </c>
      <c r="R7" s="561">
        <f t="shared" si="0"/>
        <v>781.5</v>
      </c>
      <c r="S7" s="561">
        <f t="shared" si="0"/>
        <v>67871.298244</v>
      </c>
      <c r="T7" s="561">
        <f t="shared" si="0"/>
        <v>55647.6096</v>
      </c>
      <c r="U7" s="561">
        <f t="shared" si="0"/>
        <v>29696.0724</v>
      </c>
      <c r="V7" s="561">
        <f t="shared" si="0"/>
        <v>160.4752</v>
      </c>
      <c r="W7" s="561">
        <f t="shared" si="0"/>
        <v>9375.47</v>
      </c>
      <c r="X7" s="561">
        <f t="shared" si="0"/>
        <v>883.79</v>
      </c>
      <c r="Y7" s="561">
        <f t="shared" si="0"/>
        <v>61.592</v>
      </c>
      <c r="Z7" s="561">
        <f t="shared" si="0"/>
        <v>15470.21</v>
      </c>
      <c r="AA7" s="561">
        <f t="shared" si="0"/>
        <v>12223.688644</v>
      </c>
      <c r="AB7" s="561">
        <f t="shared" si="0"/>
        <v>5634.52242</v>
      </c>
      <c r="AC7" s="561">
        <f t="shared" si="0"/>
        <v>707.924</v>
      </c>
      <c r="AD7" s="561">
        <f t="shared" si="0"/>
        <v>805.608224</v>
      </c>
      <c r="AE7" s="561">
        <f t="shared" si="0"/>
        <v>2226.384</v>
      </c>
      <c r="AF7" s="561">
        <f t="shared" si="0"/>
        <v>2849.25</v>
      </c>
      <c r="AG7" s="561">
        <f t="shared" si="0"/>
        <v>27779.53343096</v>
      </c>
      <c r="AH7" s="561">
        <f t="shared" si="0"/>
        <v>10070.6120352</v>
      </c>
      <c r="AI7" s="561">
        <f t="shared" si="0"/>
        <v>4549.3586256</v>
      </c>
      <c r="AJ7" s="561">
        <f t="shared" si="0"/>
        <v>3412.0189692</v>
      </c>
      <c r="AK7" s="561">
        <f t="shared" si="0"/>
        <v>113.73396564</v>
      </c>
      <c r="AL7" s="561">
        <f t="shared" si="0"/>
        <v>341.20189692</v>
      </c>
      <c r="AM7" s="561">
        <f t="shared" si="0"/>
        <v>6824.0379384</v>
      </c>
      <c r="AN7" s="561">
        <f t="shared" si="0"/>
        <v>2468.57</v>
      </c>
      <c r="AO7" s="558"/>
    </row>
    <row r="8" s="508" customFormat="1" ht="21" customHeight="1" spans="1:41">
      <c r="A8" s="558"/>
      <c r="B8" s="558"/>
      <c r="C8" s="332" t="s">
        <v>126</v>
      </c>
      <c r="D8" s="562">
        <v>201</v>
      </c>
      <c r="E8" s="561">
        <f t="shared" ref="E8:AN8" si="1">SUM(E9:E134)</f>
        <v>25614.88867928</v>
      </c>
      <c r="F8" s="561">
        <f t="shared" si="1"/>
        <v>11332.8867</v>
      </c>
      <c r="G8" s="561">
        <f t="shared" si="1"/>
        <v>9658.5367</v>
      </c>
      <c r="H8" s="561">
        <f t="shared" si="1"/>
        <v>3724.0804</v>
      </c>
      <c r="I8" s="561">
        <f t="shared" si="1"/>
        <v>2440.6532</v>
      </c>
      <c r="J8" s="561">
        <f t="shared" si="1"/>
        <v>312.1691</v>
      </c>
      <c r="K8" s="561">
        <f t="shared" si="1"/>
        <v>124.44</v>
      </c>
      <c r="L8" s="561">
        <f t="shared" si="1"/>
        <v>25.204</v>
      </c>
      <c r="M8" s="561">
        <f t="shared" si="1"/>
        <v>3031.99</v>
      </c>
      <c r="N8" s="561">
        <f t="shared" si="1"/>
        <v>1674.35</v>
      </c>
      <c r="O8" s="561">
        <f t="shared" si="1"/>
        <v>727.699999999999</v>
      </c>
      <c r="P8" s="561">
        <f t="shared" si="1"/>
        <v>30</v>
      </c>
      <c r="Q8" s="561">
        <f t="shared" si="1"/>
        <v>480.15</v>
      </c>
      <c r="R8" s="561">
        <f t="shared" si="1"/>
        <v>436.5</v>
      </c>
      <c r="S8" s="561">
        <f t="shared" si="1"/>
        <v>8619.315796</v>
      </c>
      <c r="T8" s="561">
        <f t="shared" si="1"/>
        <v>6549.3708</v>
      </c>
      <c r="U8" s="561">
        <f t="shared" si="1"/>
        <v>3636.9608</v>
      </c>
      <c r="V8" s="561">
        <f t="shared" si="1"/>
        <v>2.13</v>
      </c>
      <c r="W8" s="561">
        <f t="shared" si="1"/>
        <v>1360.096</v>
      </c>
      <c r="X8" s="561">
        <f t="shared" si="1"/>
        <v>175.68</v>
      </c>
      <c r="Y8" s="561">
        <f t="shared" si="1"/>
        <v>25.334</v>
      </c>
      <c r="Z8" s="561">
        <f t="shared" si="1"/>
        <v>1349.17</v>
      </c>
      <c r="AA8" s="561">
        <f t="shared" si="1"/>
        <v>2069.944996</v>
      </c>
      <c r="AB8" s="561">
        <f t="shared" si="1"/>
        <v>816.50186</v>
      </c>
      <c r="AC8" s="561">
        <f t="shared" si="1"/>
        <v>293.67</v>
      </c>
      <c r="AD8" s="561">
        <f t="shared" si="1"/>
        <v>475.143136</v>
      </c>
      <c r="AE8" s="561">
        <f t="shared" si="1"/>
        <v>1.63</v>
      </c>
      <c r="AF8" s="561">
        <f t="shared" si="1"/>
        <v>483</v>
      </c>
      <c r="AG8" s="561">
        <f t="shared" si="1"/>
        <v>5662.68618328</v>
      </c>
      <c r="AH8" s="561">
        <f t="shared" si="1"/>
        <v>2451.9330176</v>
      </c>
      <c r="AI8" s="561">
        <f t="shared" si="1"/>
        <v>958.4337808</v>
      </c>
      <c r="AJ8" s="561">
        <f t="shared" si="1"/>
        <v>718.8253356</v>
      </c>
      <c r="AK8" s="561">
        <f t="shared" si="1"/>
        <v>23.96084452</v>
      </c>
      <c r="AL8" s="561">
        <f t="shared" si="1"/>
        <v>71.88253356</v>
      </c>
      <c r="AM8" s="574">
        <f t="shared" si="1"/>
        <v>1437.6506712</v>
      </c>
      <c r="AN8" s="561">
        <f t="shared" si="1"/>
        <v>0</v>
      </c>
      <c r="AO8" s="558"/>
    </row>
    <row r="9" s="130" customFormat="1" ht="24" spans="1:41">
      <c r="A9" s="1" t="s">
        <v>202</v>
      </c>
      <c r="B9" s="1" t="s">
        <v>203</v>
      </c>
      <c r="C9" s="1" t="s">
        <v>204</v>
      </c>
      <c r="D9" s="1" t="s">
        <v>205</v>
      </c>
      <c r="E9" s="563">
        <f t="shared" ref="E9:E72" si="2">F9+S9+AG9</f>
        <v>544.74652</v>
      </c>
      <c r="F9" s="564">
        <f t="shared" ref="F9:F72" si="3">G9+N9</f>
        <v>416.29</v>
      </c>
      <c r="G9" s="564">
        <f t="shared" ref="G9:G72" si="4">SUM(H9:M9)</f>
        <v>384.79</v>
      </c>
      <c r="H9" s="564">
        <v>157.09</v>
      </c>
      <c r="I9" s="564">
        <v>92.5</v>
      </c>
      <c r="J9" s="564">
        <v>13.09</v>
      </c>
      <c r="K9" s="564"/>
      <c r="L9" s="564"/>
      <c r="M9" s="564">
        <v>122.11</v>
      </c>
      <c r="N9" s="563">
        <f t="shared" ref="N9:N72" si="5">SUM(O9:R9)</f>
        <v>31.5</v>
      </c>
      <c r="O9" s="564"/>
      <c r="P9" s="564"/>
      <c r="Q9" s="564">
        <v>16.5</v>
      </c>
      <c r="R9" s="564">
        <v>15</v>
      </c>
      <c r="S9" s="563">
        <f t="shared" ref="S9:S72" si="6">T9+AA9</f>
        <v>0</v>
      </c>
      <c r="T9" s="564">
        <f t="shared" ref="T9:T72" si="7">SUM(U9:Z9)</f>
        <v>0</v>
      </c>
      <c r="U9" s="564"/>
      <c r="V9" s="564"/>
      <c r="W9" s="564"/>
      <c r="X9" s="564"/>
      <c r="Y9" s="564"/>
      <c r="Z9" s="564"/>
      <c r="AA9" s="563">
        <f t="shared" ref="AA9:AA72" si="8">SUM(AB9:AF9)</f>
        <v>0</v>
      </c>
      <c r="AB9" s="564"/>
      <c r="AC9" s="564"/>
      <c r="AD9" s="564"/>
      <c r="AE9" s="564"/>
      <c r="AF9" s="564"/>
      <c r="AG9" s="563">
        <f t="shared" ref="AG9:AG72" si="9">SUM(AH9:AN9)</f>
        <v>128.45652</v>
      </c>
      <c r="AH9" s="564">
        <f t="shared" ref="AH9:AH72" si="10">(H9+I9+J9+U9+V9+W9+AB9+M9)*0.16</f>
        <v>61.5664</v>
      </c>
      <c r="AI9" s="564">
        <f t="shared" ref="AI9:AI72" si="11">(H9+I9+U9+V9+W9+AB9)*0.08</f>
        <v>19.9672</v>
      </c>
      <c r="AJ9" s="564">
        <f t="shared" ref="AJ9:AJ72" si="12">(H9+I9+U9+V9+W9+AB9)*0.06</f>
        <v>14.9754</v>
      </c>
      <c r="AK9" s="564">
        <f t="shared" ref="AK9:AK72" si="13">(H9+I9+U9+V9+W9+AB9)*0.002</f>
        <v>0.49918</v>
      </c>
      <c r="AL9" s="564">
        <f t="shared" ref="AL9:AL72" si="14">(H9+I9+U9+V9+W9+AB9)*0.006</f>
        <v>1.49754</v>
      </c>
      <c r="AM9" s="564">
        <f t="shared" ref="AM9:AM72" si="15">(H9+I9+U9+V9+W9+AB9)*0.12</f>
        <v>29.9508</v>
      </c>
      <c r="AN9" s="564"/>
      <c r="AO9" s="304"/>
    </row>
    <row r="10" s="130" customFormat="1" ht="24" spans="1:41">
      <c r="A10" s="1" t="s">
        <v>202</v>
      </c>
      <c r="B10" s="1" t="s">
        <v>206</v>
      </c>
      <c r="C10" s="1" t="s">
        <v>207</v>
      </c>
      <c r="D10" s="1" t="s">
        <v>208</v>
      </c>
      <c r="E10" s="563">
        <f t="shared" si="2"/>
        <v>56.9948</v>
      </c>
      <c r="F10" s="564">
        <f t="shared" si="3"/>
        <v>0</v>
      </c>
      <c r="G10" s="564">
        <f t="shared" si="4"/>
        <v>0</v>
      </c>
      <c r="H10" s="564"/>
      <c r="I10" s="564"/>
      <c r="J10" s="564"/>
      <c r="K10" s="564"/>
      <c r="L10" s="564"/>
      <c r="M10" s="564"/>
      <c r="N10" s="563">
        <f t="shared" si="5"/>
        <v>0</v>
      </c>
      <c r="O10" s="564"/>
      <c r="P10" s="564"/>
      <c r="Q10" s="564"/>
      <c r="R10" s="564"/>
      <c r="S10" s="563">
        <f t="shared" si="6"/>
        <v>46.68</v>
      </c>
      <c r="T10" s="564">
        <f t="shared" si="7"/>
        <v>25.94</v>
      </c>
      <c r="U10" s="564">
        <v>14.82</v>
      </c>
      <c r="V10" s="564"/>
      <c r="W10" s="564">
        <v>5.8</v>
      </c>
      <c r="X10" s="564"/>
      <c r="Y10" s="564"/>
      <c r="Z10" s="564">
        <v>5.32</v>
      </c>
      <c r="AA10" s="563">
        <f t="shared" si="8"/>
        <v>20.74</v>
      </c>
      <c r="AB10" s="564">
        <v>3.48</v>
      </c>
      <c r="AC10" s="564"/>
      <c r="AD10" s="564">
        <v>15.26</v>
      </c>
      <c r="AE10" s="564"/>
      <c r="AF10" s="564">
        <v>2</v>
      </c>
      <c r="AG10" s="563">
        <f t="shared" si="9"/>
        <v>10.3148</v>
      </c>
      <c r="AH10" s="564">
        <f t="shared" si="10"/>
        <v>3.856</v>
      </c>
      <c r="AI10" s="564">
        <f t="shared" si="11"/>
        <v>1.928</v>
      </c>
      <c r="AJ10" s="564">
        <f t="shared" si="12"/>
        <v>1.446</v>
      </c>
      <c r="AK10" s="564">
        <f t="shared" si="13"/>
        <v>0.0482</v>
      </c>
      <c r="AL10" s="564">
        <f t="shared" si="14"/>
        <v>0.1446</v>
      </c>
      <c r="AM10" s="564">
        <f t="shared" si="15"/>
        <v>2.892</v>
      </c>
      <c r="AN10" s="564"/>
      <c r="AO10" s="304"/>
    </row>
    <row r="11" s="130" customFormat="1" ht="24" spans="1:41">
      <c r="A11" s="1" t="s">
        <v>202</v>
      </c>
      <c r="B11" s="1" t="s">
        <v>203</v>
      </c>
      <c r="C11" s="1" t="s">
        <v>209</v>
      </c>
      <c r="D11" s="1" t="s">
        <v>210</v>
      </c>
      <c r="E11" s="563">
        <f t="shared" si="2"/>
        <v>498.05176</v>
      </c>
      <c r="F11" s="564">
        <f t="shared" si="3"/>
        <v>382.4</v>
      </c>
      <c r="G11" s="564">
        <f t="shared" si="4"/>
        <v>340.89</v>
      </c>
      <c r="H11" s="564">
        <v>143.88</v>
      </c>
      <c r="I11" s="564">
        <v>84.14</v>
      </c>
      <c r="J11" s="564">
        <v>11.99</v>
      </c>
      <c r="K11" s="564"/>
      <c r="L11" s="564"/>
      <c r="M11" s="564">
        <v>100.88</v>
      </c>
      <c r="N11" s="563">
        <f t="shared" si="5"/>
        <v>41.51</v>
      </c>
      <c r="O11" s="564">
        <v>15.26</v>
      </c>
      <c r="P11" s="564"/>
      <c r="Q11" s="564">
        <v>13.75</v>
      </c>
      <c r="R11" s="564">
        <v>12.5</v>
      </c>
      <c r="S11" s="563">
        <f t="shared" si="6"/>
        <v>0</v>
      </c>
      <c r="T11" s="564">
        <f t="shared" si="7"/>
        <v>0</v>
      </c>
      <c r="U11" s="564"/>
      <c r="V11" s="564"/>
      <c r="W11" s="564"/>
      <c r="X11" s="564"/>
      <c r="Y11" s="564"/>
      <c r="Z11" s="564"/>
      <c r="AA11" s="563">
        <f t="shared" si="8"/>
        <v>0</v>
      </c>
      <c r="AB11" s="564"/>
      <c r="AC11" s="564"/>
      <c r="AD11" s="564"/>
      <c r="AE11" s="564"/>
      <c r="AF11" s="564"/>
      <c r="AG11" s="563">
        <f t="shared" si="9"/>
        <v>115.65176</v>
      </c>
      <c r="AH11" s="564">
        <f t="shared" si="10"/>
        <v>54.5424</v>
      </c>
      <c r="AI11" s="564">
        <f t="shared" si="11"/>
        <v>18.2416</v>
      </c>
      <c r="AJ11" s="564">
        <f t="shared" si="12"/>
        <v>13.6812</v>
      </c>
      <c r="AK11" s="564">
        <f t="shared" si="13"/>
        <v>0.45604</v>
      </c>
      <c r="AL11" s="564">
        <f t="shared" si="14"/>
        <v>1.36812</v>
      </c>
      <c r="AM11" s="564">
        <f t="shared" si="15"/>
        <v>27.3624</v>
      </c>
      <c r="AN11" s="564"/>
      <c r="AO11" s="304"/>
    </row>
    <row r="12" s="130" customFormat="1" ht="24" spans="1:41">
      <c r="A12" s="1" t="s">
        <v>202</v>
      </c>
      <c r="B12" s="1" t="s">
        <v>206</v>
      </c>
      <c r="C12" s="1" t="s">
        <v>211</v>
      </c>
      <c r="D12" s="1" t="s">
        <v>212</v>
      </c>
      <c r="E12" s="563">
        <f t="shared" si="2"/>
        <v>33.13472</v>
      </c>
      <c r="F12" s="564">
        <f t="shared" si="3"/>
        <v>0</v>
      </c>
      <c r="G12" s="564">
        <f t="shared" si="4"/>
        <v>0</v>
      </c>
      <c r="H12" s="564"/>
      <c r="I12" s="564"/>
      <c r="J12" s="564"/>
      <c r="K12" s="564"/>
      <c r="L12" s="564"/>
      <c r="M12" s="564"/>
      <c r="N12" s="563">
        <f t="shared" si="5"/>
        <v>0</v>
      </c>
      <c r="O12" s="564"/>
      <c r="P12" s="564"/>
      <c r="Q12" s="564"/>
      <c r="R12" s="564"/>
      <c r="S12" s="563">
        <f t="shared" si="6"/>
        <v>24.9</v>
      </c>
      <c r="T12" s="564">
        <f t="shared" si="7"/>
        <v>20.76</v>
      </c>
      <c r="U12" s="564">
        <v>12.19</v>
      </c>
      <c r="V12" s="564"/>
      <c r="W12" s="564">
        <v>4.41</v>
      </c>
      <c r="X12" s="564"/>
      <c r="Y12" s="564"/>
      <c r="Z12" s="564">
        <v>4.16</v>
      </c>
      <c r="AA12" s="563">
        <f t="shared" si="8"/>
        <v>4.14</v>
      </c>
      <c r="AB12" s="564">
        <v>2.64</v>
      </c>
      <c r="AC12" s="564"/>
      <c r="AD12" s="564"/>
      <c r="AE12" s="564"/>
      <c r="AF12" s="564">
        <v>1.5</v>
      </c>
      <c r="AG12" s="563">
        <f t="shared" si="9"/>
        <v>8.23472</v>
      </c>
      <c r="AH12" s="564">
        <f t="shared" si="10"/>
        <v>3.0784</v>
      </c>
      <c r="AI12" s="564">
        <f t="shared" si="11"/>
        <v>1.5392</v>
      </c>
      <c r="AJ12" s="564">
        <f t="shared" si="12"/>
        <v>1.1544</v>
      </c>
      <c r="AK12" s="564">
        <f t="shared" si="13"/>
        <v>0.03848</v>
      </c>
      <c r="AL12" s="564">
        <f t="shared" si="14"/>
        <v>0.11544</v>
      </c>
      <c r="AM12" s="564">
        <f t="shared" si="15"/>
        <v>2.3088</v>
      </c>
      <c r="AN12" s="564"/>
      <c r="AO12" s="304"/>
    </row>
    <row r="13" s="130" customFormat="1" ht="24" spans="1:41">
      <c r="A13" s="1" t="s">
        <v>202</v>
      </c>
      <c r="B13" s="1" t="s">
        <v>203</v>
      </c>
      <c r="C13" s="1" t="s">
        <v>213</v>
      </c>
      <c r="D13" s="1" t="s">
        <v>214</v>
      </c>
      <c r="E13" s="563">
        <f t="shared" si="2"/>
        <v>359.34052</v>
      </c>
      <c r="F13" s="564">
        <f t="shared" si="3"/>
        <v>275.89</v>
      </c>
      <c r="G13" s="564">
        <f t="shared" si="4"/>
        <v>251.74</v>
      </c>
      <c r="H13" s="564">
        <v>97.32</v>
      </c>
      <c r="I13" s="564">
        <v>63.77</v>
      </c>
      <c r="J13" s="564">
        <v>9.23</v>
      </c>
      <c r="K13" s="564"/>
      <c r="L13" s="564"/>
      <c r="M13" s="564">
        <v>81.42</v>
      </c>
      <c r="N13" s="563">
        <f t="shared" si="5"/>
        <v>24.15</v>
      </c>
      <c r="O13" s="564"/>
      <c r="P13" s="564"/>
      <c r="Q13" s="564">
        <v>12.65</v>
      </c>
      <c r="R13" s="564">
        <v>11.5</v>
      </c>
      <c r="S13" s="563">
        <f t="shared" si="6"/>
        <v>0</v>
      </c>
      <c r="T13" s="564">
        <f t="shared" si="7"/>
        <v>0</v>
      </c>
      <c r="U13" s="564"/>
      <c r="V13" s="564"/>
      <c r="W13" s="564"/>
      <c r="X13" s="564"/>
      <c r="Y13" s="564"/>
      <c r="Z13" s="564"/>
      <c r="AA13" s="563">
        <f t="shared" si="8"/>
        <v>0</v>
      </c>
      <c r="AB13" s="564"/>
      <c r="AC13" s="564"/>
      <c r="AD13" s="564"/>
      <c r="AE13" s="564"/>
      <c r="AF13" s="564"/>
      <c r="AG13" s="563">
        <f t="shared" si="9"/>
        <v>83.45052</v>
      </c>
      <c r="AH13" s="564">
        <f t="shared" si="10"/>
        <v>40.2784</v>
      </c>
      <c r="AI13" s="564">
        <f t="shared" si="11"/>
        <v>12.8872</v>
      </c>
      <c r="AJ13" s="564">
        <f t="shared" si="12"/>
        <v>9.6654</v>
      </c>
      <c r="AK13" s="564">
        <f t="shared" si="13"/>
        <v>0.32218</v>
      </c>
      <c r="AL13" s="564">
        <f t="shared" si="14"/>
        <v>0.96654</v>
      </c>
      <c r="AM13" s="564">
        <f t="shared" si="15"/>
        <v>19.3308</v>
      </c>
      <c r="AN13" s="564"/>
      <c r="AO13" s="304"/>
    </row>
    <row r="14" s="130" customFormat="1" ht="24" spans="1:41">
      <c r="A14" s="1" t="s">
        <v>215</v>
      </c>
      <c r="B14" s="1" t="s">
        <v>203</v>
      </c>
      <c r="C14" s="1" t="s">
        <v>216</v>
      </c>
      <c r="D14" s="1" t="s">
        <v>214</v>
      </c>
      <c r="E14" s="563">
        <f t="shared" si="2"/>
        <v>88.48128</v>
      </c>
      <c r="F14" s="564">
        <f t="shared" si="3"/>
        <v>76.04</v>
      </c>
      <c r="G14" s="564">
        <f t="shared" si="4"/>
        <v>37.29</v>
      </c>
      <c r="H14" s="564">
        <v>14.57</v>
      </c>
      <c r="I14" s="564">
        <v>9.59</v>
      </c>
      <c r="J14" s="564">
        <v>1.21</v>
      </c>
      <c r="K14" s="564"/>
      <c r="L14" s="564"/>
      <c r="M14" s="564">
        <v>11.92</v>
      </c>
      <c r="N14" s="563">
        <f t="shared" si="5"/>
        <v>38.75</v>
      </c>
      <c r="O14" s="564">
        <v>35.6</v>
      </c>
      <c r="P14" s="564"/>
      <c r="Q14" s="564">
        <v>1.65</v>
      </c>
      <c r="R14" s="564">
        <v>1.5</v>
      </c>
      <c r="S14" s="563">
        <f t="shared" si="6"/>
        <v>0</v>
      </c>
      <c r="T14" s="564">
        <f t="shared" si="7"/>
        <v>0</v>
      </c>
      <c r="U14" s="564"/>
      <c r="V14" s="564"/>
      <c r="W14" s="564"/>
      <c r="X14" s="564"/>
      <c r="Y14" s="564"/>
      <c r="Z14" s="564"/>
      <c r="AA14" s="563">
        <f t="shared" si="8"/>
        <v>0</v>
      </c>
      <c r="AB14" s="564"/>
      <c r="AC14" s="564"/>
      <c r="AD14" s="564"/>
      <c r="AE14" s="564"/>
      <c r="AF14" s="564"/>
      <c r="AG14" s="563">
        <f t="shared" si="9"/>
        <v>12.44128</v>
      </c>
      <c r="AH14" s="564">
        <f t="shared" si="10"/>
        <v>5.9664</v>
      </c>
      <c r="AI14" s="564">
        <f t="shared" si="11"/>
        <v>1.9328</v>
      </c>
      <c r="AJ14" s="564">
        <f t="shared" si="12"/>
        <v>1.4496</v>
      </c>
      <c r="AK14" s="564">
        <f t="shared" si="13"/>
        <v>0.04832</v>
      </c>
      <c r="AL14" s="564">
        <f t="shared" si="14"/>
        <v>0.14496</v>
      </c>
      <c r="AM14" s="564">
        <f t="shared" si="15"/>
        <v>2.8992</v>
      </c>
      <c r="AN14" s="564"/>
      <c r="AO14" s="304"/>
    </row>
    <row r="15" s="130" customFormat="1" ht="24" spans="1:41">
      <c r="A15" s="1" t="s">
        <v>202</v>
      </c>
      <c r="B15" s="1" t="s">
        <v>203</v>
      </c>
      <c r="C15" s="1" t="s">
        <v>217</v>
      </c>
      <c r="D15" s="1" t="s">
        <v>218</v>
      </c>
      <c r="E15" s="563">
        <f t="shared" si="2"/>
        <v>104.41808</v>
      </c>
      <c r="F15" s="564">
        <f t="shared" si="3"/>
        <v>82.92</v>
      </c>
      <c r="G15" s="564">
        <f t="shared" si="4"/>
        <v>66.44</v>
      </c>
      <c r="H15" s="564">
        <v>24.8</v>
      </c>
      <c r="I15" s="564">
        <v>16.76</v>
      </c>
      <c r="J15" s="564">
        <v>2.07</v>
      </c>
      <c r="K15" s="564"/>
      <c r="L15" s="564">
        <v>1.69</v>
      </c>
      <c r="M15" s="564">
        <v>21.12</v>
      </c>
      <c r="N15" s="563">
        <f t="shared" si="5"/>
        <v>16.48</v>
      </c>
      <c r="O15" s="564">
        <v>10.18</v>
      </c>
      <c r="P15" s="564"/>
      <c r="Q15" s="564">
        <v>3.3</v>
      </c>
      <c r="R15" s="564">
        <v>3</v>
      </c>
      <c r="S15" s="563">
        <f t="shared" si="6"/>
        <v>0</v>
      </c>
      <c r="T15" s="564">
        <f t="shared" si="7"/>
        <v>0</v>
      </c>
      <c r="U15" s="564"/>
      <c r="V15" s="564"/>
      <c r="W15" s="564"/>
      <c r="X15" s="564"/>
      <c r="Y15" s="564"/>
      <c r="Z15" s="564"/>
      <c r="AA15" s="563">
        <f t="shared" si="8"/>
        <v>0</v>
      </c>
      <c r="AB15" s="564"/>
      <c r="AC15" s="564"/>
      <c r="AD15" s="564"/>
      <c r="AE15" s="564"/>
      <c r="AF15" s="564"/>
      <c r="AG15" s="563">
        <f t="shared" si="9"/>
        <v>21.49808</v>
      </c>
      <c r="AH15" s="564">
        <f t="shared" si="10"/>
        <v>10.36</v>
      </c>
      <c r="AI15" s="564">
        <f t="shared" si="11"/>
        <v>3.3248</v>
      </c>
      <c r="AJ15" s="564">
        <f t="shared" si="12"/>
        <v>2.4936</v>
      </c>
      <c r="AK15" s="564">
        <f t="shared" si="13"/>
        <v>0.08312</v>
      </c>
      <c r="AL15" s="564">
        <f t="shared" si="14"/>
        <v>0.24936</v>
      </c>
      <c r="AM15" s="564">
        <f t="shared" si="15"/>
        <v>4.9872</v>
      </c>
      <c r="AN15" s="564"/>
      <c r="AO15" s="304"/>
    </row>
    <row r="16" s="130" customFormat="1" ht="24" spans="1:41">
      <c r="A16" s="1" t="s">
        <v>202</v>
      </c>
      <c r="B16" s="1" t="s">
        <v>206</v>
      </c>
      <c r="C16" s="1" t="s">
        <v>219</v>
      </c>
      <c r="D16" s="1" t="s">
        <v>220</v>
      </c>
      <c r="E16" s="563">
        <f t="shared" si="2"/>
        <v>41.0922</v>
      </c>
      <c r="F16" s="564">
        <f t="shared" si="3"/>
        <v>0</v>
      </c>
      <c r="G16" s="564">
        <f t="shared" si="4"/>
        <v>0</v>
      </c>
      <c r="H16" s="564"/>
      <c r="I16" s="564"/>
      <c r="J16" s="564"/>
      <c r="K16" s="564"/>
      <c r="L16" s="564"/>
      <c r="M16" s="564"/>
      <c r="N16" s="563">
        <f t="shared" si="5"/>
        <v>0</v>
      </c>
      <c r="O16" s="564"/>
      <c r="P16" s="564"/>
      <c r="Q16" s="564"/>
      <c r="R16" s="564"/>
      <c r="S16" s="563">
        <f t="shared" si="6"/>
        <v>30.97</v>
      </c>
      <c r="T16" s="564">
        <f t="shared" si="7"/>
        <v>25.56</v>
      </c>
      <c r="U16" s="564">
        <v>14.57</v>
      </c>
      <c r="V16" s="564"/>
      <c r="W16" s="564">
        <v>5.67</v>
      </c>
      <c r="X16" s="564"/>
      <c r="Y16" s="564"/>
      <c r="Z16" s="564">
        <v>5.32</v>
      </c>
      <c r="AA16" s="563">
        <f t="shared" si="8"/>
        <v>5.41</v>
      </c>
      <c r="AB16" s="564">
        <v>3.41</v>
      </c>
      <c r="AC16" s="564"/>
      <c r="AD16" s="564"/>
      <c r="AE16" s="564"/>
      <c r="AF16" s="564">
        <v>2</v>
      </c>
      <c r="AG16" s="563">
        <f t="shared" si="9"/>
        <v>10.1222</v>
      </c>
      <c r="AH16" s="564">
        <f t="shared" si="10"/>
        <v>3.784</v>
      </c>
      <c r="AI16" s="564">
        <f t="shared" si="11"/>
        <v>1.892</v>
      </c>
      <c r="AJ16" s="564">
        <f t="shared" si="12"/>
        <v>1.419</v>
      </c>
      <c r="AK16" s="564">
        <f t="shared" si="13"/>
        <v>0.0473</v>
      </c>
      <c r="AL16" s="564">
        <f t="shared" si="14"/>
        <v>0.1419</v>
      </c>
      <c r="AM16" s="564">
        <f t="shared" si="15"/>
        <v>2.838</v>
      </c>
      <c r="AN16" s="564"/>
      <c r="AO16" s="304"/>
    </row>
    <row r="17" s="130" customFormat="1" ht="24" spans="1:41">
      <c r="A17" s="1" t="s">
        <v>202</v>
      </c>
      <c r="B17" s="1" t="s">
        <v>206</v>
      </c>
      <c r="C17" s="1" t="s">
        <v>221</v>
      </c>
      <c r="D17" s="1" t="s">
        <v>220</v>
      </c>
      <c r="E17" s="563">
        <f t="shared" si="2"/>
        <v>488.50096</v>
      </c>
      <c r="F17" s="564">
        <f t="shared" si="3"/>
        <v>0</v>
      </c>
      <c r="G17" s="564">
        <f t="shared" si="4"/>
        <v>0</v>
      </c>
      <c r="H17" s="564"/>
      <c r="I17" s="564"/>
      <c r="J17" s="564"/>
      <c r="K17" s="564"/>
      <c r="L17" s="564"/>
      <c r="M17" s="564"/>
      <c r="N17" s="563">
        <f t="shared" si="5"/>
        <v>0</v>
      </c>
      <c r="O17" s="564"/>
      <c r="P17" s="564"/>
      <c r="Q17" s="564"/>
      <c r="R17" s="564"/>
      <c r="S17" s="563">
        <f t="shared" si="6"/>
        <v>474.24</v>
      </c>
      <c r="T17" s="564">
        <f t="shared" si="7"/>
        <v>35.26</v>
      </c>
      <c r="U17" s="564">
        <v>20.52</v>
      </c>
      <c r="V17" s="564"/>
      <c r="W17" s="564">
        <v>7.92</v>
      </c>
      <c r="X17" s="564"/>
      <c r="Y17" s="564"/>
      <c r="Z17" s="564">
        <v>6.82</v>
      </c>
      <c r="AA17" s="563">
        <f t="shared" si="8"/>
        <v>438.98</v>
      </c>
      <c r="AB17" s="564">
        <v>4.88</v>
      </c>
      <c r="AC17" s="564"/>
      <c r="AD17" s="564">
        <v>431.6</v>
      </c>
      <c r="AE17" s="564"/>
      <c r="AF17" s="564">
        <v>2.5</v>
      </c>
      <c r="AG17" s="563">
        <f t="shared" si="9"/>
        <v>14.26096</v>
      </c>
      <c r="AH17" s="564">
        <f t="shared" si="10"/>
        <v>5.3312</v>
      </c>
      <c r="AI17" s="564">
        <f t="shared" si="11"/>
        <v>2.6656</v>
      </c>
      <c r="AJ17" s="564">
        <f t="shared" si="12"/>
        <v>1.9992</v>
      </c>
      <c r="AK17" s="564">
        <f t="shared" si="13"/>
        <v>0.06664</v>
      </c>
      <c r="AL17" s="564">
        <f t="shared" si="14"/>
        <v>0.19992</v>
      </c>
      <c r="AM17" s="564">
        <f t="shared" si="15"/>
        <v>3.9984</v>
      </c>
      <c r="AN17" s="564"/>
      <c r="AO17" s="304"/>
    </row>
    <row r="18" s="130" customFormat="1" ht="24" spans="1:41">
      <c r="A18" s="1" t="s">
        <v>202</v>
      </c>
      <c r="B18" s="1" t="s">
        <v>206</v>
      </c>
      <c r="C18" s="1" t="s">
        <v>222</v>
      </c>
      <c r="D18" s="1" t="s">
        <v>220</v>
      </c>
      <c r="E18" s="563">
        <f t="shared" si="2"/>
        <v>32.88684</v>
      </c>
      <c r="F18" s="564">
        <f t="shared" si="3"/>
        <v>0</v>
      </c>
      <c r="G18" s="564">
        <f t="shared" si="4"/>
        <v>0</v>
      </c>
      <c r="H18" s="564"/>
      <c r="I18" s="564"/>
      <c r="J18" s="564"/>
      <c r="K18" s="564"/>
      <c r="L18" s="564"/>
      <c r="M18" s="564"/>
      <c r="N18" s="563">
        <f t="shared" si="5"/>
        <v>0</v>
      </c>
      <c r="O18" s="564"/>
      <c r="P18" s="564"/>
      <c r="Q18" s="564"/>
      <c r="R18" s="564"/>
      <c r="S18" s="563">
        <f t="shared" si="6"/>
        <v>23.03</v>
      </c>
      <c r="T18" s="564">
        <f t="shared" si="7"/>
        <v>19.49</v>
      </c>
      <c r="U18" s="564">
        <v>13.59</v>
      </c>
      <c r="V18" s="564"/>
      <c r="W18" s="564">
        <v>5.9</v>
      </c>
      <c r="X18" s="564"/>
      <c r="Y18" s="564"/>
      <c r="Z18" s="564"/>
      <c r="AA18" s="563">
        <f t="shared" si="8"/>
        <v>3.54</v>
      </c>
      <c r="AB18" s="564">
        <v>3.54</v>
      </c>
      <c r="AC18" s="564"/>
      <c r="AD18" s="564"/>
      <c r="AE18" s="564"/>
      <c r="AF18" s="564"/>
      <c r="AG18" s="563">
        <f t="shared" si="9"/>
        <v>9.85684</v>
      </c>
      <c r="AH18" s="564">
        <f t="shared" si="10"/>
        <v>3.6848</v>
      </c>
      <c r="AI18" s="564">
        <f t="shared" si="11"/>
        <v>1.8424</v>
      </c>
      <c r="AJ18" s="564">
        <f t="shared" si="12"/>
        <v>1.3818</v>
      </c>
      <c r="AK18" s="564">
        <f t="shared" si="13"/>
        <v>0.04606</v>
      </c>
      <c r="AL18" s="564">
        <f t="shared" si="14"/>
        <v>0.13818</v>
      </c>
      <c r="AM18" s="564">
        <f t="shared" si="15"/>
        <v>2.7636</v>
      </c>
      <c r="AN18" s="564"/>
      <c r="AO18" s="304"/>
    </row>
    <row r="19" s="130" customFormat="1" ht="24" spans="1:41">
      <c r="A19" s="1" t="s">
        <v>202</v>
      </c>
      <c r="B19" s="1" t="s">
        <v>206</v>
      </c>
      <c r="C19" s="1" t="s">
        <v>223</v>
      </c>
      <c r="D19" s="1" t="s">
        <v>220</v>
      </c>
      <c r="E19" s="563">
        <f t="shared" si="2"/>
        <v>93.30552</v>
      </c>
      <c r="F19" s="564">
        <f t="shared" si="3"/>
        <v>0</v>
      </c>
      <c r="G19" s="564">
        <f t="shared" si="4"/>
        <v>0</v>
      </c>
      <c r="H19" s="564"/>
      <c r="I19" s="564"/>
      <c r="J19" s="564"/>
      <c r="K19" s="564"/>
      <c r="L19" s="564"/>
      <c r="M19" s="564"/>
      <c r="N19" s="563">
        <f t="shared" si="5"/>
        <v>0</v>
      </c>
      <c r="O19" s="564"/>
      <c r="P19" s="564"/>
      <c r="Q19" s="564"/>
      <c r="R19" s="564"/>
      <c r="S19" s="563">
        <f t="shared" si="6"/>
        <v>65.34</v>
      </c>
      <c r="T19" s="564">
        <f t="shared" si="7"/>
        <v>55.91</v>
      </c>
      <c r="U19" s="564">
        <v>40.2</v>
      </c>
      <c r="V19" s="564"/>
      <c r="W19" s="564">
        <v>15.71</v>
      </c>
      <c r="X19" s="564"/>
      <c r="Y19" s="564"/>
      <c r="Z19" s="564"/>
      <c r="AA19" s="563">
        <f t="shared" si="8"/>
        <v>9.43</v>
      </c>
      <c r="AB19" s="564">
        <v>9.43</v>
      </c>
      <c r="AC19" s="564"/>
      <c r="AD19" s="564"/>
      <c r="AE19" s="564"/>
      <c r="AF19" s="564"/>
      <c r="AG19" s="563">
        <f t="shared" si="9"/>
        <v>27.96552</v>
      </c>
      <c r="AH19" s="564">
        <f t="shared" si="10"/>
        <v>10.4544</v>
      </c>
      <c r="AI19" s="564">
        <f t="shared" si="11"/>
        <v>5.2272</v>
      </c>
      <c r="AJ19" s="564">
        <f t="shared" si="12"/>
        <v>3.9204</v>
      </c>
      <c r="AK19" s="564">
        <f t="shared" si="13"/>
        <v>0.13068</v>
      </c>
      <c r="AL19" s="564">
        <f t="shared" si="14"/>
        <v>0.39204</v>
      </c>
      <c r="AM19" s="564">
        <f t="shared" si="15"/>
        <v>7.8408</v>
      </c>
      <c r="AN19" s="564"/>
      <c r="AO19" s="304"/>
    </row>
    <row r="20" s="130" customFormat="1" ht="24" spans="1:41">
      <c r="A20" s="1" t="s">
        <v>202</v>
      </c>
      <c r="B20" s="1" t="s">
        <v>206</v>
      </c>
      <c r="C20" s="1" t="s">
        <v>224</v>
      </c>
      <c r="D20" s="1" t="s">
        <v>220</v>
      </c>
      <c r="E20" s="563">
        <f t="shared" si="2"/>
        <v>191.70524</v>
      </c>
      <c r="F20" s="564">
        <f t="shared" si="3"/>
        <v>0</v>
      </c>
      <c r="G20" s="564">
        <f t="shared" si="4"/>
        <v>0</v>
      </c>
      <c r="H20" s="564"/>
      <c r="I20" s="564"/>
      <c r="J20" s="564"/>
      <c r="K20" s="564"/>
      <c r="L20" s="564"/>
      <c r="M20" s="564"/>
      <c r="N20" s="563">
        <f t="shared" si="5"/>
        <v>0</v>
      </c>
      <c r="O20" s="564"/>
      <c r="P20" s="564"/>
      <c r="Q20" s="564"/>
      <c r="R20" s="564"/>
      <c r="S20" s="563">
        <f t="shared" si="6"/>
        <v>152.83</v>
      </c>
      <c r="T20" s="564">
        <f t="shared" si="7"/>
        <v>122.71</v>
      </c>
      <c r="U20" s="564">
        <v>54.52</v>
      </c>
      <c r="V20" s="564"/>
      <c r="W20" s="564">
        <v>22.69</v>
      </c>
      <c r="X20" s="564"/>
      <c r="Y20" s="564"/>
      <c r="Z20" s="564">
        <v>45.5</v>
      </c>
      <c r="AA20" s="563">
        <f t="shared" si="8"/>
        <v>30.12</v>
      </c>
      <c r="AB20" s="564">
        <v>13.62</v>
      </c>
      <c r="AC20" s="564"/>
      <c r="AD20" s="564"/>
      <c r="AE20" s="564"/>
      <c r="AF20" s="564">
        <v>16.5</v>
      </c>
      <c r="AG20" s="563">
        <f t="shared" si="9"/>
        <v>38.87524</v>
      </c>
      <c r="AH20" s="564">
        <f t="shared" si="10"/>
        <v>14.5328</v>
      </c>
      <c r="AI20" s="564">
        <f t="shared" si="11"/>
        <v>7.2664</v>
      </c>
      <c r="AJ20" s="564">
        <f t="shared" si="12"/>
        <v>5.4498</v>
      </c>
      <c r="AK20" s="564">
        <f t="shared" si="13"/>
        <v>0.18166</v>
      </c>
      <c r="AL20" s="564">
        <f t="shared" si="14"/>
        <v>0.54498</v>
      </c>
      <c r="AM20" s="564">
        <f t="shared" si="15"/>
        <v>10.8996</v>
      </c>
      <c r="AN20" s="564"/>
      <c r="AO20" s="304"/>
    </row>
    <row r="21" s="130" customFormat="1" ht="24" spans="1:41">
      <c r="A21" s="1" t="s">
        <v>215</v>
      </c>
      <c r="B21" s="1" t="s">
        <v>206</v>
      </c>
      <c r="C21" s="1" t="s">
        <v>225</v>
      </c>
      <c r="D21" s="1" t="s">
        <v>220</v>
      </c>
      <c r="E21" s="563">
        <f t="shared" si="2"/>
        <v>88.1652</v>
      </c>
      <c r="F21" s="564">
        <f t="shared" si="3"/>
        <v>0</v>
      </c>
      <c r="G21" s="564">
        <f t="shared" si="4"/>
        <v>0</v>
      </c>
      <c r="H21" s="564"/>
      <c r="I21" s="564"/>
      <c r="J21" s="564"/>
      <c r="K21" s="564"/>
      <c r="L21" s="564"/>
      <c r="M21" s="564"/>
      <c r="N21" s="563">
        <f t="shared" si="5"/>
        <v>0</v>
      </c>
      <c r="O21" s="564"/>
      <c r="P21" s="564"/>
      <c r="Q21" s="564"/>
      <c r="R21" s="564"/>
      <c r="S21" s="563">
        <f t="shared" si="6"/>
        <v>66.38</v>
      </c>
      <c r="T21" s="564">
        <f t="shared" si="7"/>
        <v>55.4</v>
      </c>
      <c r="U21" s="564">
        <v>32.29</v>
      </c>
      <c r="V21" s="564"/>
      <c r="W21" s="564">
        <v>11.63</v>
      </c>
      <c r="X21" s="564"/>
      <c r="Y21" s="564"/>
      <c r="Z21" s="564">
        <v>11.48</v>
      </c>
      <c r="AA21" s="563">
        <f t="shared" si="8"/>
        <v>10.98</v>
      </c>
      <c r="AB21" s="564">
        <v>6.98</v>
      </c>
      <c r="AC21" s="564"/>
      <c r="AD21" s="564"/>
      <c r="AE21" s="564"/>
      <c r="AF21" s="564">
        <v>4</v>
      </c>
      <c r="AG21" s="563">
        <f t="shared" si="9"/>
        <v>21.7852</v>
      </c>
      <c r="AH21" s="564">
        <f t="shared" si="10"/>
        <v>8.144</v>
      </c>
      <c r="AI21" s="564">
        <f t="shared" si="11"/>
        <v>4.072</v>
      </c>
      <c r="AJ21" s="564">
        <f t="shared" si="12"/>
        <v>3.054</v>
      </c>
      <c r="AK21" s="564">
        <f t="shared" si="13"/>
        <v>0.1018</v>
      </c>
      <c r="AL21" s="564">
        <f t="shared" si="14"/>
        <v>0.3054</v>
      </c>
      <c r="AM21" s="564">
        <f t="shared" si="15"/>
        <v>6.108</v>
      </c>
      <c r="AN21" s="564"/>
      <c r="AO21" s="304"/>
    </row>
    <row r="22" s="130" customFormat="1" ht="24" spans="1:41">
      <c r="A22" s="1" t="s">
        <v>226</v>
      </c>
      <c r="B22" s="1" t="s">
        <v>203</v>
      </c>
      <c r="C22" s="1" t="s">
        <v>227</v>
      </c>
      <c r="D22" s="1" t="s">
        <v>214</v>
      </c>
      <c r="E22" s="563">
        <f t="shared" si="2"/>
        <v>546.69612</v>
      </c>
      <c r="F22" s="564">
        <f t="shared" si="3"/>
        <v>458.51</v>
      </c>
      <c r="G22" s="564">
        <f t="shared" si="4"/>
        <v>264.68</v>
      </c>
      <c r="H22" s="564">
        <v>103.4</v>
      </c>
      <c r="I22" s="564">
        <v>67.79</v>
      </c>
      <c r="J22" s="564">
        <v>8.62</v>
      </c>
      <c r="K22" s="564"/>
      <c r="L22" s="564">
        <v>0.26</v>
      </c>
      <c r="M22" s="564">
        <v>84.61</v>
      </c>
      <c r="N22" s="563">
        <f t="shared" si="5"/>
        <v>193.83</v>
      </c>
      <c r="O22" s="564">
        <f>5.79+162.84</f>
        <v>168.63</v>
      </c>
      <c r="P22" s="564"/>
      <c r="Q22" s="564">
        <v>13.2</v>
      </c>
      <c r="R22" s="564">
        <v>12</v>
      </c>
      <c r="S22" s="563">
        <f t="shared" si="6"/>
        <v>0</v>
      </c>
      <c r="T22" s="564">
        <f t="shared" si="7"/>
        <v>0</v>
      </c>
      <c r="U22" s="564"/>
      <c r="V22" s="564"/>
      <c r="W22" s="564"/>
      <c r="X22" s="564"/>
      <c r="Y22" s="564"/>
      <c r="Z22" s="564"/>
      <c r="AA22" s="563">
        <f t="shared" si="8"/>
        <v>0</v>
      </c>
      <c r="AB22" s="564"/>
      <c r="AC22" s="564"/>
      <c r="AD22" s="564"/>
      <c r="AE22" s="564"/>
      <c r="AF22" s="564"/>
      <c r="AG22" s="563">
        <f t="shared" si="9"/>
        <v>88.18612</v>
      </c>
      <c r="AH22" s="564">
        <f t="shared" si="10"/>
        <v>42.3072</v>
      </c>
      <c r="AI22" s="564">
        <f t="shared" si="11"/>
        <v>13.6952</v>
      </c>
      <c r="AJ22" s="564">
        <f t="shared" si="12"/>
        <v>10.2714</v>
      </c>
      <c r="AK22" s="564">
        <f t="shared" si="13"/>
        <v>0.34238</v>
      </c>
      <c r="AL22" s="564">
        <f t="shared" si="14"/>
        <v>1.02714</v>
      </c>
      <c r="AM22" s="564">
        <f t="shared" si="15"/>
        <v>20.5428</v>
      </c>
      <c r="AN22" s="564"/>
      <c r="AO22" s="304"/>
    </row>
    <row r="23" s="130" customFormat="1" ht="24" spans="1:41">
      <c r="A23" s="1" t="s">
        <v>226</v>
      </c>
      <c r="B23" s="1" t="s">
        <v>206</v>
      </c>
      <c r="C23" s="1" t="s">
        <v>228</v>
      </c>
      <c r="D23" s="1" t="s">
        <v>220</v>
      </c>
      <c r="E23" s="563">
        <f t="shared" si="2"/>
        <v>459.30908</v>
      </c>
      <c r="F23" s="564">
        <f t="shared" si="3"/>
        <v>0</v>
      </c>
      <c r="G23" s="564">
        <f t="shared" si="4"/>
        <v>0</v>
      </c>
      <c r="H23" s="564"/>
      <c r="I23" s="564"/>
      <c r="J23" s="564"/>
      <c r="K23" s="564"/>
      <c r="L23" s="564"/>
      <c r="M23" s="564"/>
      <c r="N23" s="563">
        <f t="shared" si="5"/>
        <v>0</v>
      </c>
      <c r="O23" s="564"/>
      <c r="P23" s="564"/>
      <c r="Q23" s="564"/>
      <c r="R23" s="564"/>
      <c r="S23" s="563">
        <f t="shared" si="6"/>
        <v>345.2</v>
      </c>
      <c r="T23" s="564">
        <f t="shared" si="7"/>
        <v>290.17</v>
      </c>
      <c r="U23" s="564">
        <v>173.19</v>
      </c>
      <c r="V23" s="564"/>
      <c r="W23" s="564">
        <v>58.39</v>
      </c>
      <c r="X23" s="564"/>
      <c r="Y23" s="564">
        <v>1.61</v>
      </c>
      <c r="Z23" s="564">
        <v>56.98</v>
      </c>
      <c r="AA23" s="563">
        <f t="shared" si="8"/>
        <v>55.03</v>
      </c>
      <c r="AB23" s="564">
        <v>35.03</v>
      </c>
      <c r="AC23" s="564"/>
      <c r="AD23" s="564"/>
      <c r="AE23" s="564"/>
      <c r="AF23" s="564">
        <v>20</v>
      </c>
      <c r="AG23" s="563">
        <f t="shared" si="9"/>
        <v>114.10908</v>
      </c>
      <c r="AH23" s="564">
        <f t="shared" si="10"/>
        <v>42.6576</v>
      </c>
      <c r="AI23" s="564">
        <f t="shared" si="11"/>
        <v>21.3288</v>
      </c>
      <c r="AJ23" s="564">
        <f t="shared" si="12"/>
        <v>15.9966</v>
      </c>
      <c r="AK23" s="564">
        <f t="shared" si="13"/>
        <v>0.53322</v>
      </c>
      <c r="AL23" s="564">
        <f t="shared" si="14"/>
        <v>1.59966</v>
      </c>
      <c r="AM23" s="564">
        <f t="shared" si="15"/>
        <v>31.9932</v>
      </c>
      <c r="AN23" s="564"/>
      <c r="AO23" s="304"/>
    </row>
    <row r="24" s="130" customFormat="1" spans="1:41">
      <c r="A24" s="1" t="s">
        <v>226</v>
      </c>
      <c r="B24" s="1" t="s">
        <v>203</v>
      </c>
      <c r="C24" s="1" t="s">
        <v>229</v>
      </c>
      <c r="D24" s="1" t="s">
        <v>214</v>
      </c>
      <c r="E24" s="563">
        <f t="shared" si="2"/>
        <v>498.8728632</v>
      </c>
      <c r="F24" s="564">
        <f t="shared" si="3"/>
        <v>399.7003</v>
      </c>
      <c r="G24" s="564">
        <f t="shared" si="4"/>
        <v>305.0303</v>
      </c>
      <c r="H24" s="564">
        <v>116.4708</v>
      </c>
      <c r="I24" s="564">
        <v>75.7956</v>
      </c>
      <c r="J24" s="564">
        <v>9.7059</v>
      </c>
      <c r="K24" s="564">
        <v>6.72</v>
      </c>
      <c r="L24" s="564">
        <v>0.528</v>
      </c>
      <c r="M24" s="564">
        <v>95.81</v>
      </c>
      <c r="N24" s="563">
        <f t="shared" si="5"/>
        <v>94.67</v>
      </c>
      <c r="O24" s="564">
        <v>65.27</v>
      </c>
      <c r="P24" s="564"/>
      <c r="Q24" s="564">
        <v>15.4</v>
      </c>
      <c r="R24" s="564">
        <v>14</v>
      </c>
      <c r="S24" s="563">
        <f t="shared" si="6"/>
        <v>0</v>
      </c>
      <c r="T24" s="564">
        <f t="shared" si="7"/>
        <v>0</v>
      </c>
      <c r="U24" s="564"/>
      <c r="V24" s="564"/>
      <c r="W24" s="564"/>
      <c r="X24" s="564"/>
      <c r="Y24" s="564"/>
      <c r="Z24" s="564"/>
      <c r="AA24" s="563">
        <f t="shared" si="8"/>
        <v>0</v>
      </c>
      <c r="AB24" s="564"/>
      <c r="AC24" s="564"/>
      <c r="AD24" s="564"/>
      <c r="AE24" s="564"/>
      <c r="AF24" s="564"/>
      <c r="AG24" s="563">
        <f t="shared" si="9"/>
        <v>99.1725632</v>
      </c>
      <c r="AH24" s="564">
        <f t="shared" si="10"/>
        <v>47.645168</v>
      </c>
      <c r="AI24" s="564">
        <f t="shared" si="11"/>
        <v>15.381312</v>
      </c>
      <c r="AJ24" s="564">
        <f t="shared" si="12"/>
        <v>11.535984</v>
      </c>
      <c r="AK24" s="564">
        <f t="shared" si="13"/>
        <v>0.3845328</v>
      </c>
      <c r="AL24" s="564">
        <f t="shared" si="14"/>
        <v>1.1535984</v>
      </c>
      <c r="AM24" s="564">
        <f t="shared" si="15"/>
        <v>23.071968</v>
      </c>
      <c r="AN24" s="564"/>
      <c r="AO24" s="304"/>
    </row>
    <row r="25" s="130" customFormat="1" ht="24" spans="1:41">
      <c r="A25" s="1" t="s">
        <v>226</v>
      </c>
      <c r="B25" s="1" t="s">
        <v>206</v>
      </c>
      <c r="C25" s="1" t="s">
        <v>230</v>
      </c>
      <c r="D25" s="1" t="s">
        <v>220</v>
      </c>
      <c r="E25" s="563">
        <f t="shared" si="2"/>
        <v>523.9214416</v>
      </c>
      <c r="F25" s="564">
        <f t="shared" si="3"/>
        <v>0</v>
      </c>
      <c r="G25" s="564">
        <f t="shared" si="4"/>
        <v>0</v>
      </c>
      <c r="H25" s="564"/>
      <c r="I25" s="564"/>
      <c r="J25" s="564"/>
      <c r="K25" s="564"/>
      <c r="L25" s="564"/>
      <c r="M25" s="564"/>
      <c r="N25" s="563">
        <f t="shared" si="5"/>
        <v>0</v>
      </c>
      <c r="O25" s="564"/>
      <c r="P25" s="564"/>
      <c r="Q25" s="564"/>
      <c r="R25" s="564"/>
      <c r="S25" s="563">
        <f t="shared" si="6"/>
        <v>395.7452</v>
      </c>
      <c r="T25" s="564">
        <f t="shared" si="7"/>
        <v>335.7</v>
      </c>
      <c r="U25" s="564">
        <v>196.692</v>
      </c>
      <c r="V25" s="564"/>
      <c r="W25" s="564">
        <v>64.24</v>
      </c>
      <c r="X25" s="564">
        <v>10.32</v>
      </c>
      <c r="Y25" s="564">
        <v>0.888</v>
      </c>
      <c r="Z25" s="564">
        <v>63.56</v>
      </c>
      <c r="AA25" s="563">
        <f t="shared" si="8"/>
        <v>60.0452</v>
      </c>
      <c r="AB25" s="564">
        <v>38.5452</v>
      </c>
      <c r="AC25" s="564"/>
      <c r="AD25" s="564"/>
      <c r="AE25" s="564"/>
      <c r="AF25" s="564">
        <v>21.5</v>
      </c>
      <c r="AG25" s="563">
        <f t="shared" si="9"/>
        <v>128.1762416</v>
      </c>
      <c r="AH25" s="564">
        <f t="shared" si="10"/>
        <v>47.916352</v>
      </c>
      <c r="AI25" s="564">
        <f t="shared" si="11"/>
        <v>23.958176</v>
      </c>
      <c r="AJ25" s="564">
        <f t="shared" si="12"/>
        <v>17.968632</v>
      </c>
      <c r="AK25" s="564">
        <f t="shared" si="13"/>
        <v>0.5989544</v>
      </c>
      <c r="AL25" s="564">
        <f t="shared" si="14"/>
        <v>1.7968632</v>
      </c>
      <c r="AM25" s="564">
        <f t="shared" si="15"/>
        <v>35.937264</v>
      </c>
      <c r="AN25" s="564"/>
      <c r="AO25" s="304"/>
    </row>
    <row r="26" s="130" customFormat="1" spans="1:41">
      <c r="A26" s="1" t="s">
        <v>226</v>
      </c>
      <c r="B26" s="1" t="s">
        <v>203</v>
      </c>
      <c r="C26" s="1" t="s">
        <v>231</v>
      </c>
      <c r="D26" s="1" t="s">
        <v>214</v>
      </c>
      <c r="E26" s="563">
        <f t="shared" si="2"/>
        <v>273.48688</v>
      </c>
      <c r="F26" s="564">
        <f t="shared" si="3"/>
        <v>212.81</v>
      </c>
      <c r="G26" s="564">
        <f t="shared" si="4"/>
        <v>186.25</v>
      </c>
      <c r="H26" s="564">
        <v>71.18</v>
      </c>
      <c r="I26" s="564">
        <v>46.48</v>
      </c>
      <c r="J26" s="564">
        <v>5.93</v>
      </c>
      <c r="K26" s="564">
        <v>3.84</v>
      </c>
      <c r="L26" s="564">
        <v>0.26</v>
      </c>
      <c r="M26" s="564">
        <v>58.56</v>
      </c>
      <c r="N26" s="563">
        <f t="shared" si="5"/>
        <v>26.56</v>
      </c>
      <c r="O26" s="564">
        <v>8.71</v>
      </c>
      <c r="P26" s="564"/>
      <c r="Q26" s="564">
        <v>9.35</v>
      </c>
      <c r="R26" s="564">
        <v>8.5</v>
      </c>
      <c r="S26" s="563">
        <f t="shared" si="6"/>
        <v>0</v>
      </c>
      <c r="T26" s="564">
        <f t="shared" si="7"/>
        <v>0</v>
      </c>
      <c r="U26" s="564"/>
      <c r="V26" s="564"/>
      <c r="W26" s="564"/>
      <c r="X26" s="564"/>
      <c r="Y26" s="564"/>
      <c r="Z26" s="564"/>
      <c r="AA26" s="563">
        <f t="shared" si="8"/>
        <v>0</v>
      </c>
      <c r="AB26" s="564"/>
      <c r="AC26" s="564"/>
      <c r="AD26" s="564"/>
      <c r="AE26" s="564"/>
      <c r="AF26" s="564"/>
      <c r="AG26" s="563">
        <f t="shared" si="9"/>
        <v>60.67688</v>
      </c>
      <c r="AH26" s="564">
        <f t="shared" si="10"/>
        <v>29.144</v>
      </c>
      <c r="AI26" s="564">
        <f t="shared" si="11"/>
        <v>9.4128</v>
      </c>
      <c r="AJ26" s="564">
        <f t="shared" si="12"/>
        <v>7.0596</v>
      </c>
      <c r="AK26" s="564">
        <f t="shared" si="13"/>
        <v>0.23532</v>
      </c>
      <c r="AL26" s="564">
        <f t="shared" si="14"/>
        <v>0.70596</v>
      </c>
      <c r="AM26" s="564">
        <f t="shared" si="15"/>
        <v>14.1192</v>
      </c>
      <c r="AN26" s="564"/>
      <c r="AO26" s="304"/>
    </row>
    <row r="27" s="130" customFormat="1" ht="24" spans="1:41">
      <c r="A27" s="1" t="s">
        <v>226</v>
      </c>
      <c r="B27" s="1" t="s">
        <v>206</v>
      </c>
      <c r="C27" s="1" t="s">
        <v>232</v>
      </c>
      <c r="D27" s="1" t="s">
        <v>220</v>
      </c>
      <c r="E27" s="563">
        <f t="shared" si="2"/>
        <v>382.52352</v>
      </c>
      <c r="F27" s="564">
        <f t="shared" si="3"/>
        <v>0</v>
      </c>
      <c r="G27" s="564">
        <f t="shared" si="4"/>
        <v>0</v>
      </c>
      <c r="H27" s="564"/>
      <c r="I27" s="564"/>
      <c r="J27" s="564"/>
      <c r="K27" s="564"/>
      <c r="L27" s="564"/>
      <c r="M27" s="564"/>
      <c r="N27" s="563">
        <f t="shared" si="5"/>
        <v>0</v>
      </c>
      <c r="O27" s="564"/>
      <c r="P27" s="564"/>
      <c r="Q27" s="564"/>
      <c r="R27" s="564"/>
      <c r="S27" s="563">
        <f t="shared" si="6"/>
        <v>291</v>
      </c>
      <c r="T27" s="564">
        <f t="shared" si="7"/>
        <v>244.45</v>
      </c>
      <c r="U27" s="564">
        <v>136.39</v>
      </c>
      <c r="V27" s="564"/>
      <c r="W27" s="564">
        <v>48.4</v>
      </c>
      <c r="X27" s="564">
        <v>7.92</v>
      </c>
      <c r="Y27" s="564">
        <v>1.78</v>
      </c>
      <c r="Z27" s="564">
        <v>49.96</v>
      </c>
      <c r="AA27" s="563">
        <f t="shared" si="8"/>
        <v>46.55</v>
      </c>
      <c r="AB27" s="564">
        <v>29.05</v>
      </c>
      <c r="AC27" s="564"/>
      <c r="AD27" s="564"/>
      <c r="AE27" s="564"/>
      <c r="AF27" s="564">
        <v>17.5</v>
      </c>
      <c r="AG27" s="563">
        <f t="shared" si="9"/>
        <v>91.52352</v>
      </c>
      <c r="AH27" s="564">
        <f t="shared" si="10"/>
        <v>34.2144</v>
      </c>
      <c r="AI27" s="564">
        <f t="shared" si="11"/>
        <v>17.1072</v>
      </c>
      <c r="AJ27" s="564">
        <f t="shared" si="12"/>
        <v>12.8304</v>
      </c>
      <c r="AK27" s="564">
        <f t="shared" si="13"/>
        <v>0.42768</v>
      </c>
      <c r="AL27" s="564">
        <f t="shared" si="14"/>
        <v>1.28304</v>
      </c>
      <c r="AM27" s="564">
        <f t="shared" si="15"/>
        <v>25.6608</v>
      </c>
      <c r="AN27" s="564"/>
      <c r="AO27" s="304"/>
    </row>
    <row r="28" s="130" customFormat="1" spans="1:41">
      <c r="A28" s="1" t="s">
        <v>226</v>
      </c>
      <c r="B28" s="1" t="s">
        <v>203</v>
      </c>
      <c r="C28" s="1" t="s">
        <v>233</v>
      </c>
      <c r="D28" s="1" t="s">
        <v>214</v>
      </c>
      <c r="E28" s="563">
        <f t="shared" si="2"/>
        <v>322.47196</v>
      </c>
      <c r="F28" s="564">
        <f t="shared" si="3"/>
        <v>251.7</v>
      </c>
      <c r="G28" s="564">
        <f t="shared" si="4"/>
        <v>220.94</v>
      </c>
      <c r="H28" s="564">
        <v>81.89</v>
      </c>
      <c r="I28" s="564">
        <v>54.68</v>
      </c>
      <c r="J28" s="564">
        <v>6.81</v>
      </c>
      <c r="K28" s="564">
        <v>6.84</v>
      </c>
      <c r="L28" s="564">
        <v>0.53</v>
      </c>
      <c r="M28" s="564">
        <v>70.19</v>
      </c>
      <c r="N28" s="563">
        <f t="shared" si="5"/>
        <v>30.76</v>
      </c>
      <c r="O28" s="564">
        <v>8.71</v>
      </c>
      <c r="P28" s="564"/>
      <c r="Q28" s="564">
        <v>11.55</v>
      </c>
      <c r="R28" s="564">
        <v>10.5</v>
      </c>
      <c r="S28" s="563">
        <f t="shared" si="6"/>
        <v>0</v>
      </c>
      <c r="T28" s="564">
        <f t="shared" si="7"/>
        <v>0</v>
      </c>
      <c r="U28" s="564"/>
      <c r="V28" s="564"/>
      <c r="W28" s="564"/>
      <c r="X28" s="564"/>
      <c r="Y28" s="564"/>
      <c r="Z28" s="564"/>
      <c r="AA28" s="563">
        <f t="shared" si="8"/>
        <v>0</v>
      </c>
      <c r="AB28" s="564"/>
      <c r="AC28" s="564"/>
      <c r="AD28" s="564"/>
      <c r="AE28" s="564"/>
      <c r="AF28" s="564"/>
      <c r="AG28" s="563">
        <f t="shared" si="9"/>
        <v>70.77196</v>
      </c>
      <c r="AH28" s="564">
        <f t="shared" si="10"/>
        <v>34.1712</v>
      </c>
      <c r="AI28" s="564">
        <f t="shared" si="11"/>
        <v>10.9256</v>
      </c>
      <c r="AJ28" s="564">
        <f t="shared" si="12"/>
        <v>8.1942</v>
      </c>
      <c r="AK28" s="564">
        <f t="shared" si="13"/>
        <v>0.27314</v>
      </c>
      <c r="AL28" s="564">
        <f t="shared" si="14"/>
        <v>0.81942</v>
      </c>
      <c r="AM28" s="564">
        <f t="shared" si="15"/>
        <v>16.3884</v>
      </c>
      <c r="AN28" s="564"/>
      <c r="AO28" s="304"/>
    </row>
    <row r="29" s="130" customFormat="1" ht="24" spans="1:41">
      <c r="A29" s="1" t="s">
        <v>226</v>
      </c>
      <c r="B29" s="1" t="s">
        <v>206</v>
      </c>
      <c r="C29" s="1" t="s">
        <v>234</v>
      </c>
      <c r="D29" s="1" t="s">
        <v>220</v>
      </c>
      <c r="E29" s="563">
        <f t="shared" si="2"/>
        <v>430.69</v>
      </c>
      <c r="F29" s="564">
        <f t="shared" si="3"/>
        <v>0</v>
      </c>
      <c r="G29" s="564">
        <f t="shared" si="4"/>
        <v>0</v>
      </c>
      <c r="H29" s="564"/>
      <c r="I29" s="564"/>
      <c r="J29" s="564"/>
      <c r="K29" s="564"/>
      <c r="L29" s="564"/>
      <c r="M29" s="564"/>
      <c r="N29" s="563">
        <f t="shared" si="5"/>
        <v>0</v>
      </c>
      <c r="O29" s="564"/>
      <c r="P29" s="564"/>
      <c r="Q29" s="564"/>
      <c r="R29" s="564"/>
      <c r="S29" s="563">
        <f t="shared" si="6"/>
        <v>327.97</v>
      </c>
      <c r="T29" s="564">
        <f t="shared" si="7"/>
        <v>275.79</v>
      </c>
      <c r="U29" s="564">
        <v>151.52</v>
      </c>
      <c r="V29" s="564"/>
      <c r="W29" s="564">
        <v>55.3</v>
      </c>
      <c r="X29" s="564">
        <v>13.68</v>
      </c>
      <c r="Y29" s="564">
        <v>1.82</v>
      </c>
      <c r="Z29" s="564">
        <v>53.47</v>
      </c>
      <c r="AA29" s="563">
        <f t="shared" si="8"/>
        <v>52.18</v>
      </c>
      <c r="AB29" s="564">
        <v>33.18</v>
      </c>
      <c r="AC29" s="564"/>
      <c r="AD29" s="564"/>
      <c r="AE29" s="564"/>
      <c r="AF29" s="564">
        <v>19</v>
      </c>
      <c r="AG29" s="563">
        <f t="shared" si="9"/>
        <v>102.72</v>
      </c>
      <c r="AH29" s="564">
        <f t="shared" si="10"/>
        <v>38.4</v>
      </c>
      <c r="AI29" s="564">
        <f t="shared" si="11"/>
        <v>19.2</v>
      </c>
      <c r="AJ29" s="564">
        <f t="shared" si="12"/>
        <v>14.4</v>
      </c>
      <c r="AK29" s="564">
        <f t="shared" si="13"/>
        <v>0.48</v>
      </c>
      <c r="AL29" s="564">
        <f t="shared" si="14"/>
        <v>1.44</v>
      </c>
      <c r="AM29" s="564">
        <f t="shared" si="15"/>
        <v>28.8</v>
      </c>
      <c r="AN29" s="564"/>
      <c r="AO29" s="304"/>
    </row>
    <row r="30" s="131" customFormat="1" spans="1:41">
      <c r="A30" s="1" t="s">
        <v>226</v>
      </c>
      <c r="B30" s="1" t="s">
        <v>203</v>
      </c>
      <c r="C30" s="1" t="s">
        <v>235</v>
      </c>
      <c r="D30" s="1" t="s">
        <v>214</v>
      </c>
      <c r="E30" s="565">
        <f t="shared" si="2"/>
        <v>355.246</v>
      </c>
      <c r="F30" s="566">
        <f t="shared" si="3"/>
        <v>275.8</v>
      </c>
      <c r="G30" s="566">
        <f t="shared" si="4"/>
        <v>243.99</v>
      </c>
      <c r="H30" s="566">
        <v>93.4</v>
      </c>
      <c r="I30" s="566">
        <v>60.7</v>
      </c>
      <c r="J30" s="566">
        <v>7.78</v>
      </c>
      <c r="K30" s="566">
        <v>5.04</v>
      </c>
      <c r="L30" s="566">
        <v>0.53</v>
      </c>
      <c r="M30" s="566">
        <v>76.54</v>
      </c>
      <c r="N30" s="565">
        <f t="shared" si="5"/>
        <v>31.81</v>
      </c>
      <c r="O30" s="566">
        <v>8.71</v>
      </c>
      <c r="P30" s="566"/>
      <c r="Q30" s="566">
        <v>12.1</v>
      </c>
      <c r="R30" s="566">
        <v>11</v>
      </c>
      <c r="S30" s="565">
        <f t="shared" si="6"/>
        <v>0</v>
      </c>
      <c r="T30" s="566">
        <f t="shared" si="7"/>
        <v>0</v>
      </c>
      <c r="U30" s="566"/>
      <c r="V30" s="566"/>
      <c r="W30" s="566"/>
      <c r="X30" s="566"/>
      <c r="Y30" s="566"/>
      <c r="Z30" s="566"/>
      <c r="AA30" s="565">
        <f t="shared" si="8"/>
        <v>0</v>
      </c>
      <c r="AB30" s="566"/>
      <c r="AC30" s="566"/>
      <c r="AD30" s="566"/>
      <c r="AE30" s="566"/>
      <c r="AF30" s="566"/>
      <c r="AG30" s="565">
        <f t="shared" si="9"/>
        <v>79.446</v>
      </c>
      <c r="AH30" s="566">
        <f t="shared" si="10"/>
        <v>38.1472</v>
      </c>
      <c r="AI30" s="566">
        <f t="shared" si="11"/>
        <v>12.328</v>
      </c>
      <c r="AJ30" s="566">
        <f t="shared" si="12"/>
        <v>9.246</v>
      </c>
      <c r="AK30" s="566">
        <f t="shared" si="13"/>
        <v>0.3082</v>
      </c>
      <c r="AL30" s="566">
        <f t="shared" si="14"/>
        <v>0.9246</v>
      </c>
      <c r="AM30" s="566">
        <f t="shared" si="15"/>
        <v>18.492</v>
      </c>
      <c r="AN30" s="566"/>
      <c r="AO30" s="304"/>
    </row>
    <row r="31" s="131" customFormat="1" ht="24" spans="1:41">
      <c r="A31" s="1" t="s">
        <v>226</v>
      </c>
      <c r="B31" s="1" t="s">
        <v>206</v>
      </c>
      <c r="C31" s="1" t="s">
        <v>236</v>
      </c>
      <c r="D31" s="1" t="s">
        <v>220</v>
      </c>
      <c r="E31" s="565">
        <f t="shared" si="2"/>
        <v>497.77244</v>
      </c>
      <c r="F31" s="566">
        <f t="shared" si="3"/>
        <v>0</v>
      </c>
      <c r="G31" s="566">
        <f t="shared" si="4"/>
        <v>0</v>
      </c>
      <c r="H31" s="566"/>
      <c r="I31" s="566"/>
      <c r="J31" s="566"/>
      <c r="K31" s="566"/>
      <c r="L31" s="566"/>
      <c r="M31" s="566"/>
      <c r="N31" s="565">
        <f t="shared" si="5"/>
        <v>0</v>
      </c>
      <c r="O31" s="566"/>
      <c r="P31" s="566"/>
      <c r="Q31" s="566"/>
      <c r="R31" s="566"/>
      <c r="S31" s="565">
        <f t="shared" si="6"/>
        <v>376.55</v>
      </c>
      <c r="T31" s="566">
        <f t="shared" si="7"/>
        <v>317.88</v>
      </c>
      <c r="U31" s="566">
        <v>182.26</v>
      </c>
      <c r="V31" s="566"/>
      <c r="W31" s="566">
        <v>63.3</v>
      </c>
      <c r="X31" s="566">
        <v>9.6</v>
      </c>
      <c r="Y31" s="566">
        <v>2.4</v>
      </c>
      <c r="Z31" s="566">
        <v>60.32</v>
      </c>
      <c r="AA31" s="565">
        <f t="shared" si="8"/>
        <v>58.67</v>
      </c>
      <c r="AB31" s="566">
        <v>37.67</v>
      </c>
      <c r="AC31" s="566"/>
      <c r="AD31" s="566"/>
      <c r="AE31" s="566"/>
      <c r="AF31" s="566">
        <v>21</v>
      </c>
      <c r="AG31" s="565">
        <f t="shared" si="9"/>
        <v>121.22244</v>
      </c>
      <c r="AH31" s="566">
        <f t="shared" si="10"/>
        <v>45.3168</v>
      </c>
      <c r="AI31" s="566">
        <f t="shared" si="11"/>
        <v>22.6584</v>
      </c>
      <c r="AJ31" s="566">
        <f t="shared" si="12"/>
        <v>16.9938</v>
      </c>
      <c r="AK31" s="566">
        <f t="shared" si="13"/>
        <v>0.56646</v>
      </c>
      <c r="AL31" s="566">
        <f t="shared" si="14"/>
        <v>1.69938</v>
      </c>
      <c r="AM31" s="566">
        <f t="shared" si="15"/>
        <v>33.9876</v>
      </c>
      <c r="AN31" s="566"/>
      <c r="AO31" s="304"/>
    </row>
    <row r="32" s="130" customFormat="1" spans="1:41">
      <c r="A32" s="1" t="s">
        <v>226</v>
      </c>
      <c r="B32" s="1" t="s">
        <v>203</v>
      </c>
      <c r="C32" s="1" t="s">
        <v>237</v>
      </c>
      <c r="D32" s="1" t="s">
        <v>214</v>
      </c>
      <c r="E32" s="563">
        <f t="shared" si="2"/>
        <v>235.5158624</v>
      </c>
      <c r="F32" s="564">
        <f t="shared" si="3"/>
        <v>185.8594</v>
      </c>
      <c r="G32" s="564">
        <f t="shared" si="4"/>
        <v>156.6394</v>
      </c>
      <c r="H32" s="564">
        <v>57.4392</v>
      </c>
      <c r="I32" s="564">
        <v>38.4996</v>
      </c>
      <c r="J32" s="564">
        <v>4.7866</v>
      </c>
      <c r="K32" s="564">
        <v>6.72</v>
      </c>
      <c r="L32" s="564">
        <v>0.264</v>
      </c>
      <c r="M32" s="564">
        <v>48.93</v>
      </c>
      <c r="N32" s="563">
        <f t="shared" si="5"/>
        <v>29.22</v>
      </c>
      <c r="O32" s="564">
        <v>14.52</v>
      </c>
      <c r="P32" s="564"/>
      <c r="Q32" s="564">
        <v>7.7</v>
      </c>
      <c r="R32" s="564">
        <v>7</v>
      </c>
      <c r="S32" s="563">
        <f t="shared" si="6"/>
        <v>0</v>
      </c>
      <c r="T32" s="564">
        <f t="shared" si="7"/>
        <v>0</v>
      </c>
      <c r="U32" s="564"/>
      <c r="V32" s="564"/>
      <c r="W32" s="564"/>
      <c r="X32" s="564"/>
      <c r="Y32" s="564"/>
      <c r="Z32" s="564"/>
      <c r="AA32" s="563">
        <f t="shared" si="8"/>
        <v>0</v>
      </c>
      <c r="AB32" s="564"/>
      <c r="AC32" s="564"/>
      <c r="AD32" s="564"/>
      <c r="AE32" s="564"/>
      <c r="AF32" s="564"/>
      <c r="AG32" s="563">
        <f t="shared" si="9"/>
        <v>49.6564624</v>
      </c>
      <c r="AH32" s="564">
        <f t="shared" si="10"/>
        <v>23.944864</v>
      </c>
      <c r="AI32" s="564">
        <f t="shared" si="11"/>
        <v>7.675104</v>
      </c>
      <c r="AJ32" s="564">
        <f t="shared" si="12"/>
        <v>5.756328</v>
      </c>
      <c r="AK32" s="564">
        <f t="shared" si="13"/>
        <v>0.1918776</v>
      </c>
      <c r="AL32" s="564">
        <f t="shared" si="14"/>
        <v>0.5756328</v>
      </c>
      <c r="AM32" s="564">
        <f t="shared" si="15"/>
        <v>11.512656</v>
      </c>
      <c r="AN32" s="564"/>
      <c r="AO32" s="304"/>
    </row>
    <row r="33" s="130" customFormat="1" ht="24" spans="1:41">
      <c r="A33" s="1" t="s">
        <v>226</v>
      </c>
      <c r="B33" s="1" t="s">
        <v>206</v>
      </c>
      <c r="C33" s="1" t="s">
        <v>238</v>
      </c>
      <c r="D33" s="1" t="s">
        <v>220</v>
      </c>
      <c r="E33" s="563">
        <f t="shared" si="2"/>
        <v>221.6033888</v>
      </c>
      <c r="F33" s="564">
        <f t="shared" si="3"/>
        <v>0</v>
      </c>
      <c r="G33" s="564">
        <f t="shared" si="4"/>
        <v>0</v>
      </c>
      <c r="H33" s="564"/>
      <c r="I33" s="564"/>
      <c r="J33" s="564"/>
      <c r="K33" s="564"/>
      <c r="L33" s="564"/>
      <c r="M33" s="564"/>
      <c r="N33" s="563">
        <f t="shared" si="5"/>
        <v>0</v>
      </c>
      <c r="O33" s="564"/>
      <c r="P33" s="564"/>
      <c r="Q33" s="564"/>
      <c r="R33" s="564"/>
      <c r="S33" s="563">
        <f t="shared" si="6"/>
        <v>170.4276</v>
      </c>
      <c r="T33" s="564">
        <f t="shared" si="7"/>
        <v>141.3276</v>
      </c>
      <c r="U33" s="564">
        <v>71.3028</v>
      </c>
      <c r="V33" s="564"/>
      <c r="W33" s="564">
        <v>30.1668</v>
      </c>
      <c r="X33" s="564">
        <v>9.6</v>
      </c>
      <c r="Y33" s="564">
        <v>0.888</v>
      </c>
      <c r="Z33" s="564">
        <v>29.37</v>
      </c>
      <c r="AA33" s="563">
        <f t="shared" si="8"/>
        <v>29.1</v>
      </c>
      <c r="AB33" s="564">
        <v>18.1</v>
      </c>
      <c r="AC33" s="564"/>
      <c r="AD33" s="564"/>
      <c r="AE33" s="564"/>
      <c r="AF33" s="564">
        <v>11</v>
      </c>
      <c r="AG33" s="563">
        <f t="shared" si="9"/>
        <v>51.1757888</v>
      </c>
      <c r="AH33" s="564">
        <f t="shared" si="10"/>
        <v>19.131136</v>
      </c>
      <c r="AI33" s="564">
        <f t="shared" si="11"/>
        <v>9.565568</v>
      </c>
      <c r="AJ33" s="564">
        <f t="shared" si="12"/>
        <v>7.174176</v>
      </c>
      <c r="AK33" s="564">
        <f t="shared" si="13"/>
        <v>0.2391392</v>
      </c>
      <c r="AL33" s="564">
        <f t="shared" si="14"/>
        <v>0.7174176</v>
      </c>
      <c r="AM33" s="564">
        <f t="shared" si="15"/>
        <v>14.348352</v>
      </c>
      <c r="AN33" s="564"/>
      <c r="AO33" s="304"/>
    </row>
    <row r="34" s="130" customFormat="1" spans="1:41">
      <c r="A34" s="1" t="s">
        <v>226</v>
      </c>
      <c r="B34" s="1" t="s">
        <v>203</v>
      </c>
      <c r="C34" s="1" t="s">
        <v>239</v>
      </c>
      <c r="D34" s="1" t="s">
        <v>214</v>
      </c>
      <c r="E34" s="563">
        <f t="shared" si="2"/>
        <v>232.40372</v>
      </c>
      <c r="F34" s="564">
        <f t="shared" si="3"/>
        <v>184.31</v>
      </c>
      <c r="G34" s="564">
        <f t="shared" si="4"/>
        <v>152.58</v>
      </c>
      <c r="H34" s="564">
        <v>55.21</v>
      </c>
      <c r="I34" s="564">
        <v>37.48</v>
      </c>
      <c r="J34" s="564">
        <v>4.6</v>
      </c>
      <c r="K34" s="564">
        <v>6.72</v>
      </c>
      <c r="L34" s="564">
        <v>0.53</v>
      </c>
      <c r="M34" s="564">
        <v>48.04</v>
      </c>
      <c r="N34" s="563">
        <f t="shared" si="5"/>
        <v>31.73</v>
      </c>
      <c r="O34" s="564">
        <f>5.42+11.61</f>
        <v>17.03</v>
      </c>
      <c r="P34" s="564"/>
      <c r="Q34" s="564">
        <v>7.7</v>
      </c>
      <c r="R34" s="564">
        <v>7</v>
      </c>
      <c r="S34" s="563">
        <f t="shared" si="6"/>
        <v>0</v>
      </c>
      <c r="T34" s="564">
        <f t="shared" si="7"/>
        <v>0</v>
      </c>
      <c r="U34" s="564"/>
      <c r="V34" s="564"/>
      <c r="W34" s="564"/>
      <c r="X34" s="564"/>
      <c r="Y34" s="564"/>
      <c r="Z34" s="564"/>
      <c r="AA34" s="563">
        <f t="shared" si="8"/>
        <v>0</v>
      </c>
      <c r="AB34" s="564"/>
      <c r="AC34" s="564"/>
      <c r="AD34" s="564"/>
      <c r="AE34" s="564"/>
      <c r="AF34" s="564"/>
      <c r="AG34" s="563">
        <f t="shared" si="9"/>
        <v>48.09372</v>
      </c>
      <c r="AH34" s="564">
        <f t="shared" si="10"/>
        <v>23.2528</v>
      </c>
      <c r="AI34" s="564">
        <f t="shared" si="11"/>
        <v>7.4152</v>
      </c>
      <c r="AJ34" s="564">
        <f t="shared" si="12"/>
        <v>5.5614</v>
      </c>
      <c r="AK34" s="564">
        <f t="shared" si="13"/>
        <v>0.18538</v>
      </c>
      <c r="AL34" s="564">
        <f t="shared" si="14"/>
        <v>0.55614</v>
      </c>
      <c r="AM34" s="564">
        <f t="shared" si="15"/>
        <v>11.1228</v>
      </c>
      <c r="AN34" s="564"/>
      <c r="AO34" s="304"/>
    </row>
    <row r="35" s="130" customFormat="1" ht="24" spans="1:41">
      <c r="A35" s="1" t="s">
        <v>226</v>
      </c>
      <c r="B35" s="1" t="s">
        <v>206</v>
      </c>
      <c r="C35" s="1" t="s">
        <v>240</v>
      </c>
      <c r="D35" s="1" t="s">
        <v>220</v>
      </c>
      <c r="E35" s="563">
        <f t="shared" si="2"/>
        <v>227.14076</v>
      </c>
      <c r="F35" s="564">
        <f t="shared" si="3"/>
        <v>0</v>
      </c>
      <c r="G35" s="564">
        <f t="shared" si="4"/>
        <v>0</v>
      </c>
      <c r="H35" s="564"/>
      <c r="I35" s="564"/>
      <c r="J35" s="564"/>
      <c r="K35" s="564"/>
      <c r="L35" s="564"/>
      <c r="M35" s="564"/>
      <c r="N35" s="563">
        <f t="shared" si="5"/>
        <v>0</v>
      </c>
      <c r="O35" s="564"/>
      <c r="P35" s="564"/>
      <c r="Q35" s="564"/>
      <c r="R35" s="564"/>
      <c r="S35" s="563">
        <f t="shared" si="6"/>
        <v>175.28</v>
      </c>
      <c r="T35" s="564">
        <f t="shared" si="7"/>
        <v>144.94</v>
      </c>
      <c r="U35" s="564">
        <v>70.91</v>
      </c>
      <c r="V35" s="564"/>
      <c r="W35" s="564">
        <v>31.42</v>
      </c>
      <c r="X35" s="564">
        <v>10.56</v>
      </c>
      <c r="Y35" s="564">
        <v>1.46</v>
      </c>
      <c r="Z35" s="564">
        <v>30.59</v>
      </c>
      <c r="AA35" s="563">
        <f t="shared" si="8"/>
        <v>30.34</v>
      </c>
      <c r="AB35" s="564">
        <v>18.84</v>
      </c>
      <c r="AC35" s="564"/>
      <c r="AD35" s="564"/>
      <c r="AE35" s="564"/>
      <c r="AF35" s="564">
        <v>11.5</v>
      </c>
      <c r="AG35" s="563">
        <f t="shared" si="9"/>
        <v>51.86076</v>
      </c>
      <c r="AH35" s="564">
        <f t="shared" si="10"/>
        <v>19.3872</v>
      </c>
      <c r="AI35" s="564">
        <f t="shared" si="11"/>
        <v>9.6936</v>
      </c>
      <c r="AJ35" s="564">
        <f t="shared" si="12"/>
        <v>7.2702</v>
      </c>
      <c r="AK35" s="564">
        <f t="shared" si="13"/>
        <v>0.24234</v>
      </c>
      <c r="AL35" s="564">
        <f t="shared" si="14"/>
        <v>0.72702</v>
      </c>
      <c r="AM35" s="564">
        <f t="shared" si="15"/>
        <v>14.5404</v>
      </c>
      <c r="AN35" s="564"/>
      <c r="AO35" s="304"/>
    </row>
    <row r="36" s="130" customFormat="1" spans="1:41">
      <c r="A36" s="1" t="s">
        <v>226</v>
      </c>
      <c r="B36" s="1" t="s">
        <v>203</v>
      </c>
      <c r="C36" s="1" t="s">
        <v>241</v>
      </c>
      <c r="D36" s="1" t="s">
        <v>214</v>
      </c>
      <c r="E36" s="563">
        <f t="shared" si="2"/>
        <v>243.1896216</v>
      </c>
      <c r="F36" s="564">
        <f t="shared" si="3"/>
        <v>192.1113</v>
      </c>
      <c r="G36" s="564">
        <f t="shared" si="4"/>
        <v>161.8413</v>
      </c>
      <c r="H36" s="564">
        <v>58.5804</v>
      </c>
      <c r="I36" s="564">
        <v>39.8448</v>
      </c>
      <c r="J36" s="564">
        <v>5.0721</v>
      </c>
      <c r="K36" s="564">
        <v>7.2</v>
      </c>
      <c r="L36" s="564">
        <v>0.264</v>
      </c>
      <c r="M36" s="564">
        <v>50.88</v>
      </c>
      <c r="N36" s="563">
        <f t="shared" si="5"/>
        <v>30.27</v>
      </c>
      <c r="O36" s="564">
        <v>14.52</v>
      </c>
      <c r="P36" s="564"/>
      <c r="Q36" s="564">
        <v>8.25</v>
      </c>
      <c r="R36" s="564">
        <v>7.5</v>
      </c>
      <c r="S36" s="563">
        <f t="shared" si="6"/>
        <v>0</v>
      </c>
      <c r="T36" s="564">
        <f t="shared" si="7"/>
        <v>0</v>
      </c>
      <c r="U36" s="564"/>
      <c r="V36" s="564"/>
      <c r="W36" s="564"/>
      <c r="X36" s="564"/>
      <c r="Y36" s="564"/>
      <c r="Z36" s="564"/>
      <c r="AA36" s="563">
        <f t="shared" si="8"/>
        <v>0</v>
      </c>
      <c r="AB36" s="564"/>
      <c r="AC36" s="564"/>
      <c r="AD36" s="564"/>
      <c r="AE36" s="564"/>
      <c r="AF36" s="564"/>
      <c r="AG36" s="563">
        <f t="shared" si="9"/>
        <v>51.0783216</v>
      </c>
      <c r="AH36" s="564">
        <f t="shared" si="10"/>
        <v>24.700368</v>
      </c>
      <c r="AI36" s="564">
        <f t="shared" si="11"/>
        <v>7.874016</v>
      </c>
      <c r="AJ36" s="564">
        <f t="shared" si="12"/>
        <v>5.905512</v>
      </c>
      <c r="AK36" s="564">
        <f t="shared" si="13"/>
        <v>0.1968504</v>
      </c>
      <c r="AL36" s="564">
        <f t="shared" si="14"/>
        <v>0.5905512</v>
      </c>
      <c r="AM36" s="564">
        <f t="shared" si="15"/>
        <v>11.811024</v>
      </c>
      <c r="AN36" s="564"/>
      <c r="AO36" s="304"/>
    </row>
    <row r="37" s="130" customFormat="1" ht="24" spans="1:41">
      <c r="A37" s="1" t="s">
        <v>226</v>
      </c>
      <c r="B37" s="1" t="s">
        <v>206</v>
      </c>
      <c r="C37" s="1" t="s">
        <v>242</v>
      </c>
      <c r="D37" s="1" t="s">
        <v>220</v>
      </c>
      <c r="E37" s="563">
        <f t="shared" si="2"/>
        <v>323.0088784</v>
      </c>
      <c r="F37" s="564">
        <f t="shared" si="3"/>
        <v>0</v>
      </c>
      <c r="G37" s="564">
        <f t="shared" si="4"/>
        <v>0</v>
      </c>
      <c r="H37" s="564"/>
      <c r="I37" s="564"/>
      <c r="J37" s="564"/>
      <c r="K37" s="564"/>
      <c r="L37" s="564"/>
      <c r="M37" s="564"/>
      <c r="N37" s="563">
        <f t="shared" si="5"/>
        <v>0</v>
      </c>
      <c r="O37" s="564"/>
      <c r="P37" s="564"/>
      <c r="Q37" s="564"/>
      <c r="R37" s="564"/>
      <c r="S37" s="563">
        <f t="shared" si="6"/>
        <v>247.9108</v>
      </c>
      <c r="T37" s="564">
        <f t="shared" si="7"/>
        <v>206.8184</v>
      </c>
      <c r="U37" s="564">
        <v>107.2164</v>
      </c>
      <c r="V37" s="564"/>
      <c r="W37" s="564">
        <v>42.654</v>
      </c>
      <c r="X37" s="564">
        <v>14.4</v>
      </c>
      <c r="Y37" s="564">
        <v>0.888</v>
      </c>
      <c r="Z37" s="564">
        <v>41.66</v>
      </c>
      <c r="AA37" s="563">
        <f t="shared" si="8"/>
        <v>41.0924</v>
      </c>
      <c r="AB37" s="564">
        <v>25.5924</v>
      </c>
      <c r="AC37" s="564"/>
      <c r="AD37" s="564"/>
      <c r="AE37" s="564"/>
      <c r="AF37" s="564">
        <v>15.5</v>
      </c>
      <c r="AG37" s="563">
        <f t="shared" si="9"/>
        <v>75.0980784</v>
      </c>
      <c r="AH37" s="564">
        <f t="shared" si="10"/>
        <v>28.074048</v>
      </c>
      <c r="AI37" s="564">
        <f t="shared" si="11"/>
        <v>14.037024</v>
      </c>
      <c r="AJ37" s="564">
        <f t="shared" si="12"/>
        <v>10.527768</v>
      </c>
      <c r="AK37" s="564">
        <f t="shared" si="13"/>
        <v>0.3509256</v>
      </c>
      <c r="AL37" s="564">
        <f t="shared" si="14"/>
        <v>1.0527768</v>
      </c>
      <c r="AM37" s="564">
        <f t="shared" si="15"/>
        <v>21.055536</v>
      </c>
      <c r="AN37" s="564"/>
      <c r="AO37" s="304"/>
    </row>
    <row r="38" s="130" customFormat="1" spans="1:41">
      <c r="A38" s="1" t="s">
        <v>226</v>
      </c>
      <c r="B38" s="1" t="s">
        <v>203</v>
      </c>
      <c r="C38" s="1" t="s">
        <v>243</v>
      </c>
      <c r="D38" s="1" t="s">
        <v>214</v>
      </c>
      <c r="E38" s="563">
        <f t="shared" si="2"/>
        <v>534.88732</v>
      </c>
      <c r="F38" s="564">
        <f t="shared" si="3"/>
        <v>419.2</v>
      </c>
      <c r="G38" s="564">
        <f t="shared" si="4"/>
        <v>357.77</v>
      </c>
      <c r="H38" s="564">
        <v>135.47</v>
      </c>
      <c r="I38" s="564">
        <v>87.22</v>
      </c>
      <c r="J38" s="564">
        <v>11.29</v>
      </c>
      <c r="K38" s="564">
        <v>7.2</v>
      </c>
      <c r="L38" s="564">
        <v>0.53</v>
      </c>
      <c r="M38" s="564">
        <v>116.06</v>
      </c>
      <c r="N38" s="563">
        <f t="shared" si="5"/>
        <v>61.43</v>
      </c>
      <c r="O38" s="564">
        <v>24.68</v>
      </c>
      <c r="P38" s="564"/>
      <c r="Q38" s="564">
        <v>19.25</v>
      </c>
      <c r="R38" s="564">
        <v>17.5</v>
      </c>
      <c r="S38" s="563">
        <f t="shared" si="6"/>
        <v>0</v>
      </c>
      <c r="T38" s="564">
        <f t="shared" si="7"/>
        <v>0</v>
      </c>
      <c r="U38" s="564"/>
      <c r="V38" s="564"/>
      <c r="W38" s="564"/>
      <c r="X38" s="564"/>
      <c r="Y38" s="564"/>
      <c r="Z38" s="564"/>
      <c r="AA38" s="563">
        <f t="shared" si="8"/>
        <v>0</v>
      </c>
      <c r="AB38" s="564"/>
      <c r="AC38" s="564"/>
      <c r="AD38" s="564"/>
      <c r="AE38" s="564"/>
      <c r="AF38" s="564"/>
      <c r="AG38" s="563">
        <f t="shared" si="9"/>
        <v>115.68732</v>
      </c>
      <c r="AH38" s="564">
        <f t="shared" si="10"/>
        <v>56.0064</v>
      </c>
      <c r="AI38" s="564">
        <f t="shared" si="11"/>
        <v>17.8152</v>
      </c>
      <c r="AJ38" s="564">
        <f t="shared" si="12"/>
        <v>13.3614</v>
      </c>
      <c r="AK38" s="564">
        <f t="shared" si="13"/>
        <v>0.44538</v>
      </c>
      <c r="AL38" s="564">
        <f t="shared" si="14"/>
        <v>1.33614</v>
      </c>
      <c r="AM38" s="564">
        <f t="shared" si="15"/>
        <v>26.7228</v>
      </c>
      <c r="AN38" s="564"/>
      <c r="AO38" s="304"/>
    </row>
    <row r="39" s="130" customFormat="1" ht="24" spans="1:41">
      <c r="A39" s="1" t="s">
        <v>226</v>
      </c>
      <c r="B39" s="1" t="s">
        <v>206</v>
      </c>
      <c r="C39" s="1" t="s">
        <v>244</v>
      </c>
      <c r="D39" s="1" t="s">
        <v>220</v>
      </c>
      <c r="E39" s="563">
        <f t="shared" si="2"/>
        <v>497.1928</v>
      </c>
      <c r="F39" s="564">
        <f t="shared" si="3"/>
        <v>0</v>
      </c>
      <c r="G39" s="564">
        <f t="shared" si="4"/>
        <v>0</v>
      </c>
      <c r="H39" s="564"/>
      <c r="I39" s="564"/>
      <c r="J39" s="564"/>
      <c r="K39" s="564"/>
      <c r="L39" s="564"/>
      <c r="M39" s="564"/>
      <c r="N39" s="563">
        <f t="shared" si="5"/>
        <v>0</v>
      </c>
      <c r="O39" s="564"/>
      <c r="P39" s="564"/>
      <c r="Q39" s="564"/>
      <c r="R39" s="564"/>
      <c r="S39" s="563">
        <f t="shared" si="6"/>
        <v>377.31</v>
      </c>
      <c r="T39" s="564">
        <f t="shared" si="7"/>
        <v>317.3</v>
      </c>
      <c r="U39" s="564">
        <v>181.42</v>
      </c>
      <c r="V39" s="564"/>
      <c r="W39" s="564">
        <v>61.17</v>
      </c>
      <c r="X39" s="564">
        <v>10.56</v>
      </c>
      <c r="Y39" s="564">
        <v>1.82</v>
      </c>
      <c r="Z39" s="564">
        <v>62.33</v>
      </c>
      <c r="AA39" s="563">
        <f t="shared" si="8"/>
        <v>60.01</v>
      </c>
      <c r="AB39" s="564">
        <v>37.51</v>
      </c>
      <c r="AC39" s="564"/>
      <c r="AD39" s="564"/>
      <c r="AE39" s="564"/>
      <c r="AF39" s="564">
        <v>22.5</v>
      </c>
      <c r="AG39" s="563">
        <f t="shared" si="9"/>
        <v>119.8828</v>
      </c>
      <c r="AH39" s="564">
        <f t="shared" si="10"/>
        <v>44.816</v>
      </c>
      <c r="AI39" s="564">
        <f t="shared" si="11"/>
        <v>22.408</v>
      </c>
      <c r="AJ39" s="564">
        <f t="shared" si="12"/>
        <v>16.806</v>
      </c>
      <c r="AK39" s="564">
        <f t="shared" si="13"/>
        <v>0.5602</v>
      </c>
      <c r="AL39" s="564">
        <f t="shared" si="14"/>
        <v>1.6806</v>
      </c>
      <c r="AM39" s="564">
        <f t="shared" si="15"/>
        <v>33.612</v>
      </c>
      <c r="AN39" s="564"/>
      <c r="AO39" s="304"/>
    </row>
    <row r="40" s="130" customFormat="1" spans="1:41">
      <c r="A40" s="1" t="s">
        <v>226</v>
      </c>
      <c r="B40" s="1" t="s">
        <v>203</v>
      </c>
      <c r="C40" s="1" t="s">
        <v>245</v>
      </c>
      <c r="D40" s="1" t="s">
        <v>214</v>
      </c>
      <c r="E40" s="563">
        <f t="shared" si="2"/>
        <v>307.56296</v>
      </c>
      <c r="F40" s="564">
        <f t="shared" si="3"/>
        <v>240.39</v>
      </c>
      <c r="G40" s="564">
        <f t="shared" si="4"/>
        <v>210.68</v>
      </c>
      <c r="H40" s="564">
        <v>76.65</v>
      </c>
      <c r="I40" s="564">
        <v>52.67</v>
      </c>
      <c r="J40" s="564">
        <v>6.39</v>
      </c>
      <c r="K40" s="564">
        <v>7.2</v>
      </c>
      <c r="L40" s="564">
        <v>0.26</v>
      </c>
      <c r="M40" s="564">
        <v>67.51</v>
      </c>
      <c r="N40" s="563">
        <f t="shared" si="5"/>
        <v>29.71</v>
      </c>
      <c r="O40" s="564">
        <v>8.71</v>
      </c>
      <c r="P40" s="564"/>
      <c r="Q40" s="564">
        <v>11</v>
      </c>
      <c r="R40" s="564">
        <v>10</v>
      </c>
      <c r="S40" s="563">
        <f t="shared" si="6"/>
        <v>0</v>
      </c>
      <c r="T40" s="564">
        <f t="shared" si="7"/>
        <v>0</v>
      </c>
      <c r="U40" s="564"/>
      <c r="V40" s="564"/>
      <c r="W40" s="564"/>
      <c r="X40" s="564"/>
      <c r="Y40" s="564"/>
      <c r="Z40" s="564"/>
      <c r="AA40" s="563">
        <f t="shared" si="8"/>
        <v>0</v>
      </c>
      <c r="AB40" s="564"/>
      <c r="AC40" s="564"/>
      <c r="AD40" s="564"/>
      <c r="AE40" s="564"/>
      <c r="AF40" s="564"/>
      <c r="AG40" s="563">
        <f t="shared" si="9"/>
        <v>67.17296</v>
      </c>
      <c r="AH40" s="564">
        <f t="shared" si="10"/>
        <v>32.5152</v>
      </c>
      <c r="AI40" s="564">
        <f t="shared" si="11"/>
        <v>10.3456</v>
      </c>
      <c r="AJ40" s="564">
        <f t="shared" si="12"/>
        <v>7.7592</v>
      </c>
      <c r="AK40" s="564">
        <f t="shared" si="13"/>
        <v>0.25864</v>
      </c>
      <c r="AL40" s="564">
        <f t="shared" si="14"/>
        <v>0.77592</v>
      </c>
      <c r="AM40" s="564">
        <f t="shared" si="15"/>
        <v>15.5184</v>
      </c>
      <c r="AN40" s="564"/>
      <c r="AO40" s="304"/>
    </row>
    <row r="41" s="130" customFormat="1" ht="24" spans="1:41">
      <c r="A41" s="1" t="s">
        <v>226</v>
      </c>
      <c r="B41" s="1" t="s">
        <v>206</v>
      </c>
      <c r="C41" s="1" t="s">
        <v>246</v>
      </c>
      <c r="D41" s="1" t="s">
        <v>220</v>
      </c>
      <c r="E41" s="563">
        <f t="shared" si="2"/>
        <v>313.64804</v>
      </c>
      <c r="F41" s="564">
        <f t="shared" si="3"/>
        <v>0</v>
      </c>
      <c r="G41" s="564">
        <f t="shared" si="4"/>
        <v>0</v>
      </c>
      <c r="H41" s="564"/>
      <c r="I41" s="564"/>
      <c r="J41" s="564"/>
      <c r="K41" s="564"/>
      <c r="L41" s="564"/>
      <c r="M41" s="564"/>
      <c r="N41" s="563">
        <f t="shared" si="5"/>
        <v>0</v>
      </c>
      <c r="O41" s="564"/>
      <c r="P41" s="564"/>
      <c r="Q41" s="564"/>
      <c r="R41" s="564"/>
      <c r="S41" s="563">
        <f t="shared" si="6"/>
        <v>240.49</v>
      </c>
      <c r="T41" s="564">
        <f t="shared" si="7"/>
        <v>199.62</v>
      </c>
      <c r="U41" s="564">
        <v>103.28</v>
      </c>
      <c r="V41" s="564"/>
      <c r="W41" s="564">
        <v>42.28</v>
      </c>
      <c r="X41" s="564">
        <v>10.44</v>
      </c>
      <c r="Y41" s="564">
        <v>1.82</v>
      </c>
      <c r="Z41" s="564">
        <v>41.8</v>
      </c>
      <c r="AA41" s="563">
        <f t="shared" si="8"/>
        <v>40.87</v>
      </c>
      <c r="AB41" s="564">
        <v>25.37</v>
      </c>
      <c r="AC41" s="564"/>
      <c r="AD41" s="564"/>
      <c r="AE41" s="564"/>
      <c r="AF41" s="564">
        <v>15.5</v>
      </c>
      <c r="AG41" s="563">
        <f t="shared" si="9"/>
        <v>73.15804</v>
      </c>
      <c r="AH41" s="564">
        <f t="shared" si="10"/>
        <v>27.3488</v>
      </c>
      <c r="AI41" s="564">
        <f t="shared" si="11"/>
        <v>13.6744</v>
      </c>
      <c r="AJ41" s="564">
        <f t="shared" si="12"/>
        <v>10.2558</v>
      </c>
      <c r="AK41" s="564">
        <f t="shared" si="13"/>
        <v>0.34186</v>
      </c>
      <c r="AL41" s="564">
        <f t="shared" si="14"/>
        <v>1.02558</v>
      </c>
      <c r="AM41" s="564">
        <f t="shared" si="15"/>
        <v>20.5116</v>
      </c>
      <c r="AN41" s="564"/>
      <c r="AO41" s="304"/>
    </row>
    <row r="42" s="130" customFormat="1" spans="1:41">
      <c r="A42" s="1" t="s">
        <v>226</v>
      </c>
      <c r="B42" s="1" t="s">
        <v>203</v>
      </c>
      <c r="C42" s="1" t="s">
        <v>247</v>
      </c>
      <c r="D42" s="1" t="s">
        <v>214</v>
      </c>
      <c r="E42" s="563">
        <f t="shared" si="2"/>
        <v>481.07716</v>
      </c>
      <c r="F42" s="564">
        <f t="shared" si="3"/>
        <v>378.62</v>
      </c>
      <c r="G42" s="564">
        <f t="shared" si="4"/>
        <v>316.27</v>
      </c>
      <c r="H42" s="564">
        <v>117.81</v>
      </c>
      <c r="I42" s="564">
        <v>79.86</v>
      </c>
      <c r="J42" s="564">
        <v>9.82</v>
      </c>
      <c r="K42" s="564">
        <v>6.48</v>
      </c>
      <c r="L42" s="564">
        <v>0.53</v>
      </c>
      <c r="M42" s="564">
        <v>101.77</v>
      </c>
      <c r="N42" s="563">
        <f t="shared" si="5"/>
        <v>62.35</v>
      </c>
      <c r="O42" s="564">
        <v>30.85</v>
      </c>
      <c r="P42" s="564"/>
      <c r="Q42" s="564">
        <v>16.5</v>
      </c>
      <c r="R42" s="564">
        <v>15</v>
      </c>
      <c r="S42" s="563">
        <f t="shared" si="6"/>
        <v>0</v>
      </c>
      <c r="T42" s="564">
        <f t="shared" si="7"/>
        <v>0</v>
      </c>
      <c r="U42" s="564"/>
      <c r="V42" s="564"/>
      <c r="W42" s="564"/>
      <c r="X42" s="564"/>
      <c r="Y42" s="564"/>
      <c r="Z42" s="564"/>
      <c r="AA42" s="563">
        <f t="shared" si="8"/>
        <v>0</v>
      </c>
      <c r="AB42" s="564"/>
      <c r="AC42" s="564"/>
      <c r="AD42" s="564"/>
      <c r="AE42" s="564"/>
      <c r="AF42" s="564"/>
      <c r="AG42" s="563">
        <f t="shared" si="9"/>
        <v>102.45716</v>
      </c>
      <c r="AH42" s="564">
        <f t="shared" si="10"/>
        <v>49.4816</v>
      </c>
      <c r="AI42" s="564">
        <f t="shared" si="11"/>
        <v>15.8136</v>
      </c>
      <c r="AJ42" s="564">
        <f t="shared" si="12"/>
        <v>11.8602</v>
      </c>
      <c r="AK42" s="564">
        <f t="shared" si="13"/>
        <v>0.39534</v>
      </c>
      <c r="AL42" s="564">
        <f t="shared" si="14"/>
        <v>1.18602</v>
      </c>
      <c r="AM42" s="564">
        <f t="shared" si="15"/>
        <v>23.7204</v>
      </c>
      <c r="AN42" s="564"/>
      <c r="AO42" s="304"/>
    </row>
    <row r="43" s="130" customFormat="1" ht="24" spans="1:41">
      <c r="A43" s="1" t="s">
        <v>226</v>
      </c>
      <c r="B43" s="1" t="s">
        <v>206</v>
      </c>
      <c r="C43" s="1" t="s">
        <v>248</v>
      </c>
      <c r="D43" s="1" t="s">
        <v>220</v>
      </c>
      <c r="E43" s="563">
        <f t="shared" si="2"/>
        <v>473.25344</v>
      </c>
      <c r="F43" s="564">
        <f t="shared" si="3"/>
        <v>0</v>
      </c>
      <c r="G43" s="564">
        <f t="shared" si="4"/>
        <v>0</v>
      </c>
      <c r="H43" s="564"/>
      <c r="I43" s="564"/>
      <c r="J43" s="564"/>
      <c r="K43" s="564"/>
      <c r="L43" s="564"/>
      <c r="M43" s="564"/>
      <c r="N43" s="563">
        <f t="shared" si="5"/>
        <v>0</v>
      </c>
      <c r="O43" s="564"/>
      <c r="P43" s="564"/>
      <c r="Q43" s="564"/>
      <c r="R43" s="564"/>
      <c r="S43" s="563">
        <f t="shared" si="6"/>
        <v>360.27</v>
      </c>
      <c r="T43" s="564">
        <f t="shared" si="7"/>
        <v>300.22</v>
      </c>
      <c r="U43" s="564">
        <v>163.86</v>
      </c>
      <c r="V43" s="564"/>
      <c r="W43" s="564">
        <v>62.57</v>
      </c>
      <c r="X43" s="564">
        <v>10.32</v>
      </c>
      <c r="Y43" s="564">
        <v>1.56</v>
      </c>
      <c r="Z43" s="564">
        <v>61.91</v>
      </c>
      <c r="AA43" s="563">
        <f t="shared" si="8"/>
        <v>60.05</v>
      </c>
      <c r="AB43" s="564">
        <v>37.55</v>
      </c>
      <c r="AC43" s="564"/>
      <c r="AD43" s="564"/>
      <c r="AE43" s="564"/>
      <c r="AF43" s="564">
        <v>22.5</v>
      </c>
      <c r="AG43" s="563">
        <f t="shared" si="9"/>
        <v>112.98344</v>
      </c>
      <c r="AH43" s="564">
        <f t="shared" si="10"/>
        <v>42.2368</v>
      </c>
      <c r="AI43" s="564">
        <f t="shared" si="11"/>
        <v>21.1184</v>
      </c>
      <c r="AJ43" s="564">
        <f t="shared" si="12"/>
        <v>15.8388</v>
      </c>
      <c r="AK43" s="564">
        <f t="shared" si="13"/>
        <v>0.52796</v>
      </c>
      <c r="AL43" s="564">
        <f t="shared" si="14"/>
        <v>1.58388</v>
      </c>
      <c r="AM43" s="564">
        <f t="shared" si="15"/>
        <v>31.6776</v>
      </c>
      <c r="AN43" s="564"/>
      <c r="AO43" s="304"/>
    </row>
    <row r="44" s="130" customFormat="1" spans="1:41">
      <c r="A44" s="1" t="s">
        <v>226</v>
      </c>
      <c r="B44" s="1" t="s">
        <v>203</v>
      </c>
      <c r="C44" s="1" t="s">
        <v>249</v>
      </c>
      <c r="D44" s="1" t="s">
        <v>214</v>
      </c>
      <c r="E44" s="563">
        <f t="shared" si="2"/>
        <v>476.49292</v>
      </c>
      <c r="F44" s="564">
        <f t="shared" si="3"/>
        <v>372.35</v>
      </c>
      <c r="G44" s="564">
        <f t="shared" si="4"/>
        <v>328.99</v>
      </c>
      <c r="H44" s="564">
        <v>118.21</v>
      </c>
      <c r="I44" s="564">
        <v>81.38</v>
      </c>
      <c r="J44" s="564">
        <v>9.85</v>
      </c>
      <c r="K44" s="564">
        <v>11.88</v>
      </c>
      <c r="L44" s="564">
        <v>0.53</v>
      </c>
      <c r="M44" s="564">
        <v>107.14</v>
      </c>
      <c r="N44" s="563">
        <f t="shared" si="5"/>
        <v>43.36</v>
      </c>
      <c r="O44" s="564">
        <v>8.71</v>
      </c>
      <c r="P44" s="564"/>
      <c r="Q44" s="564">
        <v>18.15</v>
      </c>
      <c r="R44" s="564">
        <v>16.5</v>
      </c>
      <c r="S44" s="563">
        <f t="shared" si="6"/>
        <v>0</v>
      </c>
      <c r="T44" s="564">
        <f t="shared" si="7"/>
        <v>0</v>
      </c>
      <c r="U44" s="564"/>
      <c r="V44" s="564"/>
      <c r="W44" s="564"/>
      <c r="X44" s="564"/>
      <c r="Y44" s="564"/>
      <c r="Z44" s="564"/>
      <c r="AA44" s="563">
        <f t="shared" si="8"/>
        <v>0</v>
      </c>
      <c r="AB44" s="564"/>
      <c r="AC44" s="564"/>
      <c r="AD44" s="564"/>
      <c r="AE44" s="564"/>
      <c r="AF44" s="564"/>
      <c r="AG44" s="563">
        <f t="shared" si="9"/>
        <v>104.14292</v>
      </c>
      <c r="AH44" s="564">
        <f t="shared" si="10"/>
        <v>50.6528</v>
      </c>
      <c r="AI44" s="564">
        <f t="shared" si="11"/>
        <v>15.9672</v>
      </c>
      <c r="AJ44" s="564">
        <f t="shared" si="12"/>
        <v>11.9754</v>
      </c>
      <c r="AK44" s="564">
        <f t="shared" si="13"/>
        <v>0.39918</v>
      </c>
      <c r="AL44" s="564">
        <f t="shared" si="14"/>
        <v>1.19754</v>
      </c>
      <c r="AM44" s="564">
        <f t="shared" si="15"/>
        <v>23.9508</v>
      </c>
      <c r="AN44" s="564"/>
      <c r="AO44" s="304"/>
    </row>
    <row r="45" s="130" customFormat="1" ht="24" spans="1:41">
      <c r="A45" s="1" t="s">
        <v>226</v>
      </c>
      <c r="B45" s="1" t="s">
        <v>206</v>
      </c>
      <c r="C45" s="1" t="s">
        <v>250</v>
      </c>
      <c r="D45" s="1" t="s">
        <v>220</v>
      </c>
      <c r="E45" s="563">
        <f t="shared" si="2"/>
        <v>318.89648</v>
      </c>
      <c r="F45" s="564">
        <f t="shared" si="3"/>
        <v>0</v>
      </c>
      <c r="G45" s="564">
        <f t="shared" si="4"/>
        <v>0</v>
      </c>
      <c r="H45" s="564"/>
      <c r="I45" s="564"/>
      <c r="J45" s="564"/>
      <c r="K45" s="564"/>
      <c r="L45" s="564"/>
      <c r="M45" s="564"/>
      <c r="N45" s="563">
        <f t="shared" si="5"/>
        <v>0</v>
      </c>
      <c r="O45" s="564"/>
      <c r="P45" s="564"/>
      <c r="Q45" s="564"/>
      <c r="R45" s="564"/>
      <c r="S45" s="563">
        <f t="shared" si="6"/>
        <v>243.5</v>
      </c>
      <c r="T45" s="564">
        <f t="shared" si="7"/>
        <v>203.38</v>
      </c>
      <c r="U45" s="564">
        <v>109.17</v>
      </c>
      <c r="V45" s="564"/>
      <c r="W45" s="564">
        <v>41.87</v>
      </c>
      <c r="X45" s="564">
        <v>10.44</v>
      </c>
      <c r="Y45" s="564">
        <v>0.94</v>
      </c>
      <c r="Z45" s="564">
        <v>40.96</v>
      </c>
      <c r="AA45" s="563">
        <f t="shared" si="8"/>
        <v>40.12</v>
      </c>
      <c r="AB45" s="564">
        <v>25.12</v>
      </c>
      <c r="AC45" s="564"/>
      <c r="AD45" s="564"/>
      <c r="AE45" s="564"/>
      <c r="AF45" s="564">
        <v>15</v>
      </c>
      <c r="AG45" s="563">
        <f t="shared" si="9"/>
        <v>75.39648</v>
      </c>
      <c r="AH45" s="564">
        <f t="shared" si="10"/>
        <v>28.1856</v>
      </c>
      <c r="AI45" s="564">
        <f t="shared" si="11"/>
        <v>14.0928</v>
      </c>
      <c r="AJ45" s="564">
        <f t="shared" si="12"/>
        <v>10.5696</v>
      </c>
      <c r="AK45" s="564">
        <f t="shared" si="13"/>
        <v>0.35232</v>
      </c>
      <c r="AL45" s="564">
        <f t="shared" si="14"/>
        <v>1.05696</v>
      </c>
      <c r="AM45" s="564">
        <f t="shared" si="15"/>
        <v>21.1392</v>
      </c>
      <c r="AN45" s="564"/>
      <c r="AO45" s="304"/>
    </row>
    <row r="46" s="130" customFormat="1" spans="1:41">
      <c r="A46" s="1" t="s">
        <v>226</v>
      </c>
      <c r="B46" s="1" t="s">
        <v>203</v>
      </c>
      <c r="C46" s="1" t="s">
        <v>251</v>
      </c>
      <c r="D46" s="1" t="s">
        <v>214</v>
      </c>
      <c r="E46" s="563">
        <f t="shared" si="2"/>
        <v>390.0322</v>
      </c>
      <c r="F46" s="564">
        <f t="shared" si="3"/>
        <v>305.78</v>
      </c>
      <c r="G46" s="564">
        <f t="shared" si="4"/>
        <v>265.82</v>
      </c>
      <c r="H46" s="564">
        <v>93.91</v>
      </c>
      <c r="I46" s="564">
        <v>67.24</v>
      </c>
      <c r="J46" s="564">
        <v>7.2</v>
      </c>
      <c r="K46" s="564">
        <v>8.64</v>
      </c>
      <c r="L46" s="564">
        <v>0.53</v>
      </c>
      <c r="M46" s="564">
        <v>88.3</v>
      </c>
      <c r="N46" s="563">
        <f t="shared" si="5"/>
        <v>39.96</v>
      </c>
      <c r="O46" s="564">
        <v>11.61</v>
      </c>
      <c r="P46" s="564"/>
      <c r="Q46" s="564">
        <v>14.85</v>
      </c>
      <c r="R46" s="564">
        <v>13.5</v>
      </c>
      <c r="S46" s="563">
        <f t="shared" si="6"/>
        <v>0</v>
      </c>
      <c r="T46" s="564">
        <f t="shared" si="7"/>
        <v>0</v>
      </c>
      <c r="U46" s="564"/>
      <c r="V46" s="564"/>
      <c r="W46" s="564"/>
      <c r="X46" s="564"/>
      <c r="Y46" s="564"/>
      <c r="Z46" s="564"/>
      <c r="AA46" s="563">
        <f t="shared" si="8"/>
        <v>0</v>
      </c>
      <c r="AB46" s="564"/>
      <c r="AC46" s="564"/>
      <c r="AD46" s="564"/>
      <c r="AE46" s="564"/>
      <c r="AF46" s="564"/>
      <c r="AG46" s="563">
        <f t="shared" si="9"/>
        <v>84.2522</v>
      </c>
      <c r="AH46" s="564">
        <f t="shared" si="10"/>
        <v>41.064</v>
      </c>
      <c r="AI46" s="564">
        <f t="shared" si="11"/>
        <v>12.892</v>
      </c>
      <c r="AJ46" s="564">
        <f t="shared" si="12"/>
        <v>9.669</v>
      </c>
      <c r="AK46" s="564">
        <f t="shared" si="13"/>
        <v>0.3223</v>
      </c>
      <c r="AL46" s="564">
        <f t="shared" si="14"/>
        <v>0.9669</v>
      </c>
      <c r="AM46" s="564">
        <f t="shared" si="15"/>
        <v>19.338</v>
      </c>
      <c r="AN46" s="564"/>
      <c r="AO46" s="304"/>
    </row>
    <row r="47" s="130" customFormat="1" ht="24" customHeight="1" spans="1:41">
      <c r="A47" s="1" t="s">
        <v>226</v>
      </c>
      <c r="B47" s="1" t="s">
        <v>206</v>
      </c>
      <c r="C47" s="1" t="s">
        <v>252</v>
      </c>
      <c r="D47" s="1" t="s">
        <v>220</v>
      </c>
      <c r="E47" s="563">
        <f t="shared" si="2"/>
        <v>362.7368384</v>
      </c>
      <c r="F47" s="564">
        <f t="shared" si="3"/>
        <v>0</v>
      </c>
      <c r="G47" s="564">
        <f t="shared" si="4"/>
        <v>0</v>
      </c>
      <c r="H47" s="564"/>
      <c r="I47" s="564"/>
      <c r="J47" s="564"/>
      <c r="K47" s="564"/>
      <c r="L47" s="564"/>
      <c r="M47" s="564"/>
      <c r="N47" s="563">
        <f t="shared" si="5"/>
        <v>0</v>
      </c>
      <c r="O47" s="564"/>
      <c r="P47" s="564"/>
      <c r="Q47" s="564"/>
      <c r="R47" s="564"/>
      <c r="S47" s="563">
        <f t="shared" si="6"/>
        <v>277.1228</v>
      </c>
      <c r="T47" s="564">
        <f t="shared" si="7"/>
        <v>231.708</v>
      </c>
      <c r="U47" s="564">
        <v>124.2648</v>
      </c>
      <c r="V47" s="564"/>
      <c r="W47" s="564">
        <v>47.3532</v>
      </c>
      <c r="X47" s="564">
        <v>11.52</v>
      </c>
      <c r="Y47" s="564">
        <v>1.46</v>
      </c>
      <c r="Z47" s="564">
        <v>47.11</v>
      </c>
      <c r="AA47" s="563">
        <f t="shared" si="8"/>
        <v>45.4148</v>
      </c>
      <c r="AB47" s="564">
        <v>28.4148</v>
      </c>
      <c r="AC47" s="564"/>
      <c r="AD47" s="564"/>
      <c r="AE47" s="564"/>
      <c r="AF47" s="564">
        <v>17</v>
      </c>
      <c r="AG47" s="563">
        <f t="shared" si="9"/>
        <v>85.6140384</v>
      </c>
      <c r="AH47" s="564">
        <f t="shared" si="10"/>
        <v>32.005248</v>
      </c>
      <c r="AI47" s="564">
        <f t="shared" si="11"/>
        <v>16.002624</v>
      </c>
      <c r="AJ47" s="564">
        <f t="shared" si="12"/>
        <v>12.001968</v>
      </c>
      <c r="AK47" s="564">
        <f t="shared" si="13"/>
        <v>0.4000656</v>
      </c>
      <c r="AL47" s="564">
        <f t="shared" si="14"/>
        <v>1.2001968</v>
      </c>
      <c r="AM47" s="564">
        <f t="shared" si="15"/>
        <v>24.003936</v>
      </c>
      <c r="AN47" s="564"/>
      <c r="AO47" s="304"/>
    </row>
    <row r="48" s="130" customFormat="1" spans="1:41">
      <c r="A48" s="1" t="s">
        <v>226</v>
      </c>
      <c r="B48" s="1" t="s">
        <v>203</v>
      </c>
      <c r="C48" s="1" t="s">
        <v>253</v>
      </c>
      <c r="D48" s="1" t="s">
        <v>214</v>
      </c>
      <c r="E48" s="563">
        <f t="shared" si="2"/>
        <v>349.680224</v>
      </c>
      <c r="F48" s="564">
        <f t="shared" si="3"/>
        <v>273.0706</v>
      </c>
      <c r="G48" s="564">
        <f t="shared" si="4"/>
        <v>240.2106</v>
      </c>
      <c r="H48" s="564">
        <v>87.3912</v>
      </c>
      <c r="I48" s="564">
        <v>60.1548</v>
      </c>
      <c r="J48" s="564">
        <v>6.8946</v>
      </c>
      <c r="K48" s="564">
        <v>8.28</v>
      </c>
      <c r="L48" s="564">
        <v>0.26</v>
      </c>
      <c r="M48" s="564">
        <v>77.23</v>
      </c>
      <c r="N48" s="563">
        <f t="shared" si="5"/>
        <v>32.86</v>
      </c>
      <c r="O48" s="564">
        <v>8.71</v>
      </c>
      <c r="P48" s="564"/>
      <c r="Q48" s="564">
        <v>12.65</v>
      </c>
      <c r="R48" s="564">
        <v>11.5</v>
      </c>
      <c r="S48" s="563">
        <f t="shared" si="6"/>
        <v>0</v>
      </c>
      <c r="T48" s="564">
        <f t="shared" si="7"/>
        <v>0</v>
      </c>
      <c r="U48" s="564"/>
      <c r="V48" s="564"/>
      <c r="W48" s="564"/>
      <c r="X48" s="564"/>
      <c r="Y48" s="564"/>
      <c r="Z48" s="564"/>
      <c r="AA48" s="563">
        <f t="shared" si="8"/>
        <v>0</v>
      </c>
      <c r="AB48" s="564"/>
      <c r="AC48" s="564"/>
      <c r="AD48" s="564"/>
      <c r="AE48" s="564"/>
      <c r="AF48" s="564"/>
      <c r="AG48" s="563">
        <f t="shared" si="9"/>
        <v>76.609624</v>
      </c>
      <c r="AH48" s="564">
        <f t="shared" si="10"/>
        <v>37.067296</v>
      </c>
      <c r="AI48" s="564">
        <f t="shared" si="11"/>
        <v>11.80368</v>
      </c>
      <c r="AJ48" s="564">
        <f t="shared" si="12"/>
        <v>8.85276</v>
      </c>
      <c r="AK48" s="564">
        <f t="shared" si="13"/>
        <v>0.295092</v>
      </c>
      <c r="AL48" s="564">
        <f t="shared" si="14"/>
        <v>0.885276</v>
      </c>
      <c r="AM48" s="564">
        <f t="shared" si="15"/>
        <v>17.70552</v>
      </c>
      <c r="AN48" s="564"/>
      <c r="AO48" s="304"/>
    </row>
    <row r="49" s="130" customFormat="1" ht="24" spans="1:41">
      <c r="A49" s="1" t="s">
        <v>226</v>
      </c>
      <c r="B49" s="1" t="s">
        <v>206</v>
      </c>
      <c r="C49" s="1" t="s">
        <v>254</v>
      </c>
      <c r="D49" s="1" t="s">
        <v>220</v>
      </c>
      <c r="E49" s="563">
        <f t="shared" si="2"/>
        <v>339.60772</v>
      </c>
      <c r="F49" s="564">
        <f t="shared" si="3"/>
        <v>0</v>
      </c>
      <c r="G49" s="564">
        <f t="shared" si="4"/>
        <v>0</v>
      </c>
      <c r="H49" s="564"/>
      <c r="I49" s="564"/>
      <c r="J49" s="564"/>
      <c r="K49" s="564"/>
      <c r="L49" s="564"/>
      <c r="M49" s="564"/>
      <c r="N49" s="563">
        <f t="shared" si="5"/>
        <v>0</v>
      </c>
      <c r="O49" s="564"/>
      <c r="P49" s="564"/>
      <c r="Q49" s="564"/>
      <c r="R49" s="564"/>
      <c r="S49" s="563">
        <f t="shared" si="6"/>
        <v>259.79</v>
      </c>
      <c r="T49" s="564">
        <f t="shared" si="7"/>
        <v>216.49</v>
      </c>
      <c r="U49" s="564">
        <v>114.41</v>
      </c>
      <c r="V49" s="564"/>
      <c r="W49" s="564">
        <v>45.28</v>
      </c>
      <c r="X49" s="564">
        <v>10.8</v>
      </c>
      <c r="Y49" s="564">
        <v>1.25</v>
      </c>
      <c r="Z49" s="564">
        <v>44.75</v>
      </c>
      <c r="AA49" s="563">
        <f t="shared" si="8"/>
        <v>43.3</v>
      </c>
      <c r="AB49" s="564">
        <v>26.8</v>
      </c>
      <c r="AC49" s="564"/>
      <c r="AD49" s="564"/>
      <c r="AE49" s="564"/>
      <c r="AF49" s="564">
        <v>16.5</v>
      </c>
      <c r="AG49" s="563">
        <f t="shared" si="9"/>
        <v>79.81772</v>
      </c>
      <c r="AH49" s="564">
        <f t="shared" si="10"/>
        <v>29.8384</v>
      </c>
      <c r="AI49" s="564">
        <f t="shared" si="11"/>
        <v>14.9192</v>
      </c>
      <c r="AJ49" s="564">
        <f t="shared" si="12"/>
        <v>11.1894</v>
      </c>
      <c r="AK49" s="564">
        <f t="shared" si="13"/>
        <v>0.37298</v>
      </c>
      <c r="AL49" s="564">
        <f t="shared" si="14"/>
        <v>1.11894</v>
      </c>
      <c r="AM49" s="564">
        <f t="shared" si="15"/>
        <v>22.3788</v>
      </c>
      <c r="AN49" s="564"/>
      <c r="AO49" s="304"/>
    </row>
    <row r="50" s="130" customFormat="1" spans="1:41">
      <c r="A50" s="1" t="s">
        <v>226</v>
      </c>
      <c r="B50" s="1" t="s">
        <v>203</v>
      </c>
      <c r="C50" s="1" t="s">
        <v>255</v>
      </c>
      <c r="D50" s="1" t="s">
        <v>214</v>
      </c>
      <c r="E50" s="563">
        <f t="shared" si="2"/>
        <v>346.60908</v>
      </c>
      <c r="F50" s="564">
        <f t="shared" si="3"/>
        <v>271.63</v>
      </c>
      <c r="G50" s="564">
        <f t="shared" si="4"/>
        <v>237.72</v>
      </c>
      <c r="H50" s="564">
        <v>84.11</v>
      </c>
      <c r="I50" s="564">
        <v>59</v>
      </c>
      <c r="J50" s="564">
        <v>7.5</v>
      </c>
      <c r="K50" s="564">
        <v>8.28</v>
      </c>
      <c r="L50" s="564">
        <v>0.53</v>
      </c>
      <c r="M50" s="564">
        <v>78.3</v>
      </c>
      <c r="N50" s="563">
        <f t="shared" si="5"/>
        <v>33.91</v>
      </c>
      <c r="O50" s="564">
        <v>8.71</v>
      </c>
      <c r="P50" s="564"/>
      <c r="Q50" s="564">
        <v>13.2</v>
      </c>
      <c r="R50" s="564">
        <v>12</v>
      </c>
      <c r="S50" s="563">
        <f t="shared" si="6"/>
        <v>0</v>
      </c>
      <c r="T50" s="564">
        <f t="shared" si="7"/>
        <v>0</v>
      </c>
      <c r="U50" s="564"/>
      <c r="V50" s="564"/>
      <c r="W50" s="564"/>
      <c r="X50" s="564"/>
      <c r="Y50" s="564"/>
      <c r="Z50" s="564"/>
      <c r="AA50" s="563">
        <f t="shared" si="8"/>
        <v>0</v>
      </c>
      <c r="AB50" s="564"/>
      <c r="AC50" s="564"/>
      <c r="AD50" s="564"/>
      <c r="AE50" s="564"/>
      <c r="AF50" s="564"/>
      <c r="AG50" s="563">
        <f t="shared" si="9"/>
        <v>74.97908</v>
      </c>
      <c r="AH50" s="564">
        <f t="shared" si="10"/>
        <v>36.6256</v>
      </c>
      <c r="AI50" s="564">
        <f t="shared" si="11"/>
        <v>11.4488</v>
      </c>
      <c r="AJ50" s="564">
        <f t="shared" si="12"/>
        <v>8.5866</v>
      </c>
      <c r="AK50" s="564">
        <f t="shared" si="13"/>
        <v>0.28622</v>
      </c>
      <c r="AL50" s="564">
        <f t="shared" si="14"/>
        <v>0.85866</v>
      </c>
      <c r="AM50" s="564">
        <f t="shared" si="15"/>
        <v>17.1732</v>
      </c>
      <c r="AN50" s="564"/>
      <c r="AO50" s="304"/>
    </row>
    <row r="51" s="130" customFormat="1" ht="24" spans="1:41">
      <c r="A51" s="1" t="s">
        <v>226</v>
      </c>
      <c r="B51" s="1" t="s">
        <v>206</v>
      </c>
      <c r="C51" s="1" t="s">
        <v>256</v>
      </c>
      <c r="D51" s="1" t="s">
        <v>220</v>
      </c>
      <c r="E51" s="563">
        <f t="shared" si="2"/>
        <v>346.08156</v>
      </c>
      <c r="F51" s="564">
        <f t="shared" si="3"/>
        <v>0</v>
      </c>
      <c r="G51" s="564">
        <f t="shared" si="4"/>
        <v>0</v>
      </c>
      <c r="H51" s="564"/>
      <c r="I51" s="564"/>
      <c r="J51" s="564"/>
      <c r="K51" s="564"/>
      <c r="L51" s="564"/>
      <c r="M51" s="564"/>
      <c r="N51" s="563">
        <f t="shared" si="5"/>
        <v>0</v>
      </c>
      <c r="O51" s="564"/>
      <c r="P51" s="564"/>
      <c r="Q51" s="564"/>
      <c r="R51" s="564"/>
      <c r="S51" s="563">
        <f t="shared" si="6"/>
        <v>263.79</v>
      </c>
      <c r="T51" s="564">
        <f t="shared" si="7"/>
        <v>220.97</v>
      </c>
      <c r="U51" s="564">
        <v>119.88</v>
      </c>
      <c r="V51" s="564"/>
      <c r="W51" s="564">
        <v>45.57</v>
      </c>
      <c r="X51" s="564">
        <v>10.8</v>
      </c>
      <c r="Y51" s="564">
        <v>0.62</v>
      </c>
      <c r="Z51" s="564">
        <v>44.1</v>
      </c>
      <c r="AA51" s="563">
        <f t="shared" si="8"/>
        <v>42.82</v>
      </c>
      <c r="AB51" s="564">
        <v>26.82</v>
      </c>
      <c r="AC51" s="564"/>
      <c r="AD51" s="564"/>
      <c r="AE51" s="564"/>
      <c r="AF51" s="564">
        <v>16</v>
      </c>
      <c r="AG51" s="563">
        <f t="shared" si="9"/>
        <v>82.29156</v>
      </c>
      <c r="AH51" s="564">
        <f t="shared" si="10"/>
        <v>30.7632</v>
      </c>
      <c r="AI51" s="564">
        <f t="shared" si="11"/>
        <v>15.3816</v>
      </c>
      <c r="AJ51" s="564">
        <f t="shared" si="12"/>
        <v>11.5362</v>
      </c>
      <c r="AK51" s="564">
        <f t="shared" si="13"/>
        <v>0.38454</v>
      </c>
      <c r="AL51" s="564">
        <f t="shared" si="14"/>
        <v>1.15362</v>
      </c>
      <c r="AM51" s="564">
        <f t="shared" si="15"/>
        <v>23.0724</v>
      </c>
      <c r="AN51" s="564"/>
      <c r="AO51" s="304"/>
    </row>
    <row r="52" s="130" customFormat="1" spans="1:41">
      <c r="A52" s="1" t="s">
        <v>226</v>
      </c>
      <c r="B52" s="1" t="s">
        <v>203</v>
      </c>
      <c r="C52" s="1" t="s">
        <v>257</v>
      </c>
      <c r="D52" s="1" t="s">
        <v>214</v>
      </c>
      <c r="E52" s="563">
        <f t="shared" si="2"/>
        <v>295.41952</v>
      </c>
      <c r="F52" s="564">
        <f t="shared" si="3"/>
        <v>232.71</v>
      </c>
      <c r="G52" s="564">
        <f t="shared" si="4"/>
        <v>198.24</v>
      </c>
      <c r="H52" s="564">
        <v>71.45</v>
      </c>
      <c r="I52" s="564">
        <v>49.09</v>
      </c>
      <c r="J52" s="564">
        <v>5.76</v>
      </c>
      <c r="K52" s="564">
        <v>7.68</v>
      </c>
      <c r="L52" s="564">
        <v>0.53</v>
      </c>
      <c r="M52" s="564">
        <v>63.73</v>
      </c>
      <c r="N52" s="563">
        <f t="shared" si="5"/>
        <v>34.47</v>
      </c>
      <c r="O52" s="564">
        <v>14.52</v>
      </c>
      <c r="P52" s="564"/>
      <c r="Q52" s="564">
        <v>10.45</v>
      </c>
      <c r="R52" s="564">
        <v>9.5</v>
      </c>
      <c r="S52" s="563">
        <f t="shared" si="6"/>
        <v>0</v>
      </c>
      <c r="T52" s="564">
        <f t="shared" si="7"/>
        <v>0</v>
      </c>
      <c r="U52" s="564"/>
      <c r="V52" s="564"/>
      <c r="W52" s="564"/>
      <c r="X52" s="564"/>
      <c r="Y52" s="564"/>
      <c r="Z52" s="564"/>
      <c r="AA52" s="563">
        <f t="shared" si="8"/>
        <v>0</v>
      </c>
      <c r="AB52" s="564"/>
      <c r="AC52" s="564"/>
      <c r="AD52" s="564"/>
      <c r="AE52" s="564"/>
      <c r="AF52" s="564"/>
      <c r="AG52" s="563">
        <f t="shared" si="9"/>
        <v>62.70952</v>
      </c>
      <c r="AH52" s="564">
        <f t="shared" si="10"/>
        <v>30.4048</v>
      </c>
      <c r="AI52" s="564">
        <f t="shared" si="11"/>
        <v>9.6432</v>
      </c>
      <c r="AJ52" s="564">
        <f t="shared" si="12"/>
        <v>7.2324</v>
      </c>
      <c r="AK52" s="564">
        <f t="shared" si="13"/>
        <v>0.24108</v>
      </c>
      <c r="AL52" s="564">
        <f t="shared" si="14"/>
        <v>0.72324</v>
      </c>
      <c r="AM52" s="564">
        <f t="shared" si="15"/>
        <v>14.4648</v>
      </c>
      <c r="AN52" s="564"/>
      <c r="AO52" s="304"/>
    </row>
    <row r="53" s="130" customFormat="1" ht="24" spans="1:41">
      <c r="A53" s="1" t="s">
        <v>226</v>
      </c>
      <c r="B53" s="1" t="s">
        <v>206</v>
      </c>
      <c r="C53" s="1" t="s">
        <v>258</v>
      </c>
      <c r="D53" s="1" t="s">
        <v>220</v>
      </c>
      <c r="E53" s="563">
        <f t="shared" si="2"/>
        <v>264.92984</v>
      </c>
      <c r="F53" s="564">
        <f t="shared" si="3"/>
        <v>0</v>
      </c>
      <c r="G53" s="564">
        <f t="shared" si="4"/>
        <v>0</v>
      </c>
      <c r="H53" s="564"/>
      <c r="I53" s="564"/>
      <c r="J53" s="564"/>
      <c r="K53" s="564"/>
      <c r="L53" s="564"/>
      <c r="M53" s="564"/>
      <c r="N53" s="563">
        <f t="shared" si="5"/>
        <v>0</v>
      </c>
      <c r="O53" s="564"/>
      <c r="P53" s="564"/>
      <c r="Q53" s="564"/>
      <c r="R53" s="564"/>
      <c r="S53" s="563">
        <f t="shared" si="6"/>
        <v>203.82</v>
      </c>
      <c r="T53" s="564">
        <f t="shared" si="7"/>
        <v>169.04</v>
      </c>
      <c r="U53" s="564">
        <v>85.9</v>
      </c>
      <c r="V53" s="564"/>
      <c r="W53" s="564">
        <v>35.1</v>
      </c>
      <c r="X53" s="564">
        <v>12</v>
      </c>
      <c r="Y53" s="564">
        <v>0.94</v>
      </c>
      <c r="Z53" s="564">
        <v>35.1</v>
      </c>
      <c r="AA53" s="563">
        <f t="shared" si="8"/>
        <v>34.78</v>
      </c>
      <c r="AB53" s="564">
        <v>21.78</v>
      </c>
      <c r="AC53" s="564"/>
      <c r="AD53" s="564"/>
      <c r="AE53" s="564"/>
      <c r="AF53" s="564">
        <v>13</v>
      </c>
      <c r="AG53" s="563">
        <f t="shared" si="9"/>
        <v>61.10984</v>
      </c>
      <c r="AH53" s="564">
        <f t="shared" si="10"/>
        <v>22.8448</v>
      </c>
      <c r="AI53" s="564">
        <f t="shared" si="11"/>
        <v>11.4224</v>
      </c>
      <c r="AJ53" s="564">
        <f t="shared" si="12"/>
        <v>8.5668</v>
      </c>
      <c r="AK53" s="564">
        <f t="shared" si="13"/>
        <v>0.28556</v>
      </c>
      <c r="AL53" s="564">
        <f t="shared" si="14"/>
        <v>0.85668</v>
      </c>
      <c r="AM53" s="564">
        <f t="shared" si="15"/>
        <v>17.1336</v>
      </c>
      <c r="AN53" s="564"/>
      <c r="AO53" s="304"/>
    </row>
    <row r="54" s="130" customFormat="1" spans="1:41">
      <c r="A54" s="1" t="s">
        <v>226</v>
      </c>
      <c r="B54" s="1" t="s">
        <v>203</v>
      </c>
      <c r="C54" s="1" t="s">
        <v>259</v>
      </c>
      <c r="D54" s="1" t="s">
        <v>214</v>
      </c>
      <c r="E54" s="563">
        <f t="shared" si="2"/>
        <v>215.3693976</v>
      </c>
      <c r="F54" s="564">
        <f t="shared" si="3"/>
        <v>171.2931</v>
      </c>
      <c r="G54" s="564">
        <f t="shared" si="4"/>
        <v>142.0731</v>
      </c>
      <c r="H54" s="564">
        <v>48.6468</v>
      </c>
      <c r="I54" s="564">
        <v>35.3244</v>
      </c>
      <c r="J54" s="564">
        <v>4.0539</v>
      </c>
      <c r="K54" s="564">
        <v>6.72</v>
      </c>
      <c r="L54" s="564">
        <v>0.528</v>
      </c>
      <c r="M54" s="564">
        <v>46.8</v>
      </c>
      <c r="N54" s="563">
        <f t="shared" si="5"/>
        <v>29.22</v>
      </c>
      <c r="O54" s="564">
        <v>14.52</v>
      </c>
      <c r="P54" s="564"/>
      <c r="Q54" s="564">
        <v>7.7</v>
      </c>
      <c r="R54" s="564">
        <v>7</v>
      </c>
      <c r="S54" s="563">
        <f t="shared" si="6"/>
        <v>0</v>
      </c>
      <c r="T54" s="564">
        <f t="shared" si="7"/>
        <v>0</v>
      </c>
      <c r="U54" s="564"/>
      <c r="V54" s="564"/>
      <c r="W54" s="564"/>
      <c r="X54" s="564"/>
      <c r="Y54" s="564"/>
      <c r="Z54" s="564"/>
      <c r="AA54" s="563">
        <f t="shared" si="8"/>
        <v>0</v>
      </c>
      <c r="AB54" s="564"/>
      <c r="AC54" s="564"/>
      <c r="AD54" s="564"/>
      <c r="AE54" s="564"/>
      <c r="AF54" s="564"/>
      <c r="AG54" s="563">
        <f t="shared" si="9"/>
        <v>44.0762976</v>
      </c>
      <c r="AH54" s="564">
        <f t="shared" si="10"/>
        <v>21.572016</v>
      </c>
      <c r="AI54" s="564">
        <f t="shared" si="11"/>
        <v>6.717696</v>
      </c>
      <c r="AJ54" s="564">
        <f t="shared" si="12"/>
        <v>5.038272</v>
      </c>
      <c r="AK54" s="564">
        <f t="shared" si="13"/>
        <v>0.1679424</v>
      </c>
      <c r="AL54" s="564">
        <f t="shared" si="14"/>
        <v>0.5038272</v>
      </c>
      <c r="AM54" s="564">
        <f t="shared" si="15"/>
        <v>10.076544</v>
      </c>
      <c r="AN54" s="564"/>
      <c r="AO54" s="304"/>
    </row>
    <row r="55" s="130" customFormat="1" ht="24" spans="1:41">
      <c r="A55" s="1" t="s">
        <v>226</v>
      </c>
      <c r="B55" s="1" t="s">
        <v>206</v>
      </c>
      <c r="C55" s="1" t="s">
        <v>260</v>
      </c>
      <c r="D55" s="1" t="s">
        <v>220</v>
      </c>
      <c r="E55" s="563">
        <f t="shared" si="2"/>
        <v>211.203998</v>
      </c>
      <c r="F55" s="564">
        <f t="shared" si="3"/>
        <v>0</v>
      </c>
      <c r="G55" s="564">
        <f t="shared" si="4"/>
        <v>0</v>
      </c>
      <c r="H55" s="564"/>
      <c r="I55" s="564"/>
      <c r="J55" s="564"/>
      <c r="K55" s="564"/>
      <c r="L55" s="564"/>
      <c r="M55" s="564"/>
      <c r="N55" s="563">
        <f t="shared" si="5"/>
        <v>0</v>
      </c>
      <c r="O55" s="564"/>
      <c r="P55" s="564"/>
      <c r="Q55" s="564"/>
      <c r="R55" s="564"/>
      <c r="S55" s="563">
        <f t="shared" si="6"/>
        <v>163.3735</v>
      </c>
      <c r="T55" s="564">
        <f t="shared" si="7"/>
        <v>135.048</v>
      </c>
      <c r="U55" s="564">
        <v>65.5524</v>
      </c>
      <c r="V55" s="564"/>
      <c r="W55" s="564">
        <v>28.8756</v>
      </c>
      <c r="X55" s="564">
        <v>10.56</v>
      </c>
      <c r="Y55" s="564">
        <v>1.2</v>
      </c>
      <c r="Z55" s="564">
        <v>28.86</v>
      </c>
      <c r="AA55" s="563">
        <f t="shared" si="8"/>
        <v>28.3255</v>
      </c>
      <c r="AB55" s="564">
        <v>17.3255</v>
      </c>
      <c r="AC55" s="564"/>
      <c r="AD55" s="564"/>
      <c r="AE55" s="564"/>
      <c r="AF55" s="564">
        <v>11</v>
      </c>
      <c r="AG55" s="563">
        <f t="shared" si="9"/>
        <v>47.830498</v>
      </c>
      <c r="AH55" s="564">
        <f t="shared" si="10"/>
        <v>17.88056</v>
      </c>
      <c r="AI55" s="564">
        <f t="shared" si="11"/>
        <v>8.94028</v>
      </c>
      <c r="AJ55" s="564">
        <f t="shared" si="12"/>
        <v>6.70521</v>
      </c>
      <c r="AK55" s="564">
        <f t="shared" si="13"/>
        <v>0.223507</v>
      </c>
      <c r="AL55" s="564">
        <f t="shared" si="14"/>
        <v>0.670521</v>
      </c>
      <c r="AM55" s="564">
        <f t="shared" si="15"/>
        <v>13.41042</v>
      </c>
      <c r="AN55" s="564"/>
      <c r="AO55" s="304"/>
    </row>
    <row r="56" s="130" customFormat="1" ht="24" spans="1:41">
      <c r="A56" s="1" t="s">
        <v>261</v>
      </c>
      <c r="B56" s="1" t="s">
        <v>203</v>
      </c>
      <c r="C56" s="1" t="s">
        <v>262</v>
      </c>
      <c r="D56" s="1" t="s">
        <v>263</v>
      </c>
      <c r="E56" s="563">
        <f t="shared" si="2"/>
        <v>340.8032</v>
      </c>
      <c r="F56" s="564">
        <f t="shared" si="3"/>
        <v>268.46</v>
      </c>
      <c r="G56" s="564">
        <f t="shared" si="4"/>
        <v>213.96</v>
      </c>
      <c r="H56" s="567">
        <v>91.08</v>
      </c>
      <c r="I56" s="567">
        <v>51.12</v>
      </c>
      <c r="J56" s="567">
        <v>7.59</v>
      </c>
      <c r="K56" s="564"/>
      <c r="L56" s="564"/>
      <c r="M56" s="564">
        <v>64.17</v>
      </c>
      <c r="N56" s="563">
        <f t="shared" si="5"/>
        <v>54.5</v>
      </c>
      <c r="O56" s="566">
        <v>35.6</v>
      </c>
      <c r="P56" s="564"/>
      <c r="Q56" s="564">
        <v>9.9</v>
      </c>
      <c r="R56" s="564">
        <v>9</v>
      </c>
      <c r="S56" s="563">
        <f t="shared" si="6"/>
        <v>0</v>
      </c>
      <c r="T56" s="564">
        <f t="shared" si="7"/>
        <v>0</v>
      </c>
      <c r="U56" s="564"/>
      <c r="V56" s="564"/>
      <c r="W56" s="564"/>
      <c r="X56" s="564"/>
      <c r="Y56" s="564"/>
      <c r="Z56" s="564"/>
      <c r="AA56" s="563">
        <f t="shared" si="8"/>
        <v>0</v>
      </c>
      <c r="AB56" s="564"/>
      <c r="AC56" s="564"/>
      <c r="AD56" s="564"/>
      <c r="AE56" s="564"/>
      <c r="AF56" s="564"/>
      <c r="AG56" s="563">
        <f t="shared" si="9"/>
        <v>72.3432</v>
      </c>
      <c r="AH56" s="564">
        <f t="shared" si="10"/>
        <v>34.2336</v>
      </c>
      <c r="AI56" s="564">
        <f t="shared" si="11"/>
        <v>11.376</v>
      </c>
      <c r="AJ56" s="564">
        <f t="shared" si="12"/>
        <v>8.532</v>
      </c>
      <c r="AK56" s="564">
        <f t="shared" si="13"/>
        <v>0.2844</v>
      </c>
      <c r="AL56" s="564">
        <f t="shared" si="14"/>
        <v>0.8532</v>
      </c>
      <c r="AM56" s="564">
        <f t="shared" si="15"/>
        <v>17.064</v>
      </c>
      <c r="AN56" s="564"/>
      <c r="AO56" s="304"/>
    </row>
    <row r="57" s="130" customFormat="1" ht="23" customHeight="1" spans="1:41">
      <c r="A57" s="1" t="s">
        <v>261</v>
      </c>
      <c r="B57" s="1" t="s">
        <v>206</v>
      </c>
      <c r="C57" s="1" t="s">
        <v>264</v>
      </c>
      <c r="D57" s="1" t="s">
        <v>265</v>
      </c>
      <c r="E57" s="563">
        <f t="shared" si="2"/>
        <v>76.70976288</v>
      </c>
      <c r="F57" s="564">
        <f t="shared" si="3"/>
        <v>0</v>
      </c>
      <c r="G57" s="564">
        <f t="shared" si="4"/>
        <v>0</v>
      </c>
      <c r="H57" s="564"/>
      <c r="I57" s="564"/>
      <c r="J57" s="564"/>
      <c r="K57" s="564"/>
      <c r="L57" s="564"/>
      <c r="M57" s="564"/>
      <c r="N57" s="563">
        <f t="shared" si="5"/>
        <v>0</v>
      </c>
      <c r="O57" s="564"/>
      <c r="P57" s="564"/>
      <c r="Q57" s="564"/>
      <c r="R57" s="564"/>
      <c r="S57" s="563">
        <f t="shared" si="6"/>
        <v>58.176096</v>
      </c>
      <c r="T57" s="564">
        <f t="shared" si="7"/>
        <v>46.914</v>
      </c>
      <c r="U57" s="567">
        <v>28.0524</v>
      </c>
      <c r="V57" s="138"/>
      <c r="W57" s="567">
        <v>9.5316</v>
      </c>
      <c r="X57" s="564"/>
      <c r="Y57" s="564"/>
      <c r="Z57" s="564">
        <v>9.33</v>
      </c>
      <c r="AA57" s="563">
        <f t="shared" si="8"/>
        <v>11.262096</v>
      </c>
      <c r="AB57" s="567">
        <v>5.71896</v>
      </c>
      <c r="AC57" s="566"/>
      <c r="AD57" s="567">
        <v>2.543136</v>
      </c>
      <c r="AE57" s="564"/>
      <c r="AF57" s="564">
        <v>3</v>
      </c>
      <c r="AG57" s="563">
        <f t="shared" si="9"/>
        <v>18.53366688</v>
      </c>
      <c r="AH57" s="564">
        <f t="shared" si="10"/>
        <v>6.9284736</v>
      </c>
      <c r="AI57" s="564">
        <f t="shared" si="11"/>
        <v>3.4642368</v>
      </c>
      <c r="AJ57" s="564">
        <f t="shared" si="12"/>
        <v>2.5981776</v>
      </c>
      <c r="AK57" s="564">
        <f t="shared" si="13"/>
        <v>0.08660592</v>
      </c>
      <c r="AL57" s="564">
        <f t="shared" si="14"/>
        <v>0.25981776</v>
      </c>
      <c r="AM57" s="564">
        <f t="shared" si="15"/>
        <v>5.1963552</v>
      </c>
      <c r="AN57" s="564"/>
      <c r="AO57" s="304"/>
    </row>
    <row r="58" s="130" customFormat="1" ht="24" spans="1:41">
      <c r="A58" s="1" t="s">
        <v>261</v>
      </c>
      <c r="B58" s="1" t="s">
        <v>206</v>
      </c>
      <c r="C58" s="1" t="s">
        <v>266</v>
      </c>
      <c r="D58" s="1" t="s">
        <v>265</v>
      </c>
      <c r="E58" s="563">
        <f t="shared" si="2"/>
        <v>230.63408</v>
      </c>
      <c r="F58" s="564">
        <f t="shared" si="3"/>
        <v>0</v>
      </c>
      <c r="G58" s="564">
        <f t="shared" si="4"/>
        <v>0</v>
      </c>
      <c r="H58" s="564"/>
      <c r="I58" s="564"/>
      <c r="J58" s="564"/>
      <c r="K58" s="564"/>
      <c r="L58" s="564"/>
      <c r="M58" s="564"/>
      <c r="N58" s="563">
        <f t="shared" si="5"/>
        <v>0</v>
      </c>
      <c r="O58" s="564"/>
      <c r="P58" s="564"/>
      <c r="Q58" s="564"/>
      <c r="R58" s="564"/>
      <c r="S58" s="563">
        <f t="shared" si="6"/>
        <v>173.77</v>
      </c>
      <c r="T58" s="564">
        <f t="shared" si="7"/>
        <v>144.18</v>
      </c>
      <c r="U58" s="567">
        <v>83.29</v>
      </c>
      <c r="V58" s="567"/>
      <c r="W58" s="567">
        <v>30.98</v>
      </c>
      <c r="X58" s="564"/>
      <c r="Y58" s="564"/>
      <c r="Z58" s="564">
        <v>29.91</v>
      </c>
      <c r="AA58" s="563">
        <f t="shared" si="8"/>
        <v>29.59</v>
      </c>
      <c r="AB58" s="567">
        <v>18.59</v>
      </c>
      <c r="AC58" s="566"/>
      <c r="AD58" s="566"/>
      <c r="AE58" s="564"/>
      <c r="AF58" s="564">
        <v>11</v>
      </c>
      <c r="AG58" s="563">
        <f t="shared" si="9"/>
        <v>56.86408</v>
      </c>
      <c r="AH58" s="564">
        <f t="shared" si="10"/>
        <v>21.2576</v>
      </c>
      <c r="AI58" s="564">
        <f t="shared" si="11"/>
        <v>10.6288</v>
      </c>
      <c r="AJ58" s="564">
        <f t="shared" si="12"/>
        <v>7.9716</v>
      </c>
      <c r="AK58" s="564">
        <f t="shared" si="13"/>
        <v>0.26572</v>
      </c>
      <c r="AL58" s="564">
        <f t="shared" si="14"/>
        <v>0.79716</v>
      </c>
      <c r="AM58" s="564">
        <f t="shared" si="15"/>
        <v>15.9432</v>
      </c>
      <c r="AN58" s="564"/>
      <c r="AO58" s="304"/>
    </row>
    <row r="59" s="130" customFormat="1" ht="24" spans="1:41">
      <c r="A59" s="1" t="s">
        <v>202</v>
      </c>
      <c r="B59" s="1" t="s">
        <v>203</v>
      </c>
      <c r="C59" s="1" t="s">
        <v>267</v>
      </c>
      <c r="D59" s="1" t="s">
        <v>268</v>
      </c>
      <c r="E59" s="563">
        <f t="shared" si="2"/>
        <v>225.88616</v>
      </c>
      <c r="F59" s="564">
        <f t="shared" si="3"/>
        <v>181.79</v>
      </c>
      <c r="G59" s="564">
        <f t="shared" si="4"/>
        <v>152.12</v>
      </c>
      <c r="H59" s="564">
        <v>45.69</v>
      </c>
      <c r="I59" s="564">
        <v>28.03</v>
      </c>
      <c r="J59" s="564">
        <v>3.81</v>
      </c>
      <c r="K59" s="564"/>
      <c r="L59" s="564"/>
      <c r="M59" s="564">
        <v>74.59</v>
      </c>
      <c r="N59" s="563">
        <f t="shared" si="5"/>
        <v>29.67</v>
      </c>
      <c r="O59" s="564">
        <v>7.62</v>
      </c>
      <c r="P59" s="564"/>
      <c r="Q59" s="564">
        <v>11.55</v>
      </c>
      <c r="R59" s="564">
        <v>10.5</v>
      </c>
      <c r="S59" s="563">
        <f t="shared" si="6"/>
        <v>0</v>
      </c>
      <c r="T59" s="564">
        <f t="shared" si="7"/>
        <v>0</v>
      </c>
      <c r="U59" s="564"/>
      <c r="V59" s="564"/>
      <c r="W59" s="564"/>
      <c r="X59" s="564"/>
      <c r="Y59" s="564"/>
      <c r="Z59" s="564"/>
      <c r="AA59" s="563">
        <f t="shared" si="8"/>
        <v>0</v>
      </c>
      <c r="AB59" s="564"/>
      <c r="AC59" s="564"/>
      <c r="AD59" s="564"/>
      <c r="AE59" s="564"/>
      <c r="AF59" s="564"/>
      <c r="AG59" s="563">
        <f t="shared" si="9"/>
        <v>44.09616</v>
      </c>
      <c r="AH59" s="564">
        <f t="shared" si="10"/>
        <v>24.3392</v>
      </c>
      <c r="AI59" s="564">
        <f t="shared" si="11"/>
        <v>5.8976</v>
      </c>
      <c r="AJ59" s="564">
        <f t="shared" si="12"/>
        <v>4.4232</v>
      </c>
      <c r="AK59" s="564">
        <f t="shared" si="13"/>
        <v>0.14744</v>
      </c>
      <c r="AL59" s="564">
        <f t="shared" si="14"/>
        <v>0.44232</v>
      </c>
      <c r="AM59" s="564">
        <f t="shared" si="15"/>
        <v>8.8464</v>
      </c>
      <c r="AN59" s="564"/>
      <c r="AO59" s="304"/>
    </row>
    <row r="60" s="130" customFormat="1" ht="24" spans="1:41">
      <c r="A60" s="1" t="s">
        <v>202</v>
      </c>
      <c r="B60" s="1" t="s">
        <v>203</v>
      </c>
      <c r="C60" s="1" t="s">
        <v>269</v>
      </c>
      <c r="D60" s="1" t="s">
        <v>268</v>
      </c>
      <c r="E60" s="563">
        <f t="shared" si="2"/>
        <v>53.45136</v>
      </c>
      <c r="F60" s="564">
        <f t="shared" si="3"/>
        <v>37.78</v>
      </c>
      <c r="G60" s="564">
        <f t="shared" si="4"/>
        <v>37.78</v>
      </c>
      <c r="H60" s="564">
        <v>22.3</v>
      </c>
      <c r="I60" s="564">
        <v>13.62</v>
      </c>
      <c r="J60" s="564">
        <v>1.86</v>
      </c>
      <c r="K60" s="564"/>
      <c r="L60" s="564"/>
      <c r="M60" s="564"/>
      <c r="N60" s="563">
        <f t="shared" si="5"/>
        <v>0</v>
      </c>
      <c r="O60" s="564"/>
      <c r="P60" s="564"/>
      <c r="Q60" s="564"/>
      <c r="R60" s="564"/>
      <c r="S60" s="563">
        <f t="shared" si="6"/>
        <v>0</v>
      </c>
      <c r="T60" s="564">
        <f t="shared" si="7"/>
        <v>0</v>
      </c>
      <c r="U60" s="564"/>
      <c r="V60" s="564"/>
      <c r="W60" s="564"/>
      <c r="X60" s="564"/>
      <c r="Y60" s="564"/>
      <c r="Z60" s="564"/>
      <c r="AA60" s="563">
        <f t="shared" si="8"/>
        <v>0</v>
      </c>
      <c r="AB60" s="564"/>
      <c r="AC60" s="564"/>
      <c r="AD60" s="564"/>
      <c r="AE60" s="564"/>
      <c r="AF60" s="564"/>
      <c r="AG60" s="563">
        <f t="shared" si="9"/>
        <v>15.67136</v>
      </c>
      <c r="AH60" s="564">
        <f t="shared" si="10"/>
        <v>6.0448</v>
      </c>
      <c r="AI60" s="564">
        <f t="shared" si="11"/>
        <v>2.8736</v>
      </c>
      <c r="AJ60" s="564">
        <f t="shared" si="12"/>
        <v>2.1552</v>
      </c>
      <c r="AK60" s="564">
        <f t="shared" si="13"/>
        <v>0.07184</v>
      </c>
      <c r="AL60" s="564">
        <f t="shared" si="14"/>
        <v>0.21552</v>
      </c>
      <c r="AM60" s="564">
        <f t="shared" si="15"/>
        <v>4.3104</v>
      </c>
      <c r="AN60" s="564"/>
      <c r="AO60" s="304"/>
    </row>
    <row r="61" s="130" customFormat="1" ht="24" spans="1:41">
      <c r="A61" s="1" t="s">
        <v>202</v>
      </c>
      <c r="B61" s="1" t="s">
        <v>203</v>
      </c>
      <c r="C61" s="1" t="s">
        <v>270</v>
      </c>
      <c r="D61" s="1" t="s">
        <v>268</v>
      </c>
      <c r="E61" s="563">
        <f t="shared" si="2"/>
        <v>63.3848</v>
      </c>
      <c r="F61" s="564">
        <f t="shared" si="3"/>
        <v>44.8</v>
      </c>
      <c r="G61" s="564">
        <f t="shared" si="4"/>
        <v>44.8</v>
      </c>
      <c r="H61" s="564">
        <v>26.37</v>
      </c>
      <c r="I61" s="564">
        <v>16.23</v>
      </c>
      <c r="J61" s="564">
        <v>2.2</v>
      </c>
      <c r="K61" s="564"/>
      <c r="L61" s="564"/>
      <c r="M61" s="564"/>
      <c r="N61" s="563">
        <f t="shared" si="5"/>
        <v>0</v>
      </c>
      <c r="O61" s="564"/>
      <c r="P61" s="564"/>
      <c r="Q61" s="564"/>
      <c r="R61" s="564"/>
      <c r="S61" s="563">
        <f t="shared" si="6"/>
        <v>0</v>
      </c>
      <c r="T61" s="564">
        <f t="shared" si="7"/>
        <v>0</v>
      </c>
      <c r="U61" s="564"/>
      <c r="V61" s="564"/>
      <c r="W61" s="564"/>
      <c r="X61" s="564"/>
      <c r="Y61" s="564"/>
      <c r="Z61" s="564"/>
      <c r="AA61" s="563">
        <f t="shared" si="8"/>
        <v>0</v>
      </c>
      <c r="AB61" s="564"/>
      <c r="AC61" s="564"/>
      <c r="AD61" s="564"/>
      <c r="AE61" s="564"/>
      <c r="AF61" s="564"/>
      <c r="AG61" s="563">
        <f t="shared" si="9"/>
        <v>18.5848</v>
      </c>
      <c r="AH61" s="564">
        <f t="shared" si="10"/>
        <v>7.168</v>
      </c>
      <c r="AI61" s="564">
        <f t="shared" si="11"/>
        <v>3.408</v>
      </c>
      <c r="AJ61" s="564">
        <f t="shared" si="12"/>
        <v>2.556</v>
      </c>
      <c r="AK61" s="564">
        <f t="shared" si="13"/>
        <v>0.0852</v>
      </c>
      <c r="AL61" s="564">
        <f t="shared" si="14"/>
        <v>0.2556</v>
      </c>
      <c r="AM61" s="564">
        <f t="shared" si="15"/>
        <v>5.112</v>
      </c>
      <c r="AN61" s="564"/>
      <c r="AO61" s="304"/>
    </row>
    <row r="62" s="130" customFormat="1" ht="24" spans="1:41">
      <c r="A62" s="1" t="s">
        <v>202</v>
      </c>
      <c r="B62" s="1" t="s">
        <v>203</v>
      </c>
      <c r="C62" s="1" t="s">
        <v>271</v>
      </c>
      <c r="D62" s="1" t="s">
        <v>268</v>
      </c>
      <c r="E62" s="563">
        <f t="shared" si="2"/>
        <v>9.90756</v>
      </c>
      <c r="F62" s="564">
        <f t="shared" si="3"/>
        <v>7</v>
      </c>
      <c r="G62" s="564">
        <f t="shared" si="4"/>
        <v>7</v>
      </c>
      <c r="H62" s="564">
        <v>3.99</v>
      </c>
      <c r="I62" s="564">
        <v>2.68</v>
      </c>
      <c r="J62" s="564">
        <v>0.33</v>
      </c>
      <c r="K62" s="564"/>
      <c r="L62" s="564"/>
      <c r="M62" s="564"/>
      <c r="N62" s="563">
        <f t="shared" si="5"/>
        <v>0</v>
      </c>
      <c r="O62" s="564"/>
      <c r="P62" s="564"/>
      <c r="Q62" s="564"/>
      <c r="R62" s="564"/>
      <c r="S62" s="563">
        <f t="shared" si="6"/>
        <v>0</v>
      </c>
      <c r="T62" s="564">
        <f t="shared" si="7"/>
        <v>0</v>
      </c>
      <c r="U62" s="564"/>
      <c r="V62" s="564"/>
      <c r="W62" s="564"/>
      <c r="X62" s="564"/>
      <c r="Y62" s="564"/>
      <c r="Z62" s="564"/>
      <c r="AA62" s="563">
        <f t="shared" si="8"/>
        <v>0</v>
      </c>
      <c r="AB62" s="564"/>
      <c r="AC62" s="564"/>
      <c r="AD62" s="564"/>
      <c r="AE62" s="564"/>
      <c r="AF62" s="564"/>
      <c r="AG62" s="563">
        <f t="shared" si="9"/>
        <v>2.90756</v>
      </c>
      <c r="AH62" s="564">
        <f t="shared" si="10"/>
        <v>1.12</v>
      </c>
      <c r="AI62" s="564">
        <f t="shared" si="11"/>
        <v>0.5336</v>
      </c>
      <c r="AJ62" s="564">
        <f t="shared" si="12"/>
        <v>0.4002</v>
      </c>
      <c r="AK62" s="564">
        <f t="shared" si="13"/>
        <v>0.01334</v>
      </c>
      <c r="AL62" s="564">
        <f t="shared" si="14"/>
        <v>0.04002</v>
      </c>
      <c r="AM62" s="564">
        <f t="shared" si="15"/>
        <v>0.8004</v>
      </c>
      <c r="AN62" s="564"/>
      <c r="AO62" s="304"/>
    </row>
    <row r="63" s="130" customFormat="1" ht="24" spans="1:41">
      <c r="A63" s="1" t="s">
        <v>202</v>
      </c>
      <c r="B63" s="1" t="s">
        <v>206</v>
      </c>
      <c r="C63" s="1" t="s">
        <v>272</v>
      </c>
      <c r="D63" s="1" t="s">
        <v>273</v>
      </c>
      <c r="E63" s="563">
        <f t="shared" si="2"/>
        <v>154.34348</v>
      </c>
      <c r="F63" s="564">
        <f t="shared" si="3"/>
        <v>0</v>
      </c>
      <c r="G63" s="564">
        <f t="shared" si="4"/>
        <v>0</v>
      </c>
      <c r="H63" s="564"/>
      <c r="I63" s="564"/>
      <c r="J63" s="564"/>
      <c r="K63" s="564"/>
      <c r="L63" s="564"/>
      <c r="M63" s="564"/>
      <c r="N63" s="563">
        <f t="shared" si="5"/>
        <v>0</v>
      </c>
      <c r="O63" s="564"/>
      <c r="P63" s="564"/>
      <c r="Q63" s="564"/>
      <c r="R63" s="564"/>
      <c r="S63" s="563">
        <f t="shared" si="6"/>
        <v>116.29</v>
      </c>
      <c r="T63" s="564">
        <f t="shared" si="7"/>
        <v>97.16</v>
      </c>
      <c r="U63" s="564">
        <v>56.56</v>
      </c>
      <c r="V63" s="564"/>
      <c r="W63" s="564">
        <v>20.22</v>
      </c>
      <c r="X63" s="564"/>
      <c r="Y63" s="564"/>
      <c r="Z63" s="564">
        <v>20.38</v>
      </c>
      <c r="AA63" s="563">
        <f t="shared" si="8"/>
        <v>19.13</v>
      </c>
      <c r="AB63" s="564">
        <v>12.13</v>
      </c>
      <c r="AC63" s="564"/>
      <c r="AD63" s="564"/>
      <c r="AE63" s="564"/>
      <c r="AF63" s="564">
        <v>7</v>
      </c>
      <c r="AG63" s="563">
        <f t="shared" si="9"/>
        <v>38.05348</v>
      </c>
      <c r="AH63" s="564">
        <f t="shared" si="10"/>
        <v>14.2256</v>
      </c>
      <c r="AI63" s="564">
        <f t="shared" si="11"/>
        <v>7.1128</v>
      </c>
      <c r="AJ63" s="564">
        <f t="shared" si="12"/>
        <v>5.3346</v>
      </c>
      <c r="AK63" s="564">
        <f t="shared" si="13"/>
        <v>0.17782</v>
      </c>
      <c r="AL63" s="564">
        <f t="shared" si="14"/>
        <v>0.53346</v>
      </c>
      <c r="AM63" s="564">
        <f t="shared" si="15"/>
        <v>10.6692</v>
      </c>
      <c r="AN63" s="564"/>
      <c r="AO63" s="304"/>
    </row>
    <row r="64" s="130" customFormat="1" ht="48" customHeight="1" spans="1:42">
      <c r="A64" s="1" t="s">
        <v>226</v>
      </c>
      <c r="B64" s="1" t="s">
        <v>203</v>
      </c>
      <c r="C64" s="1" t="s">
        <v>274</v>
      </c>
      <c r="D64" s="1" t="s">
        <v>275</v>
      </c>
      <c r="E64" s="563">
        <f t="shared" si="2"/>
        <v>355.0048</v>
      </c>
      <c r="F64" s="564">
        <f t="shared" si="3"/>
        <v>273.38</v>
      </c>
      <c r="G64" s="564">
        <f t="shared" si="4"/>
        <v>241.15</v>
      </c>
      <c r="H64" s="564">
        <v>101.6</v>
      </c>
      <c r="I64" s="564">
        <v>59</v>
      </c>
      <c r="J64" s="564">
        <v>8.46</v>
      </c>
      <c r="K64" s="564"/>
      <c r="L64" s="564"/>
      <c r="M64" s="564">
        <v>72.09</v>
      </c>
      <c r="N64" s="563">
        <f t="shared" si="5"/>
        <v>32.23</v>
      </c>
      <c r="O64" s="564">
        <v>10.18</v>
      </c>
      <c r="P64" s="564"/>
      <c r="Q64" s="564">
        <v>11.55</v>
      </c>
      <c r="R64" s="564">
        <v>10.5</v>
      </c>
      <c r="S64" s="563">
        <f t="shared" si="6"/>
        <v>0</v>
      </c>
      <c r="T64" s="564">
        <f t="shared" si="7"/>
        <v>0</v>
      </c>
      <c r="U64" s="564"/>
      <c r="V64" s="564"/>
      <c r="W64" s="564"/>
      <c r="X64" s="564"/>
      <c r="Y64" s="564"/>
      <c r="Z64" s="564"/>
      <c r="AA64" s="563">
        <f t="shared" si="8"/>
        <v>0</v>
      </c>
      <c r="AB64" s="564"/>
      <c r="AC64" s="564"/>
      <c r="AD64" s="564"/>
      <c r="AE64" s="564"/>
      <c r="AF64" s="564"/>
      <c r="AG64" s="563">
        <f t="shared" si="9"/>
        <v>81.6248</v>
      </c>
      <c r="AH64" s="564">
        <f t="shared" si="10"/>
        <v>38.584</v>
      </c>
      <c r="AI64" s="564">
        <f t="shared" si="11"/>
        <v>12.848</v>
      </c>
      <c r="AJ64" s="564">
        <f t="shared" si="12"/>
        <v>9.636</v>
      </c>
      <c r="AK64" s="564">
        <f t="shared" si="13"/>
        <v>0.3212</v>
      </c>
      <c r="AL64" s="564">
        <f t="shared" si="14"/>
        <v>0.9636</v>
      </c>
      <c r="AM64" s="564">
        <f t="shared" si="15"/>
        <v>19.272</v>
      </c>
      <c r="AN64" s="564"/>
      <c r="AO64" s="304"/>
      <c r="AP64" s="130" t="s">
        <v>724</v>
      </c>
    </row>
    <row r="65" s="130" customFormat="1" ht="24" spans="1:41">
      <c r="A65" s="1" t="s">
        <v>226</v>
      </c>
      <c r="B65" s="1" t="s">
        <v>206</v>
      </c>
      <c r="C65" s="1" t="s">
        <v>276</v>
      </c>
      <c r="D65" s="1" t="s">
        <v>277</v>
      </c>
      <c r="E65" s="563">
        <f t="shared" si="2"/>
        <v>111.15124</v>
      </c>
      <c r="F65" s="564">
        <f t="shared" si="3"/>
        <v>0</v>
      </c>
      <c r="G65" s="564">
        <f t="shared" si="4"/>
        <v>0</v>
      </c>
      <c r="H65" s="564"/>
      <c r="I65" s="564"/>
      <c r="J65" s="564"/>
      <c r="K65" s="564"/>
      <c r="L65" s="564"/>
      <c r="M65" s="564"/>
      <c r="N65" s="563">
        <f t="shared" si="5"/>
        <v>0</v>
      </c>
      <c r="O65" s="564"/>
      <c r="P65" s="564"/>
      <c r="Q65" s="564"/>
      <c r="R65" s="564"/>
      <c r="S65" s="563">
        <f t="shared" si="6"/>
        <v>84.26</v>
      </c>
      <c r="T65" s="564">
        <f t="shared" si="7"/>
        <v>68.43</v>
      </c>
      <c r="U65" s="564">
        <v>39.41</v>
      </c>
      <c r="V65" s="564"/>
      <c r="W65" s="564">
        <v>14.64</v>
      </c>
      <c r="X65" s="564"/>
      <c r="Y65" s="564"/>
      <c r="Z65" s="564">
        <v>14.38</v>
      </c>
      <c r="AA65" s="563">
        <f t="shared" si="8"/>
        <v>15.83</v>
      </c>
      <c r="AB65" s="564">
        <v>8.78</v>
      </c>
      <c r="AC65" s="564"/>
      <c r="AD65" s="564">
        <v>2.55</v>
      </c>
      <c r="AE65" s="564"/>
      <c r="AF65" s="564">
        <v>4.5</v>
      </c>
      <c r="AG65" s="563">
        <f t="shared" si="9"/>
        <v>26.89124</v>
      </c>
      <c r="AH65" s="564">
        <f t="shared" si="10"/>
        <v>10.0528</v>
      </c>
      <c r="AI65" s="564">
        <f t="shared" si="11"/>
        <v>5.0264</v>
      </c>
      <c r="AJ65" s="564">
        <f t="shared" si="12"/>
        <v>3.7698</v>
      </c>
      <c r="AK65" s="564">
        <f t="shared" si="13"/>
        <v>0.12566</v>
      </c>
      <c r="AL65" s="564">
        <f t="shared" si="14"/>
        <v>0.37698</v>
      </c>
      <c r="AM65" s="564">
        <f t="shared" si="15"/>
        <v>7.5396</v>
      </c>
      <c r="AN65" s="564"/>
      <c r="AO65" s="304"/>
    </row>
    <row r="66" s="130" customFormat="1" spans="1:41">
      <c r="A66" s="1" t="s">
        <v>226</v>
      </c>
      <c r="B66" s="1" t="s">
        <v>206</v>
      </c>
      <c r="C66" s="1" t="s">
        <v>278</v>
      </c>
      <c r="D66" s="1" t="s">
        <v>279</v>
      </c>
      <c r="E66" s="563">
        <f t="shared" si="2"/>
        <v>213.92972</v>
      </c>
      <c r="F66" s="564">
        <f t="shared" si="3"/>
        <v>0</v>
      </c>
      <c r="G66" s="564">
        <f t="shared" si="4"/>
        <v>0</v>
      </c>
      <c r="H66" s="564"/>
      <c r="I66" s="564"/>
      <c r="J66" s="564"/>
      <c r="K66" s="564"/>
      <c r="L66" s="564"/>
      <c r="M66" s="564"/>
      <c r="N66" s="563">
        <f t="shared" si="5"/>
        <v>0</v>
      </c>
      <c r="O66" s="564"/>
      <c r="P66" s="564"/>
      <c r="Q66" s="564"/>
      <c r="R66" s="564"/>
      <c r="S66" s="563">
        <f t="shared" si="6"/>
        <v>160.22</v>
      </c>
      <c r="T66" s="564">
        <f t="shared" si="7"/>
        <v>135.6</v>
      </c>
      <c r="U66" s="564">
        <v>82.5</v>
      </c>
      <c r="V66" s="564"/>
      <c r="W66" s="564">
        <v>26.87</v>
      </c>
      <c r="X66" s="564"/>
      <c r="Y66" s="564"/>
      <c r="Z66" s="564">
        <v>26.23</v>
      </c>
      <c r="AA66" s="563">
        <f t="shared" si="8"/>
        <v>24.62</v>
      </c>
      <c r="AB66" s="564">
        <v>16.12</v>
      </c>
      <c r="AC66" s="564"/>
      <c r="AD66" s="564"/>
      <c r="AE66" s="564"/>
      <c r="AF66" s="564">
        <v>8.5</v>
      </c>
      <c r="AG66" s="563">
        <f t="shared" si="9"/>
        <v>53.70972</v>
      </c>
      <c r="AH66" s="564">
        <f t="shared" si="10"/>
        <v>20.0784</v>
      </c>
      <c r="AI66" s="564">
        <f t="shared" si="11"/>
        <v>10.0392</v>
      </c>
      <c r="AJ66" s="564">
        <f t="shared" si="12"/>
        <v>7.5294</v>
      </c>
      <c r="AK66" s="564">
        <f t="shared" si="13"/>
        <v>0.25098</v>
      </c>
      <c r="AL66" s="564">
        <f t="shared" si="14"/>
        <v>0.75294</v>
      </c>
      <c r="AM66" s="564">
        <f t="shared" si="15"/>
        <v>15.0588</v>
      </c>
      <c r="AN66" s="564"/>
      <c r="AO66" s="304"/>
    </row>
    <row r="67" s="130" customFormat="1" spans="1:41">
      <c r="A67" s="1" t="s">
        <v>226</v>
      </c>
      <c r="B67" s="1" t="s">
        <v>206</v>
      </c>
      <c r="C67" s="1" t="s">
        <v>280</v>
      </c>
      <c r="D67" s="1" t="s">
        <v>279</v>
      </c>
      <c r="E67" s="563">
        <f t="shared" si="2"/>
        <v>81.503</v>
      </c>
      <c r="F67" s="564">
        <f t="shared" si="3"/>
        <v>0</v>
      </c>
      <c r="G67" s="564">
        <f t="shared" si="4"/>
        <v>0</v>
      </c>
      <c r="H67" s="564"/>
      <c r="I67" s="564"/>
      <c r="J67" s="564"/>
      <c r="K67" s="564"/>
      <c r="L67" s="564"/>
      <c r="M67" s="564"/>
      <c r="N67" s="563">
        <f t="shared" si="5"/>
        <v>0</v>
      </c>
      <c r="O67" s="564"/>
      <c r="P67" s="564"/>
      <c r="Q67" s="564"/>
      <c r="R67" s="564"/>
      <c r="S67" s="563">
        <f t="shared" si="6"/>
        <v>61.28</v>
      </c>
      <c r="T67" s="564">
        <f t="shared" si="7"/>
        <v>51.37</v>
      </c>
      <c r="U67" s="564">
        <v>30.17</v>
      </c>
      <c r="V67" s="564"/>
      <c r="W67" s="564">
        <v>10.67</v>
      </c>
      <c r="X67" s="564"/>
      <c r="Y67" s="564"/>
      <c r="Z67" s="564">
        <v>10.53</v>
      </c>
      <c r="AA67" s="563">
        <f t="shared" si="8"/>
        <v>9.91</v>
      </c>
      <c r="AB67" s="564">
        <v>6.41</v>
      </c>
      <c r="AC67" s="564"/>
      <c r="AD67" s="564"/>
      <c r="AE67" s="564"/>
      <c r="AF67" s="564">
        <v>3.5</v>
      </c>
      <c r="AG67" s="563">
        <f t="shared" si="9"/>
        <v>20.223</v>
      </c>
      <c r="AH67" s="564">
        <f t="shared" si="10"/>
        <v>7.56</v>
      </c>
      <c r="AI67" s="564">
        <f t="shared" si="11"/>
        <v>3.78</v>
      </c>
      <c r="AJ67" s="564">
        <f t="shared" si="12"/>
        <v>2.835</v>
      </c>
      <c r="AK67" s="564">
        <f t="shared" si="13"/>
        <v>0.0945</v>
      </c>
      <c r="AL67" s="564">
        <f t="shared" si="14"/>
        <v>0.2835</v>
      </c>
      <c r="AM67" s="564">
        <f t="shared" si="15"/>
        <v>5.67</v>
      </c>
      <c r="AN67" s="564"/>
      <c r="AO67" s="304"/>
    </row>
    <row r="68" s="130" customFormat="1" spans="1:41">
      <c r="A68" s="1" t="s">
        <v>226</v>
      </c>
      <c r="B68" s="1" t="s">
        <v>206</v>
      </c>
      <c r="C68" s="1" t="s">
        <v>281</v>
      </c>
      <c r="D68" s="1" t="s">
        <v>279</v>
      </c>
      <c r="E68" s="563">
        <f t="shared" si="2"/>
        <v>225.47308</v>
      </c>
      <c r="F68" s="564">
        <f t="shared" si="3"/>
        <v>0</v>
      </c>
      <c r="G68" s="564">
        <f t="shared" si="4"/>
        <v>0</v>
      </c>
      <c r="H68" s="564"/>
      <c r="I68" s="564"/>
      <c r="J68" s="564"/>
      <c r="K68" s="564"/>
      <c r="L68" s="564"/>
      <c r="M68" s="564"/>
      <c r="N68" s="563">
        <f t="shared" si="5"/>
        <v>0</v>
      </c>
      <c r="O68" s="564"/>
      <c r="P68" s="564"/>
      <c r="Q68" s="564"/>
      <c r="R68" s="564"/>
      <c r="S68" s="563">
        <f t="shared" si="6"/>
        <v>171.07</v>
      </c>
      <c r="T68" s="564">
        <f t="shared" si="7"/>
        <v>140.38</v>
      </c>
      <c r="U68" s="564">
        <v>80.07</v>
      </c>
      <c r="V68" s="564"/>
      <c r="W68" s="564">
        <v>29.4</v>
      </c>
      <c r="X68" s="564"/>
      <c r="Y68" s="564"/>
      <c r="Z68" s="564">
        <v>30.91</v>
      </c>
      <c r="AA68" s="563">
        <f t="shared" si="8"/>
        <v>30.69</v>
      </c>
      <c r="AB68" s="564">
        <v>17.64</v>
      </c>
      <c r="AC68" s="564"/>
      <c r="AD68" s="564">
        <v>2.55</v>
      </c>
      <c r="AE68" s="564"/>
      <c r="AF68" s="564">
        <v>10.5</v>
      </c>
      <c r="AG68" s="563">
        <f t="shared" si="9"/>
        <v>54.40308</v>
      </c>
      <c r="AH68" s="564">
        <f t="shared" si="10"/>
        <v>20.3376</v>
      </c>
      <c r="AI68" s="564">
        <f t="shared" si="11"/>
        <v>10.1688</v>
      </c>
      <c r="AJ68" s="564">
        <f t="shared" si="12"/>
        <v>7.6266</v>
      </c>
      <c r="AK68" s="564">
        <f t="shared" si="13"/>
        <v>0.25422</v>
      </c>
      <c r="AL68" s="564">
        <f t="shared" si="14"/>
        <v>0.76266</v>
      </c>
      <c r="AM68" s="564">
        <f t="shared" si="15"/>
        <v>15.2532</v>
      </c>
      <c r="AN68" s="564"/>
      <c r="AO68" s="304"/>
    </row>
    <row r="69" s="130" customFormat="1" spans="1:41">
      <c r="A69" s="1" t="s">
        <v>226</v>
      </c>
      <c r="B69" s="1" t="s">
        <v>206</v>
      </c>
      <c r="C69" s="1" t="s">
        <v>282</v>
      </c>
      <c r="D69" s="1" t="s">
        <v>279</v>
      </c>
      <c r="E69" s="563">
        <f t="shared" si="2"/>
        <v>85.89864</v>
      </c>
      <c r="F69" s="564">
        <f t="shared" si="3"/>
        <v>0</v>
      </c>
      <c r="G69" s="564">
        <f t="shared" si="4"/>
        <v>0</v>
      </c>
      <c r="H69" s="564"/>
      <c r="I69" s="564"/>
      <c r="J69" s="564"/>
      <c r="K69" s="564"/>
      <c r="L69" s="564"/>
      <c r="M69" s="564"/>
      <c r="N69" s="563">
        <f t="shared" si="5"/>
        <v>0</v>
      </c>
      <c r="O69" s="564"/>
      <c r="P69" s="564"/>
      <c r="Q69" s="564"/>
      <c r="R69" s="564"/>
      <c r="S69" s="563">
        <f t="shared" si="6"/>
        <v>64.55</v>
      </c>
      <c r="T69" s="564">
        <f t="shared" si="7"/>
        <v>53.33</v>
      </c>
      <c r="U69" s="564">
        <v>30.62</v>
      </c>
      <c r="V69" s="564"/>
      <c r="W69" s="564">
        <v>12.04</v>
      </c>
      <c r="X69" s="564"/>
      <c r="Y69" s="564"/>
      <c r="Z69" s="564">
        <v>10.67</v>
      </c>
      <c r="AA69" s="563">
        <f t="shared" si="8"/>
        <v>11.22</v>
      </c>
      <c r="AB69" s="564">
        <v>7.22</v>
      </c>
      <c r="AC69" s="564"/>
      <c r="AD69" s="564"/>
      <c r="AE69" s="564"/>
      <c r="AF69" s="564">
        <v>4</v>
      </c>
      <c r="AG69" s="563">
        <f t="shared" si="9"/>
        <v>21.34864</v>
      </c>
      <c r="AH69" s="564">
        <f t="shared" si="10"/>
        <v>7.9808</v>
      </c>
      <c r="AI69" s="564">
        <f t="shared" si="11"/>
        <v>3.9904</v>
      </c>
      <c r="AJ69" s="564">
        <f t="shared" si="12"/>
        <v>2.9928</v>
      </c>
      <c r="AK69" s="564">
        <f t="shared" si="13"/>
        <v>0.09976</v>
      </c>
      <c r="AL69" s="564">
        <f t="shared" si="14"/>
        <v>0.29928</v>
      </c>
      <c r="AM69" s="564">
        <f t="shared" si="15"/>
        <v>5.9856</v>
      </c>
      <c r="AN69" s="564"/>
      <c r="AO69" s="304"/>
    </row>
    <row r="70" s="130" customFormat="1" spans="1:41">
      <c r="A70" s="1" t="s">
        <v>226</v>
      </c>
      <c r="B70" s="1" t="s">
        <v>206</v>
      </c>
      <c r="C70" s="1" t="s">
        <v>283</v>
      </c>
      <c r="D70" s="1" t="s">
        <v>279</v>
      </c>
      <c r="E70" s="563">
        <f t="shared" si="2"/>
        <v>56.22008</v>
      </c>
      <c r="F70" s="564">
        <f t="shared" si="3"/>
        <v>0</v>
      </c>
      <c r="G70" s="564">
        <f t="shared" si="4"/>
        <v>0</v>
      </c>
      <c r="H70" s="564"/>
      <c r="I70" s="564"/>
      <c r="J70" s="564"/>
      <c r="K70" s="564"/>
      <c r="L70" s="564"/>
      <c r="M70" s="564"/>
      <c r="N70" s="563">
        <f t="shared" si="5"/>
        <v>0</v>
      </c>
      <c r="O70" s="564"/>
      <c r="P70" s="564"/>
      <c r="Q70" s="564"/>
      <c r="R70" s="564"/>
      <c r="S70" s="563">
        <f t="shared" si="6"/>
        <v>42.37</v>
      </c>
      <c r="T70" s="564">
        <f t="shared" si="7"/>
        <v>35.31</v>
      </c>
      <c r="U70" s="564">
        <v>20.2</v>
      </c>
      <c r="V70" s="564"/>
      <c r="W70" s="564">
        <v>7.6</v>
      </c>
      <c r="X70" s="564"/>
      <c r="Y70" s="564"/>
      <c r="Z70" s="564">
        <v>7.51</v>
      </c>
      <c r="AA70" s="563">
        <f t="shared" si="8"/>
        <v>7.06</v>
      </c>
      <c r="AB70" s="564">
        <v>4.56</v>
      </c>
      <c r="AC70" s="564"/>
      <c r="AD70" s="564"/>
      <c r="AE70" s="564"/>
      <c r="AF70" s="564">
        <v>2.5</v>
      </c>
      <c r="AG70" s="563">
        <f t="shared" si="9"/>
        <v>13.85008</v>
      </c>
      <c r="AH70" s="564">
        <f t="shared" si="10"/>
        <v>5.1776</v>
      </c>
      <c r="AI70" s="564">
        <f t="shared" si="11"/>
        <v>2.5888</v>
      </c>
      <c r="AJ70" s="564">
        <f t="shared" si="12"/>
        <v>1.9416</v>
      </c>
      <c r="AK70" s="564">
        <f t="shared" si="13"/>
        <v>0.06472</v>
      </c>
      <c r="AL70" s="564">
        <f t="shared" si="14"/>
        <v>0.19416</v>
      </c>
      <c r="AM70" s="564">
        <f t="shared" si="15"/>
        <v>3.8832</v>
      </c>
      <c r="AN70" s="564"/>
      <c r="AO70" s="304"/>
    </row>
    <row r="71" s="130" customFormat="1" ht="24" spans="1:41">
      <c r="A71" s="1" t="s">
        <v>202</v>
      </c>
      <c r="B71" s="1" t="s">
        <v>203</v>
      </c>
      <c r="C71" s="1" t="s">
        <v>284</v>
      </c>
      <c r="D71" s="1" t="s">
        <v>285</v>
      </c>
      <c r="E71" s="563">
        <f t="shared" si="2"/>
        <v>137.40568</v>
      </c>
      <c r="F71" s="564">
        <f t="shared" si="3"/>
        <v>105.38</v>
      </c>
      <c r="G71" s="564">
        <f t="shared" si="4"/>
        <v>96.98</v>
      </c>
      <c r="H71" s="564">
        <v>39.45</v>
      </c>
      <c r="I71" s="564">
        <v>23.41</v>
      </c>
      <c r="J71" s="564">
        <v>3.55</v>
      </c>
      <c r="K71" s="564"/>
      <c r="L71" s="564">
        <v>2.11</v>
      </c>
      <c r="M71" s="564">
        <v>28.46</v>
      </c>
      <c r="N71" s="563">
        <f t="shared" si="5"/>
        <v>8.4</v>
      </c>
      <c r="O71" s="564"/>
      <c r="P71" s="564"/>
      <c r="Q71" s="564">
        <v>4.4</v>
      </c>
      <c r="R71" s="564">
        <v>4</v>
      </c>
      <c r="S71" s="563">
        <f t="shared" si="6"/>
        <v>0</v>
      </c>
      <c r="T71" s="564">
        <f t="shared" si="7"/>
        <v>0</v>
      </c>
      <c r="U71" s="564"/>
      <c r="V71" s="564"/>
      <c r="W71" s="564"/>
      <c r="X71" s="564"/>
      <c r="Y71" s="564"/>
      <c r="Z71" s="564"/>
      <c r="AA71" s="563">
        <f t="shared" si="8"/>
        <v>0</v>
      </c>
      <c r="AB71" s="564"/>
      <c r="AC71" s="564"/>
      <c r="AD71" s="564"/>
      <c r="AE71" s="564"/>
      <c r="AF71" s="564"/>
      <c r="AG71" s="563">
        <f t="shared" si="9"/>
        <v>32.02568</v>
      </c>
      <c r="AH71" s="564">
        <f t="shared" si="10"/>
        <v>15.1792</v>
      </c>
      <c r="AI71" s="564">
        <f t="shared" si="11"/>
        <v>5.0288</v>
      </c>
      <c r="AJ71" s="564">
        <f t="shared" si="12"/>
        <v>3.7716</v>
      </c>
      <c r="AK71" s="564">
        <f t="shared" si="13"/>
        <v>0.12572</v>
      </c>
      <c r="AL71" s="564">
        <f t="shared" si="14"/>
        <v>0.37716</v>
      </c>
      <c r="AM71" s="564">
        <f t="shared" si="15"/>
        <v>7.5432</v>
      </c>
      <c r="AN71" s="564"/>
      <c r="AO71" s="304"/>
    </row>
    <row r="72" s="131" customFormat="1" ht="24" spans="1:41">
      <c r="A72" s="1" t="s">
        <v>202</v>
      </c>
      <c r="B72" s="1" t="s">
        <v>206</v>
      </c>
      <c r="C72" s="1" t="s">
        <v>286</v>
      </c>
      <c r="D72" s="1" t="s">
        <v>287</v>
      </c>
      <c r="E72" s="565">
        <f t="shared" si="2"/>
        <v>220.44864</v>
      </c>
      <c r="F72" s="566">
        <f t="shared" si="3"/>
        <v>0</v>
      </c>
      <c r="G72" s="566">
        <f t="shared" si="4"/>
        <v>0</v>
      </c>
      <c r="H72" s="566"/>
      <c r="I72" s="566"/>
      <c r="J72" s="566"/>
      <c r="K72" s="566"/>
      <c r="L72" s="566"/>
      <c r="M72" s="566"/>
      <c r="N72" s="565">
        <f t="shared" si="5"/>
        <v>0</v>
      </c>
      <c r="O72" s="566"/>
      <c r="P72" s="566"/>
      <c r="Q72" s="566"/>
      <c r="R72" s="566"/>
      <c r="S72" s="565">
        <f t="shared" si="6"/>
        <v>171.28</v>
      </c>
      <c r="T72" s="566">
        <f t="shared" si="7"/>
        <v>126.14</v>
      </c>
      <c r="U72" s="566">
        <v>69.43</v>
      </c>
      <c r="V72" s="566"/>
      <c r="W72" s="566">
        <v>28.41</v>
      </c>
      <c r="X72" s="566"/>
      <c r="Y72" s="566"/>
      <c r="Z72" s="566">
        <v>28.3</v>
      </c>
      <c r="AA72" s="565">
        <f t="shared" si="8"/>
        <v>45.14</v>
      </c>
      <c r="AB72" s="566">
        <v>17.04</v>
      </c>
      <c r="AC72" s="566"/>
      <c r="AD72" s="566">
        <v>18.1</v>
      </c>
      <c r="AE72" s="566"/>
      <c r="AF72" s="566">
        <v>10</v>
      </c>
      <c r="AG72" s="565">
        <f t="shared" si="9"/>
        <v>49.16864</v>
      </c>
      <c r="AH72" s="566">
        <f t="shared" si="10"/>
        <v>18.3808</v>
      </c>
      <c r="AI72" s="566">
        <f t="shared" si="11"/>
        <v>9.1904</v>
      </c>
      <c r="AJ72" s="566">
        <f t="shared" si="12"/>
        <v>6.8928</v>
      </c>
      <c r="AK72" s="566">
        <f t="shared" si="13"/>
        <v>0.22976</v>
      </c>
      <c r="AL72" s="566">
        <f t="shared" si="14"/>
        <v>0.68928</v>
      </c>
      <c r="AM72" s="566">
        <f t="shared" si="15"/>
        <v>13.7856</v>
      </c>
      <c r="AN72" s="566"/>
      <c r="AO72" s="304"/>
    </row>
    <row r="73" s="131" customFormat="1" ht="24" spans="1:41">
      <c r="A73" s="1" t="s">
        <v>202</v>
      </c>
      <c r="B73" s="1" t="s">
        <v>203</v>
      </c>
      <c r="C73" s="1" t="s">
        <v>288</v>
      </c>
      <c r="D73" s="1" t="s">
        <v>289</v>
      </c>
      <c r="E73" s="565">
        <f t="shared" ref="E73:E134" si="16">F73+S73+AG73</f>
        <v>1438.55968</v>
      </c>
      <c r="F73" s="566">
        <f t="shared" ref="F73:F103" si="17">G73+N73</f>
        <v>1111.73</v>
      </c>
      <c r="G73" s="566">
        <f t="shared" ref="G73:G134" si="18">SUM(H73:M73)</f>
        <v>974.51</v>
      </c>
      <c r="H73" s="566">
        <v>369.62</v>
      </c>
      <c r="I73" s="566">
        <v>268.24</v>
      </c>
      <c r="J73" s="566">
        <v>30.29</v>
      </c>
      <c r="K73" s="566">
        <v>0.24</v>
      </c>
      <c r="L73" s="566"/>
      <c r="M73" s="566">
        <v>306.12</v>
      </c>
      <c r="N73" s="565">
        <f t="shared" ref="N73:N134" si="19">SUM(O73:R73)</f>
        <v>137.22</v>
      </c>
      <c r="O73" s="566">
        <v>12.72</v>
      </c>
      <c r="P73" s="566">
        <v>30</v>
      </c>
      <c r="Q73" s="566">
        <v>49.5</v>
      </c>
      <c r="R73" s="566">
        <v>45</v>
      </c>
      <c r="S73" s="565">
        <f t="shared" ref="S73:S134" si="20">T73+AA73</f>
        <v>0</v>
      </c>
      <c r="T73" s="566">
        <f t="shared" ref="T73:T134" si="21">SUM(U73:Z73)</f>
        <v>0</v>
      </c>
      <c r="U73" s="566"/>
      <c r="V73" s="566"/>
      <c r="W73" s="566"/>
      <c r="X73" s="566"/>
      <c r="Y73" s="566"/>
      <c r="Z73" s="566"/>
      <c r="AA73" s="565">
        <f t="shared" ref="AA73:AA134" si="22">SUM(AB73:AF73)</f>
        <v>0</v>
      </c>
      <c r="AB73" s="566"/>
      <c r="AC73" s="566"/>
      <c r="AD73" s="566"/>
      <c r="AE73" s="566"/>
      <c r="AF73" s="566"/>
      <c r="AG73" s="565">
        <f t="shared" ref="AG73:AG134" si="23">SUM(AH73:AN73)</f>
        <v>326.82968</v>
      </c>
      <c r="AH73" s="566">
        <f t="shared" ref="AH73:AH134" si="24">(H73+I73+J73+U73+V73+W73+AB73+M73)*0.16</f>
        <v>155.8832</v>
      </c>
      <c r="AI73" s="566">
        <f t="shared" ref="AI73:AI134" si="25">(H73+I73+U73+V73+W73+AB73)*0.08</f>
        <v>51.0288</v>
      </c>
      <c r="AJ73" s="566">
        <f t="shared" ref="AJ73:AJ134" si="26">(H73+I73+U73+V73+W73+AB73)*0.06</f>
        <v>38.2716</v>
      </c>
      <c r="AK73" s="566">
        <f t="shared" ref="AK73:AK134" si="27">(H73+I73+U73+V73+W73+AB73)*0.002</f>
        <v>1.27572</v>
      </c>
      <c r="AL73" s="566">
        <f t="shared" ref="AL73:AL134" si="28">(H73+I73+U73+V73+W73+AB73)*0.006</f>
        <v>3.82716</v>
      </c>
      <c r="AM73" s="566">
        <f t="shared" ref="AM73:AM134" si="29">(H73+I73+U73+V73+W73+AB73)*0.12</f>
        <v>76.5432</v>
      </c>
      <c r="AN73" s="566"/>
      <c r="AO73" s="304" t="s">
        <v>290</v>
      </c>
    </row>
    <row r="74" s="131" customFormat="1" ht="24" spans="1:41">
      <c r="A74" s="1" t="s">
        <v>202</v>
      </c>
      <c r="B74" s="1" t="s">
        <v>206</v>
      </c>
      <c r="C74" s="1" t="s">
        <v>291</v>
      </c>
      <c r="D74" s="1" t="s">
        <v>292</v>
      </c>
      <c r="E74" s="565">
        <f t="shared" si="16"/>
        <v>81.04048</v>
      </c>
      <c r="F74" s="566">
        <f t="shared" si="17"/>
        <v>0</v>
      </c>
      <c r="G74" s="566">
        <f t="shared" si="18"/>
        <v>0</v>
      </c>
      <c r="H74" s="566"/>
      <c r="I74" s="566"/>
      <c r="J74" s="566"/>
      <c r="K74" s="566"/>
      <c r="L74" s="566"/>
      <c r="M74" s="566"/>
      <c r="N74" s="565">
        <f t="shared" si="19"/>
        <v>0</v>
      </c>
      <c r="O74" s="566"/>
      <c r="P74" s="566"/>
      <c r="Q74" s="566"/>
      <c r="R74" s="566"/>
      <c r="S74" s="565">
        <f t="shared" si="20"/>
        <v>61.07</v>
      </c>
      <c r="T74" s="566">
        <f t="shared" si="21"/>
        <v>50.69</v>
      </c>
      <c r="U74" s="566">
        <v>27.54</v>
      </c>
      <c r="V74" s="566">
        <v>2.11</v>
      </c>
      <c r="W74" s="566">
        <v>10.63</v>
      </c>
      <c r="X74" s="566"/>
      <c r="Y74" s="566"/>
      <c r="Z74" s="566">
        <v>10.41</v>
      </c>
      <c r="AA74" s="565">
        <f t="shared" si="22"/>
        <v>10.38</v>
      </c>
      <c r="AB74" s="566">
        <v>6.38</v>
      </c>
      <c r="AC74" s="566"/>
      <c r="AD74" s="566"/>
      <c r="AE74" s="566"/>
      <c r="AF74" s="566">
        <v>4</v>
      </c>
      <c r="AG74" s="565">
        <f t="shared" si="23"/>
        <v>19.97048</v>
      </c>
      <c r="AH74" s="566">
        <f t="shared" si="24"/>
        <v>7.4656</v>
      </c>
      <c r="AI74" s="566">
        <f t="shared" si="25"/>
        <v>3.7328</v>
      </c>
      <c r="AJ74" s="566">
        <f t="shared" si="26"/>
        <v>2.7996</v>
      </c>
      <c r="AK74" s="566">
        <f t="shared" si="27"/>
        <v>0.09332</v>
      </c>
      <c r="AL74" s="566">
        <f t="shared" si="28"/>
        <v>0.27996</v>
      </c>
      <c r="AM74" s="566">
        <f t="shared" si="29"/>
        <v>5.5992</v>
      </c>
      <c r="AN74" s="566"/>
      <c r="AO74" s="304"/>
    </row>
    <row r="75" s="131" customFormat="1" ht="24" spans="1:41">
      <c r="A75" s="1" t="s">
        <v>215</v>
      </c>
      <c r="B75" s="1" t="s">
        <v>203</v>
      </c>
      <c r="C75" s="1" t="s">
        <v>293</v>
      </c>
      <c r="D75" s="1" t="s">
        <v>294</v>
      </c>
      <c r="E75" s="565">
        <f t="shared" si="16"/>
        <v>212.14308</v>
      </c>
      <c r="F75" s="566">
        <f t="shared" si="17"/>
        <v>160.63</v>
      </c>
      <c r="G75" s="566">
        <f t="shared" si="18"/>
        <v>149.08</v>
      </c>
      <c r="H75" s="567">
        <v>65.46</v>
      </c>
      <c r="I75" s="567">
        <v>37.75</v>
      </c>
      <c r="J75" s="567">
        <v>5.45</v>
      </c>
      <c r="K75" s="566"/>
      <c r="L75" s="566"/>
      <c r="M75" s="566">
        <v>40.42</v>
      </c>
      <c r="N75" s="565">
        <f t="shared" si="19"/>
        <v>11.55</v>
      </c>
      <c r="O75" s="566"/>
      <c r="P75" s="566"/>
      <c r="Q75" s="566">
        <v>6.05</v>
      </c>
      <c r="R75" s="566">
        <v>5.5</v>
      </c>
      <c r="S75" s="565">
        <f t="shared" si="20"/>
        <v>0</v>
      </c>
      <c r="T75" s="566">
        <f t="shared" si="21"/>
        <v>0</v>
      </c>
      <c r="U75" s="566"/>
      <c r="V75" s="566"/>
      <c r="W75" s="566"/>
      <c r="X75" s="566"/>
      <c r="Y75" s="566"/>
      <c r="Z75" s="566"/>
      <c r="AA75" s="565">
        <f t="shared" si="22"/>
        <v>0</v>
      </c>
      <c r="AB75" s="566"/>
      <c r="AC75" s="566"/>
      <c r="AD75" s="566"/>
      <c r="AE75" s="566"/>
      <c r="AF75" s="566"/>
      <c r="AG75" s="565">
        <f t="shared" si="23"/>
        <v>51.51308</v>
      </c>
      <c r="AH75" s="566">
        <f t="shared" si="24"/>
        <v>23.8528</v>
      </c>
      <c r="AI75" s="566">
        <f t="shared" si="25"/>
        <v>8.2568</v>
      </c>
      <c r="AJ75" s="566">
        <f t="shared" si="26"/>
        <v>6.1926</v>
      </c>
      <c r="AK75" s="566">
        <f t="shared" si="27"/>
        <v>0.20642</v>
      </c>
      <c r="AL75" s="566">
        <f t="shared" si="28"/>
        <v>0.61926</v>
      </c>
      <c r="AM75" s="566">
        <f t="shared" si="29"/>
        <v>12.3852</v>
      </c>
      <c r="AN75" s="566"/>
      <c r="AO75" s="304"/>
    </row>
    <row r="76" s="131" customFormat="1" ht="49.5" spans="1:41">
      <c r="A76" s="1" t="s">
        <v>261</v>
      </c>
      <c r="B76" s="1" t="s">
        <v>203</v>
      </c>
      <c r="C76" s="1" t="s">
        <v>298</v>
      </c>
      <c r="D76" s="1" t="s">
        <v>294</v>
      </c>
      <c r="E76" s="565">
        <f t="shared" si="16"/>
        <v>265.81164</v>
      </c>
      <c r="F76" s="566">
        <f t="shared" si="17"/>
        <v>213.79</v>
      </c>
      <c r="G76" s="566">
        <f t="shared" si="18"/>
        <v>156.68</v>
      </c>
      <c r="H76" s="566">
        <v>59.8</v>
      </c>
      <c r="I76" s="566">
        <v>41.63</v>
      </c>
      <c r="J76" s="566">
        <v>4.98</v>
      </c>
      <c r="K76" s="566">
        <v>1.44</v>
      </c>
      <c r="L76" s="566"/>
      <c r="M76" s="566">
        <v>48.83</v>
      </c>
      <c r="N76" s="565">
        <f t="shared" si="19"/>
        <v>57.11</v>
      </c>
      <c r="O76" s="567">
        <v>41.36</v>
      </c>
      <c r="P76" s="566"/>
      <c r="Q76" s="566">
        <v>8.25</v>
      </c>
      <c r="R76" s="566">
        <v>7.5</v>
      </c>
      <c r="S76" s="565">
        <f t="shared" si="20"/>
        <v>0</v>
      </c>
      <c r="T76" s="566">
        <f t="shared" si="21"/>
        <v>0</v>
      </c>
      <c r="U76" s="566"/>
      <c r="V76" s="566"/>
      <c r="W76" s="566"/>
      <c r="X76" s="566"/>
      <c r="Y76" s="566"/>
      <c r="Z76" s="566"/>
      <c r="AA76" s="565">
        <f t="shared" si="22"/>
        <v>0</v>
      </c>
      <c r="AB76" s="566"/>
      <c r="AC76" s="566"/>
      <c r="AD76" s="566"/>
      <c r="AE76" s="566"/>
      <c r="AF76" s="566"/>
      <c r="AG76" s="565">
        <f t="shared" si="23"/>
        <v>52.02164</v>
      </c>
      <c r="AH76" s="566">
        <f t="shared" si="24"/>
        <v>24.8384</v>
      </c>
      <c r="AI76" s="566">
        <f t="shared" si="25"/>
        <v>8.1144</v>
      </c>
      <c r="AJ76" s="566">
        <f t="shared" si="26"/>
        <v>6.0858</v>
      </c>
      <c r="AK76" s="566">
        <f t="shared" si="27"/>
        <v>0.20286</v>
      </c>
      <c r="AL76" s="566">
        <f t="shared" si="28"/>
        <v>0.60858</v>
      </c>
      <c r="AM76" s="566">
        <f t="shared" si="29"/>
        <v>12.1716</v>
      </c>
      <c r="AN76" s="566"/>
      <c r="AO76" s="576" t="s">
        <v>299</v>
      </c>
    </row>
    <row r="77" s="131" customFormat="1" ht="24" spans="1:41">
      <c r="A77" s="1" t="s">
        <v>215</v>
      </c>
      <c r="B77" s="1" t="s">
        <v>203</v>
      </c>
      <c r="C77" s="1" t="s">
        <v>300</v>
      </c>
      <c r="D77" s="1" t="s">
        <v>294</v>
      </c>
      <c r="E77" s="565">
        <f t="shared" si="16"/>
        <v>142.2768</v>
      </c>
      <c r="F77" s="566">
        <f t="shared" si="17"/>
        <v>111.19</v>
      </c>
      <c r="G77" s="566">
        <f t="shared" si="18"/>
        <v>92.62</v>
      </c>
      <c r="H77" s="567">
        <v>37.06</v>
      </c>
      <c r="I77" s="567">
        <v>23.64</v>
      </c>
      <c r="J77" s="567">
        <v>3.09</v>
      </c>
      <c r="K77" s="566"/>
      <c r="L77" s="566"/>
      <c r="M77" s="566">
        <v>28.83</v>
      </c>
      <c r="N77" s="565">
        <f t="shared" si="19"/>
        <v>18.57</v>
      </c>
      <c r="O77" s="566">
        <v>10.17</v>
      </c>
      <c r="P77" s="566"/>
      <c r="Q77" s="566">
        <v>4.4</v>
      </c>
      <c r="R77" s="566">
        <v>4</v>
      </c>
      <c r="S77" s="565">
        <f t="shared" si="20"/>
        <v>0</v>
      </c>
      <c r="T77" s="566">
        <f t="shared" si="21"/>
        <v>0</v>
      </c>
      <c r="U77" s="566"/>
      <c r="V77" s="566"/>
      <c r="W77" s="566"/>
      <c r="X77" s="566"/>
      <c r="Y77" s="566"/>
      <c r="Z77" s="566"/>
      <c r="AA77" s="565">
        <f t="shared" si="22"/>
        <v>0</v>
      </c>
      <c r="AB77" s="566"/>
      <c r="AC77" s="566"/>
      <c r="AD77" s="566"/>
      <c r="AE77" s="566"/>
      <c r="AF77" s="566"/>
      <c r="AG77" s="565">
        <f t="shared" si="23"/>
        <v>31.0868</v>
      </c>
      <c r="AH77" s="566">
        <f t="shared" si="24"/>
        <v>14.8192</v>
      </c>
      <c r="AI77" s="566">
        <f t="shared" si="25"/>
        <v>4.856</v>
      </c>
      <c r="AJ77" s="566">
        <f t="shared" si="26"/>
        <v>3.642</v>
      </c>
      <c r="AK77" s="566">
        <f t="shared" si="27"/>
        <v>0.1214</v>
      </c>
      <c r="AL77" s="566">
        <f t="shared" si="28"/>
        <v>0.3642</v>
      </c>
      <c r="AM77" s="566">
        <f t="shared" si="29"/>
        <v>7.284</v>
      </c>
      <c r="AN77" s="566"/>
      <c r="AO77" s="304"/>
    </row>
    <row r="78" s="131" customFormat="1" ht="24" spans="1:41">
      <c r="A78" s="1" t="s">
        <v>215</v>
      </c>
      <c r="B78" s="1" t="s">
        <v>206</v>
      </c>
      <c r="C78" s="1" t="s">
        <v>296</v>
      </c>
      <c r="D78" s="1" t="s">
        <v>297</v>
      </c>
      <c r="E78" s="565">
        <f t="shared" si="16"/>
        <v>437.49556</v>
      </c>
      <c r="F78" s="566">
        <f t="shared" si="17"/>
        <v>0</v>
      </c>
      <c r="G78" s="566">
        <f t="shared" si="18"/>
        <v>0</v>
      </c>
      <c r="H78" s="566"/>
      <c r="I78" s="566"/>
      <c r="J78" s="566"/>
      <c r="K78" s="566"/>
      <c r="L78" s="566"/>
      <c r="M78" s="566"/>
      <c r="N78" s="565">
        <f t="shared" si="19"/>
        <v>0</v>
      </c>
      <c r="O78" s="566"/>
      <c r="P78" s="566"/>
      <c r="Q78" s="566"/>
      <c r="R78" s="566"/>
      <c r="S78" s="565">
        <f t="shared" si="20"/>
        <v>328.24</v>
      </c>
      <c r="T78" s="566">
        <f t="shared" si="21"/>
        <v>276.17</v>
      </c>
      <c r="U78" s="567">
        <v>165.76</v>
      </c>
      <c r="V78" s="567"/>
      <c r="W78" s="567">
        <v>55.94</v>
      </c>
      <c r="X78" s="566"/>
      <c r="Y78" s="566"/>
      <c r="Z78" s="566">
        <v>54.47</v>
      </c>
      <c r="AA78" s="565">
        <f t="shared" si="22"/>
        <v>52.07</v>
      </c>
      <c r="AB78" s="566">
        <v>33.57</v>
      </c>
      <c r="AC78" s="566"/>
      <c r="AD78" s="566"/>
      <c r="AE78" s="566"/>
      <c r="AF78" s="566">
        <v>18.5</v>
      </c>
      <c r="AG78" s="565">
        <f t="shared" si="23"/>
        <v>109.25556</v>
      </c>
      <c r="AH78" s="566">
        <f t="shared" si="24"/>
        <v>40.8432</v>
      </c>
      <c r="AI78" s="566">
        <f t="shared" si="25"/>
        <v>20.4216</v>
      </c>
      <c r="AJ78" s="566">
        <f t="shared" si="26"/>
        <v>15.3162</v>
      </c>
      <c r="AK78" s="566">
        <f t="shared" si="27"/>
        <v>0.51054</v>
      </c>
      <c r="AL78" s="566">
        <f t="shared" si="28"/>
        <v>1.53162</v>
      </c>
      <c r="AM78" s="566">
        <f t="shared" si="29"/>
        <v>30.6324</v>
      </c>
      <c r="AN78" s="566"/>
      <c r="AO78" s="304"/>
    </row>
    <row r="79" s="131" customFormat="1" ht="24" spans="1:41">
      <c r="A79" s="1" t="s">
        <v>261</v>
      </c>
      <c r="B79" s="1" t="s">
        <v>206</v>
      </c>
      <c r="C79" s="1" t="s">
        <v>302</v>
      </c>
      <c r="D79" s="1" t="s">
        <v>297</v>
      </c>
      <c r="E79" s="565">
        <f t="shared" si="16"/>
        <v>62.53668</v>
      </c>
      <c r="F79" s="566">
        <f t="shared" si="17"/>
        <v>0</v>
      </c>
      <c r="G79" s="566">
        <f t="shared" si="18"/>
        <v>0</v>
      </c>
      <c r="H79" s="566"/>
      <c r="I79" s="566"/>
      <c r="J79" s="566"/>
      <c r="K79" s="566"/>
      <c r="L79" s="566"/>
      <c r="M79" s="566"/>
      <c r="N79" s="565">
        <f t="shared" si="19"/>
        <v>0</v>
      </c>
      <c r="O79" s="566"/>
      <c r="P79" s="566"/>
      <c r="Q79" s="566"/>
      <c r="R79" s="566"/>
      <c r="S79" s="565">
        <f t="shared" si="20"/>
        <v>47.21</v>
      </c>
      <c r="T79" s="566">
        <f t="shared" si="21"/>
        <v>38.95</v>
      </c>
      <c r="U79" s="566">
        <v>21.78</v>
      </c>
      <c r="V79" s="566"/>
      <c r="W79" s="566">
        <v>8.77</v>
      </c>
      <c r="X79" s="566"/>
      <c r="Y79" s="566"/>
      <c r="Z79" s="566">
        <v>8.4</v>
      </c>
      <c r="AA79" s="565">
        <f t="shared" si="22"/>
        <v>8.26</v>
      </c>
      <c r="AB79" s="566">
        <v>5.26</v>
      </c>
      <c r="AC79" s="566"/>
      <c r="AD79" s="566"/>
      <c r="AE79" s="566"/>
      <c r="AF79" s="566">
        <v>3</v>
      </c>
      <c r="AG79" s="565">
        <f t="shared" si="23"/>
        <v>15.32668</v>
      </c>
      <c r="AH79" s="566">
        <f t="shared" si="24"/>
        <v>5.7296</v>
      </c>
      <c r="AI79" s="566">
        <f t="shared" si="25"/>
        <v>2.8648</v>
      </c>
      <c r="AJ79" s="566">
        <f t="shared" si="26"/>
        <v>2.1486</v>
      </c>
      <c r="AK79" s="566">
        <f t="shared" si="27"/>
        <v>0.07162</v>
      </c>
      <c r="AL79" s="566">
        <f t="shared" si="28"/>
        <v>0.21486</v>
      </c>
      <c r="AM79" s="566">
        <f t="shared" si="29"/>
        <v>4.2972</v>
      </c>
      <c r="AN79" s="566"/>
      <c r="AO79" s="304"/>
    </row>
    <row r="80" s="131" customFormat="1" ht="24" spans="1:41">
      <c r="A80" s="1" t="s">
        <v>261</v>
      </c>
      <c r="B80" s="1" t="s">
        <v>206</v>
      </c>
      <c r="C80" s="1" t="s">
        <v>303</v>
      </c>
      <c r="D80" s="1" t="s">
        <v>297</v>
      </c>
      <c r="E80" s="565">
        <f t="shared" si="16"/>
        <v>39.05268</v>
      </c>
      <c r="F80" s="566">
        <f t="shared" si="17"/>
        <v>0</v>
      </c>
      <c r="G80" s="566">
        <f t="shared" si="18"/>
        <v>0</v>
      </c>
      <c r="H80" s="566"/>
      <c r="I80" s="566"/>
      <c r="J80" s="566"/>
      <c r="K80" s="566"/>
      <c r="L80" s="566"/>
      <c r="M80" s="566"/>
      <c r="N80" s="565">
        <f t="shared" si="19"/>
        <v>0</v>
      </c>
      <c r="O80" s="566"/>
      <c r="P80" s="566"/>
      <c r="Q80" s="566"/>
      <c r="R80" s="566"/>
      <c r="S80" s="565">
        <f t="shared" si="20"/>
        <v>29.29</v>
      </c>
      <c r="T80" s="566">
        <f t="shared" si="21"/>
        <v>25.02</v>
      </c>
      <c r="U80" s="566">
        <v>15.42</v>
      </c>
      <c r="V80" s="566"/>
      <c r="W80" s="566">
        <v>4.62</v>
      </c>
      <c r="X80" s="566"/>
      <c r="Y80" s="566">
        <v>0.53</v>
      </c>
      <c r="Z80" s="566">
        <v>4.45</v>
      </c>
      <c r="AA80" s="565">
        <f t="shared" si="22"/>
        <v>4.27</v>
      </c>
      <c r="AB80" s="566">
        <v>2.77</v>
      </c>
      <c r="AC80" s="566"/>
      <c r="AD80" s="566"/>
      <c r="AE80" s="566"/>
      <c r="AF80" s="566">
        <v>1.5</v>
      </c>
      <c r="AG80" s="565">
        <f t="shared" si="23"/>
        <v>9.76268</v>
      </c>
      <c r="AH80" s="566">
        <f t="shared" si="24"/>
        <v>3.6496</v>
      </c>
      <c r="AI80" s="566">
        <f t="shared" si="25"/>
        <v>1.8248</v>
      </c>
      <c r="AJ80" s="566">
        <f t="shared" si="26"/>
        <v>1.3686</v>
      </c>
      <c r="AK80" s="566">
        <f t="shared" si="27"/>
        <v>0.04562</v>
      </c>
      <c r="AL80" s="566">
        <f t="shared" si="28"/>
        <v>0.13686</v>
      </c>
      <c r="AM80" s="566">
        <f t="shared" si="29"/>
        <v>2.7372</v>
      </c>
      <c r="AN80" s="566"/>
      <c r="AO80" s="304"/>
    </row>
    <row r="81" s="131" customFormat="1" ht="24" spans="1:41">
      <c r="A81" s="1" t="s">
        <v>215</v>
      </c>
      <c r="B81" s="1" t="s">
        <v>206</v>
      </c>
      <c r="C81" s="1" t="s">
        <v>304</v>
      </c>
      <c r="D81" s="1" t="s">
        <v>297</v>
      </c>
      <c r="E81" s="565">
        <f t="shared" si="16"/>
        <v>100.84424</v>
      </c>
      <c r="F81" s="566">
        <f t="shared" si="17"/>
        <v>0</v>
      </c>
      <c r="G81" s="566">
        <f t="shared" si="18"/>
        <v>0</v>
      </c>
      <c r="H81" s="566"/>
      <c r="I81" s="566"/>
      <c r="J81" s="566"/>
      <c r="K81" s="566"/>
      <c r="L81" s="566"/>
      <c r="M81" s="566"/>
      <c r="N81" s="565">
        <f t="shared" si="19"/>
        <v>0</v>
      </c>
      <c r="O81" s="566"/>
      <c r="P81" s="566"/>
      <c r="Q81" s="566"/>
      <c r="R81" s="566"/>
      <c r="S81" s="565">
        <f t="shared" si="20"/>
        <v>76.2</v>
      </c>
      <c r="T81" s="566">
        <f t="shared" si="21"/>
        <v>62.72</v>
      </c>
      <c r="U81" s="567">
        <v>34.97</v>
      </c>
      <c r="V81" s="567"/>
      <c r="W81" s="567">
        <v>14.13</v>
      </c>
      <c r="X81" s="566"/>
      <c r="Y81" s="566"/>
      <c r="Z81" s="566">
        <v>13.62</v>
      </c>
      <c r="AA81" s="565">
        <f t="shared" si="22"/>
        <v>13.48</v>
      </c>
      <c r="AB81" s="567">
        <v>8.48</v>
      </c>
      <c r="AC81" s="566"/>
      <c r="AD81" s="566"/>
      <c r="AE81" s="566"/>
      <c r="AF81" s="566">
        <v>5</v>
      </c>
      <c r="AG81" s="565">
        <f t="shared" si="23"/>
        <v>24.64424</v>
      </c>
      <c r="AH81" s="566">
        <f t="shared" si="24"/>
        <v>9.2128</v>
      </c>
      <c r="AI81" s="566">
        <f t="shared" si="25"/>
        <v>4.6064</v>
      </c>
      <c r="AJ81" s="566">
        <f t="shared" si="26"/>
        <v>3.4548</v>
      </c>
      <c r="AK81" s="566">
        <f t="shared" si="27"/>
        <v>0.11516</v>
      </c>
      <c r="AL81" s="566">
        <f t="shared" si="28"/>
        <v>0.34548</v>
      </c>
      <c r="AM81" s="566">
        <f t="shared" si="29"/>
        <v>6.9096</v>
      </c>
      <c r="AN81" s="566"/>
      <c r="AO81" s="304"/>
    </row>
    <row r="82" s="131" customFormat="1" ht="24" spans="1:41">
      <c r="A82" s="1" t="s">
        <v>215</v>
      </c>
      <c r="B82" s="1" t="s">
        <v>206</v>
      </c>
      <c r="C82" s="1" t="s">
        <v>305</v>
      </c>
      <c r="D82" s="1" t="s">
        <v>297</v>
      </c>
      <c r="E82" s="565">
        <f t="shared" si="16"/>
        <v>38.38612</v>
      </c>
      <c r="F82" s="566">
        <f t="shared" si="17"/>
        <v>0</v>
      </c>
      <c r="G82" s="566">
        <f t="shared" si="18"/>
        <v>0</v>
      </c>
      <c r="H82" s="566"/>
      <c r="I82" s="566"/>
      <c r="J82" s="566"/>
      <c r="K82" s="566"/>
      <c r="L82" s="566"/>
      <c r="M82" s="566"/>
      <c r="N82" s="565">
        <f t="shared" si="19"/>
        <v>0</v>
      </c>
      <c r="O82" s="566"/>
      <c r="P82" s="566"/>
      <c r="Q82" s="566"/>
      <c r="R82" s="566"/>
      <c r="S82" s="565">
        <f t="shared" si="20"/>
        <v>29.06</v>
      </c>
      <c r="T82" s="566">
        <f t="shared" si="21"/>
        <v>23.81</v>
      </c>
      <c r="U82" s="567">
        <v>13.12</v>
      </c>
      <c r="V82" s="567"/>
      <c r="W82" s="567">
        <v>5.42</v>
      </c>
      <c r="X82" s="566"/>
      <c r="Y82" s="566"/>
      <c r="Z82" s="566">
        <v>5.27</v>
      </c>
      <c r="AA82" s="565">
        <f t="shared" si="22"/>
        <v>5.25</v>
      </c>
      <c r="AB82" s="567">
        <v>3.25</v>
      </c>
      <c r="AC82" s="566"/>
      <c r="AD82" s="566"/>
      <c r="AE82" s="566"/>
      <c r="AF82" s="566">
        <v>2</v>
      </c>
      <c r="AG82" s="565">
        <f t="shared" si="23"/>
        <v>9.32612</v>
      </c>
      <c r="AH82" s="566">
        <f t="shared" si="24"/>
        <v>3.4864</v>
      </c>
      <c r="AI82" s="566">
        <f t="shared" si="25"/>
        <v>1.7432</v>
      </c>
      <c r="AJ82" s="566">
        <f t="shared" si="26"/>
        <v>1.3074</v>
      </c>
      <c r="AK82" s="566">
        <f t="shared" si="27"/>
        <v>0.04358</v>
      </c>
      <c r="AL82" s="566">
        <f t="shared" si="28"/>
        <v>0.13074</v>
      </c>
      <c r="AM82" s="566">
        <f t="shared" si="29"/>
        <v>2.6148</v>
      </c>
      <c r="AN82" s="566"/>
      <c r="AO82" s="304"/>
    </row>
    <row r="83" s="131" customFormat="1" ht="24" spans="1:41">
      <c r="A83" s="1" t="s">
        <v>215</v>
      </c>
      <c r="B83" s="1" t="s">
        <v>206</v>
      </c>
      <c r="C83" s="1" t="s">
        <v>306</v>
      </c>
      <c r="D83" s="1" t="s">
        <v>297</v>
      </c>
      <c r="E83" s="565">
        <f t="shared" si="16"/>
        <v>63.2278</v>
      </c>
      <c r="F83" s="566">
        <f t="shared" si="17"/>
        <v>0</v>
      </c>
      <c r="G83" s="566">
        <f t="shared" si="18"/>
        <v>0</v>
      </c>
      <c r="H83" s="566"/>
      <c r="I83" s="566"/>
      <c r="J83" s="566"/>
      <c r="K83" s="566"/>
      <c r="L83" s="566"/>
      <c r="M83" s="566"/>
      <c r="N83" s="565">
        <f t="shared" si="19"/>
        <v>0</v>
      </c>
      <c r="O83" s="566"/>
      <c r="P83" s="566"/>
      <c r="Q83" s="566"/>
      <c r="R83" s="566"/>
      <c r="S83" s="565">
        <f t="shared" si="20"/>
        <v>47.67</v>
      </c>
      <c r="T83" s="566">
        <f t="shared" si="21"/>
        <v>39.62</v>
      </c>
      <c r="U83" s="567">
        <v>22.88</v>
      </c>
      <c r="V83" s="567"/>
      <c r="W83" s="567">
        <v>8.42</v>
      </c>
      <c r="X83" s="566"/>
      <c r="Y83" s="566"/>
      <c r="Z83" s="566">
        <v>8.32</v>
      </c>
      <c r="AA83" s="565">
        <f t="shared" si="22"/>
        <v>8.05</v>
      </c>
      <c r="AB83" s="567">
        <v>5.05</v>
      </c>
      <c r="AC83" s="566"/>
      <c r="AD83" s="566"/>
      <c r="AE83" s="566"/>
      <c r="AF83" s="566">
        <v>3</v>
      </c>
      <c r="AG83" s="565">
        <f t="shared" si="23"/>
        <v>15.5578</v>
      </c>
      <c r="AH83" s="566">
        <f t="shared" si="24"/>
        <v>5.816</v>
      </c>
      <c r="AI83" s="566">
        <f t="shared" si="25"/>
        <v>2.908</v>
      </c>
      <c r="AJ83" s="566">
        <f t="shared" si="26"/>
        <v>2.181</v>
      </c>
      <c r="AK83" s="566">
        <f t="shared" si="27"/>
        <v>0.0727</v>
      </c>
      <c r="AL83" s="566">
        <f t="shared" si="28"/>
        <v>0.2181</v>
      </c>
      <c r="AM83" s="566">
        <f t="shared" si="29"/>
        <v>4.362</v>
      </c>
      <c r="AN83" s="566"/>
      <c r="AO83" s="304"/>
    </row>
    <row r="84" s="131" customFormat="1" ht="24" spans="1:41">
      <c r="A84" s="1" t="s">
        <v>261</v>
      </c>
      <c r="B84" s="1" t="s">
        <v>203</v>
      </c>
      <c r="C84" s="1" t="s">
        <v>307</v>
      </c>
      <c r="D84" s="1" t="s">
        <v>308</v>
      </c>
      <c r="E84" s="565">
        <f t="shared" si="16"/>
        <v>96.64716</v>
      </c>
      <c r="F84" s="566">
        <f t="shared" si="17"/>
        <v>76.47</v>
      </c>
      <c r="G84" s="566">
        <f t="shared" si="18"/>
        <v>61.05</v>
      </c>
      <c r="H84" s="566">
        <v>23.86</v>
      </c>
      <c r="I84" s="566">
        <v>15.41</v>
      </c>
      <c r="J84" s="566">
        <v>1.99</v>
      </c>
      <c r="K84" s="566">
        <v>0.72</v>
      </c>
      <c r="L84" s="566"/>
      <c r="M84" s="566">
        <v>19.07</v>
      </c>
      <c r="N84" s="565">
        <f t="shared" si="19"/>
        <v>15.42</v>
      </c>
      <c r="O84" s="566">
        <v>10.17</v>
      </c>
      <c r="P84" s="566"/>
      <c r="Q84" s="566">
        <v>2.75</v>
      </c>
      <c r="R84" s="566">
        <v>2.5</v>
      </c>
      <c r="S84" s="565">
        <f t="shared" si="20"/>
        <v>0</v>
      </c>
      <c r="T84" s="566">
        <f t="shared" si="21"/>
        <v>0</v>
      </c>
      <c r="U84" s="566"/>
      <c r="V84" s="566"/>
      <c r="W84" s="566"/>
      <c r="X84" s="566"/>
      <c r="Y84" s="566"/>
      <c r="Z84" s="566"/>
      <c r="AA84" s="565">
        <f t="shared" si="22"/>
        <v>0</v>
      </c>
      <c r="AB84" s="566"/>
      <c r="AC84" s="566"/>
      <c r="AD84" s="566"/>
      <c r="AE84" s="566"/>
      <c r="AF84" s="566"/>
      <c r="AG84" s="565">
        <f t="shared" si="23"/>
        <v>20.17716</v>
      </c>
      <c r="AH84" s="566">
        <f t="shared" si="24"/>
        <v>9.6528</v>
      </c>
      <c r="AI84" s="566">
        <f t="shared" si="25"/>
        <v>3.1416</v>
      </c>
      <c r="AJ84" s="566">
        <f t="shared" si="26"/>
        <v>2.3562</v>
      </c>
      <c r="AK84" s="566">
        <f t="shared" si="27"/>
        <v>0.07854</v>
      </c>
      <c r="AL84" s="566">
        <f t="shared" si="28"/>
        <v>0.23562</v>
      </c>
      <c r="AM84" s="566">
        <f t="shared" si="29"/>
        <v>4.7124</v>
      </c>
      <c r="AN84" s="566"/>
      <c r="AO84" s="304"/>
    </row>
    <row r="85" s="131" customFormat="1" ht="24" spans="1:41">
      <c r="A85" s="1" t="s">
        <v>261</v>
      </c>
      <c r="B85" s="1" t="s">
        <v>206</v>
      </c>
      <c r="C85" s="1" t="s">
        <v>309</v>
      </c>
      <c r="D85" s="1" t="s">
        <v>308</v>
      </c>
      <c r="E85" s="565">
        <f t="shared" si="16"/>
        <v>73.34914</v>
      </c>
      <c r="F85" s="566">
        <f t="shared" si="17"/>
        <v>0</v>
      </c>
      <c r="G85" s="566">
        <f t="shared" si="18"/>
        <v>0</v>
      </c>
      <c r="H85" s="566"/>
      <c r="I85" s="566"/>
      <c r="J85" s="566"/>
      <c r="K85" s="566"/>
      <c r="L85" s="566"/>
      <c r="M85" s="566"/>
      <c r="N85" s="565">
        <f t="shared" si="19"/>
        <v>0</v>
      </c>
      <c r="O85" s="566"/>
      <c r="P85" s="566"/>
      <c r="Q85" s="566"/>
      <c r="R85" s="566"/>
      <c r="S85" s="565">
        <f t="shared" si="20"/>
        <v>62.005</v>
      </c>
      <c r="T85" s="566">
        <f t="shared" si="21"/>
        <v>48.88</v>
      </c>
      <c r="U85" s="566">
        <v>15.51</v>
      </c>
      <c r="V85" s="566"/>
      <c r="W85" s="566">
        <v>6.87</v>
      </c>
      <c r="X85" s="566">
        <v>1.2</v>
      </c>
      <c r="Y85" s="566"/>
      <c r="Z85" s="566">
        <v>25.3</v>
      </c>
      <c r="AA85" s="565">
        <f t="shared" si="22"/>
        <v>13.125</v>
      </c>
      <c r="AB85" s="566">
        <v>4.125</v>
      </c>
      <c r="AC85" s="566"/>
      <c r="AD85" s="566"/>
      <c r="AE85" s="566"/>
      <c r="AF85" s="566">
        <v>9</v>
      </c>
      <c r="AG85" s="565">
        <f t="shared" si="23"/>
        <v>11.34414</v>
      </c>
      <c r="AH85" s="566">
        <f t="shared" si="24"/>
        <v>4.2408</v>
      </c>
      <c r="AI85" s="566">
        <f t="shared" si="25"/>
        <v>2.1204</v>
      </c>
      <c r="AJ85" s="566">
        <f t="shared" si="26"/>
        <v>1.5903</v>
      </c>
      <c r="AK85" s="566">
        <f t="shared" si="27"/>
        <v>0.05301</v>
      </c>
      <c r="AL85" s="566">
        <f t="shared" si="28"/>
        <v>0.15903</v>
      </c>
      <c r="AM85" s="566">
        <f t="shared" si="29"/>
        <v>3.1806</v>
      </c>
      <c r="AN85" s="566"/>
      <c r="AO85" s="304"/>
    </row>
    <row r="86" s="131" customFormat="1" ht="24" spans="1:41">
      <c r="A86" s="1" t="s">
        <v>261</v>
      </c>
      <c r="B86" s="1" t="s">
        <v>206</v>
      </c>
      <c r="C86" s="1" t="s">
        <v>310</v>
      </c>
      <c r="D86" s="1" t="s">
        <v>308</v>
      </c>
      <c r="E86" s="565">
        <f t="shared" si="16"/>
        <v>35.17784</v>
      </c>
      <c r="F86" s="566">
        <f t="shared" si="17"/>
        <v>0</v>
      </c>
      <c r="G86" s="566">
        <f t="shared" si="18"/>
        <v>0</v>
      </c>
      <c r="H86" s="566"/>
      <c r="I86" s="566"/>
      <c r="J86" s="566"/>
      <c r="K86" s="566"/>
      <c r="L86" s="566"/>
      <c r="M86" s="566"/>
      <c r="N86" s="565">
        <f t="shared" si="19"/>
        <v>0</v>
      </c>
      <c r="O86" s="566"/>
      <c r="P86" s="566"/>
      <c r="Q86" s="566"/>
      <c r="R86" s="566"/>
      <c r="S86" s="565">
        <f t="shared" si="20"/>
        <v>25</v>
      </c>
      <c r="T86" s="566">
        <f t="shared" si="21"/>
        <v>21.54</v>
      </c>
      <c r="U86" s="566">
        <v>14.56</v>
      </c>
      <c r="V86" s="566"/>
      <c r="W86" s="566">
        <v>5.76</v>
      </c>
      <c r="X86" s="566">
        <v>0.96</v>
      </c>
      <c r="Y86" s="566">
        <v>0.26</v>
      </c>
      <c r="Z86" s="566"/>
      <c r="AA86" s="565">
        <f t="shared" si="22"/>
        <v>3.46</v>
      </c>
      <c r="AB86" s="566">
        <v>3.46</v>
      </c>
      <c r="AC86" s="566"/>
      <c r="AD86" s="566"/>
      <c r="AE86" s="566"/>
      <c r="AF86" s="566"/>
      <c r="AG86" s="565">
        <f t="shared" si="23"/>
        <v>10.17784</v>
      </c>
      <c r="AH86" s="566">
        <f t="shared" si="24"/>
        <v>3.8048</v>
      </c>
      <c r="AI86" s="566">
        <f t="shared" si="25"/>
        <v>1.9024</v>
      </c>
      <c r="AJ86" s="566">
        <f t="shared" si="26"/>
        <v>1.4268</v>
      </c>
      <c r="AK86" s="566">
        <f t="shared" si="27"/>
        <v>0.04756</v>
      </c>
      <c r="AL86" s="566">
        <f t="shared" si="28"/>
        <v>0.14268</v>
      </c>
      <c r="AM86" s="566">
        <f t="shared" si="29"/>
        <v>2.8536</v>
      </c>
      <c r="AN86" s="566"/>
      <c r="AO86" s="304"/>
    </row>
    <row r="87" s="131" customFormat="1" ht="24" spans="1:41">
      <c r="A87" s="1" t="s">
        <v>202</v>
      </c>
      <c r="B87" s="1" t="s">
        <v>203</v>
      </c>
      <c r="C87" s="1" t="s">
        <v>311</v>
      </c>
      <c r="D87" s="1" t="s">
        <v>312</v>
      </c>
      <c r="E87" s="565">
        <f t="shared" si="16"/>
        <v>83.81836</v>
      </c>
      <c r="F87" s="566">
        <f t="shared" si="17"/>
        <v>66.07</v>
      </c>
      <c r="G87" s="566">
        <f t="shared" si="18"/>
        <v>53.19</v>
      </c>
      <c r="H87" s="566">
        <v>21.04</v>
      </c>
      <c r="I87" s="566">
        <v>13.43</v>
      </c>
      <c r="J87" s="566">
        <v>1.75</v>
      </c>
      <c r="K87" s="566"/>
      <c r="L87" s="566"/>
      <c r="M87" s="566">
        <v>16.97</v>
      </c>
      <c r="N87" s="565">
        <f t="shared" si="19"/>
        <v>12.88</v>
      </c>
      <c r="O87" s="566">
        <v>7.63</v>
      </c>
      <c r="P87" s="566"/>
      <c r="Q87" s="566">
        <v>2.75</v>
      </c>
      <c r="R87" s="566">
        <v>2.5</v>
      </c>
      <c r="S87" s="565">
        <f t="shared" si="20"/>
        <v>0</v>
      </c>
      <c r="T87" s="566">
        <f t="shared" si="21"/>
        <v>0</v>
      </c>
      <c r="U87" s="566"/>
      <c r="V87" s="566"/>
      <c r="W87" s="566"/>
      <c r="X87" s="566"/>
      <c r="Y87" s="566"/>
      <c r="Z87" s="566"/>
      <c r="AA87" s="565">
        <f t="shared" si="22"/>
        <v>0</v>
      </c>
      <c r="AB87" s="566"/>
      <c r="AC87" s="566"/>
      <c r="AD87" s="566"/>
      <c r="AE87" s="566"/>
      <c r="AF87" s="566"/>
      <c r="AG87" s="565">
        <f t="shared" si="23"/>
        <v>17.74836</v>
      </c>
      <c r="AH87" s="566">
        <f t="shared" si="24"/>
        <v>8.5104</v>
      </c>
      <c r="AI87" s="566">
        <f t="shared" si="25"/>
        <v>2.7576</v>
      </c>
      <c r="AJ87" s="566">
        <f t="shared" si="26"/>
        <v>2.0682</v>
      </c>
      <c r="AK87" s="566">
        <f t="shared" si="27"/>
        <v>0.06894</v>
      </c>
      <c r="AL87" s="566">
        <f t="shared" si="28"/>
        <v>0.20682</v>
      </c>
      <c r="AM87" s="566">
        <f t="shared" si="29"/>
        <v>4.1364</v>
      </c>
      <c r="AN87" s="566"/>
      <c r="AO87" s="304"/>
    </row>
    <row r="88" s="131" customFormat="1" ht="24" spans="1:41">
      <c r="A88" s="1" t="s">
        <v>202</v>
      </c>
      <c r="B88" s="1" t="s">
        <v>206</v>
      </c>
      <c r="C88" s="1" t="s">
        <v>313</v>
      </c>
      <c r="D88" s="1" t="s">
        <v>314</v>
      </c>
      <c r="E88" s="565">
        <f t="shared" si="16"/>
        <v>10.44944</v>
      </c>
      <c r="F88" s="566">
        <f t="shared" si="17"/>
        <v>0</v>
      </c>
      <c r="G88" s="566">
        <f t="shared" si="18"/>
        <v>0</v>
      </c>
      <c r="H88" s="566"/>
      <c r="I88" s="566"/>
      <c r="J88" s="566"/>
      <c r="K88" s="566"/>
      <c r="L88" s="566"/>
      <c r="M88" s="566"/>
      <c r="N88" s="565">
        <f t="shared" si="19"/>
        <v>0</v>
      </c>
      <c r="O88" s="566"/>
      <c r="P88" s="566"/>
      <c r="Q88" s="566"/>
      <c r="R88" s="566"/>
      <c r="S88" s="565">
        <f t="shared" si="20"/>
        <v>7.89</v>
      </c>
      <c r="T88" s="566">
        <f t="shared" si="21"/>
        <v>6.54</v>
      </c>
      <c r="U88" s="566">
        <v>3.72</v>
      </c>
      <c r="V88" s="566"/>
      <c r="W88" s="566">
        <v>1.41</v>
      </c>
      <c r="X88" s="566"/>
      <c r="Y88" s="566"/>
      <c r="Z88" s="566">
        <v>1.41</v>
      </c>
      <c r="AA88" s="565">
        <f t="shared" si="22"/>
        <v>1.35</v>
      </c>
      <c r="AB88" s="566">
        <v>0.85</v>
      </c>
      <c r="AC88" s="566"/>
      <c r="AD88" s="566"/>
      <c r="AE88" s="566"/>
      <c r="AF88" s="566">
        <v>0.5</v>
      </c>
      <c r="AG88" s="565">
        <f t="shared" si="23"/>
        <v>2.55944</v>
      </c>
      <c r="AH88" s="566">
        <f t="shared" si="24"/>
        <v>0.9568</v>
      </c>
      <c r="AI88" s="566">
        <f t="shared" si="25"/>
        <v>0.4784</v>
      </c>
      <c r="AJ88" s="566">
        <f t="shared" si="26"/>
        <v>0.3588</v>
      </c>
      <c r="AK88" s="566">
        <f t="shared" si="27"/>
        <v>0.01196</v>
      </c>
      <c r="AL88" s="566">
        <f t="shared" si="28"/>
        <v>0.03588</v>
      </c>
      <c r="AM88" s="566">
        <f t="shared" si="29"/>
        <v>0.7176</v>
      </c>
      <c r="AN88" s="566"/>
      <c r="AO88" s="304"/>
    </row>
    <row r="89" s="131" customFormat="1" ht="24" spans="1:41">
      <c r="A89" s="1" t="s">
        <v>215</v>
      </c>
      <c r="B89" s="1" t="s">
        <v>203</v>
      </c>
      <c r="C89" s="1" t="s">
        <v>315</v>
      </c>
      <c r="D89" s="1" t="s">
        <v>316</v>
      </c>
      <c r="E89" s="565">
        <f t="shared" si="16"/>
        <v>97.46204</v>
      </c>
      <c r="F89" s="566">
        <f t="shared" si="17"/>
        <v>74.6</v>
      </c>
      <c r="G89" s="566">
        <f t="shared" si="18"/>
        <v>68.3</v>
      </c>
      <c r="H89" s="567">
        <v>27.19</v>
      </c>
      <c r="I89" s="567">
        <v>17.34</v>
      </c>
      <c r="J89" s="567">
        <v>2.27</v>
      </c>
      <c r="K89" s="566"/>
      <c r="L89" s="566"/>
      <c r="M89" s="566">
        <v>21.5</v>
      </c>
      <c r="N89" s="565">
        <f t="shared" si="19"/>
        <v>6.3</v>
      </c>
      <c r="O89" s="566"/>
      <c r="P89" s="566"/>
      <c r="Q89" s="566">
        <v>3.3</v>
      </c>
      <c r="R89" s="566">
        <v>3</v>
      </c>
      <c r="S89" s="565">
        <f t="shared" si="20"/>
        <v>0</v>
      </c>
      <c r="T89" s="566">
        <f t="shared" si="21"/>
        <v>0</v>
      </c>
      <c r="U89" s="566"/>
      <c r="V89" s="566"/>
      <c r="W89" s="566"/>
      <c r="X89" s="566"/>
      <c r="Y89" s="566"/>
      <c r="Z89" s="566"/>
      <c r="AA89" s="565">
        <f t="shared" si="22"/>
        <v>0</v>
      </c>
      <c r="AB89" s="566"/>
      <c r="AC89" s="566"/>
      <c r="AD89" s="566"/>
      <c r="AE89" s="566"/>
      <c r="AF89" s="566"/>
      <c r="AG89" s="565">
        <f t="shared" si="23"/>
        <v>22.86204</v>
      </c>
      <c r="AH89" s="566">
        <f t="shared" si="24"/>
        <v>10.928</v>
      </c>
      <c r="AI89" s="566">
        <f t="shared" si="25"/>
        <v>3.5624</v>
      </c>
      <c r="AJ89" s="566">
        <f t="shared" si="26"/>
        <v>2.6718</v>
      </c>
      <c r="AK89" s="566">
        <f t="shared" si="27"/>
        <v>0.08906</v>
      </c>
      <c r="AL89" s="566">
        <f t="shared" si="28"/>
        <v>0.26718</v>
      </c>
      <c r="AM89" s="566">
        <f t="shared" si="29"/>
        <v>5.3436</v>
      </c>
      <c r="AN89" s="566"/>
      <c r="AO89" s="304"/>
    </row>
    <row r="90" s="131" customFormat="1" ht="24" spans="1:41">
      <c r="A90" s="1" t="s">
        <v>215</v>
      </c>
      <c r="B90" s="1" t="s">
        <v>206</v>
      </c>
      <c r="C90" s="1" t="s">
        <v>318</v>
      </c>
      <c r="D90" s="1" t="s">
        <v>319</v>
      </c>
      <c r="E90" s="565">
        <f t="shared" si="16"/>
        <v>9.3984</v>
      </c>
      <c r="F90" s="566">
        <f t="shared" si="17"/>
        <v>0</v>
      </c>
      <c r="G90" s="566">
        <f t="shared" si="18"/>
        <v>0</v>
      </c>
      <c r="H90" s="566"/>
      <c r="I90" s="566"/>
      <c r="J90" s="566"/>
      <c r="K90" s="566"/>
      <c r="L90" s="566"/>
      <c r="M90" s="566"/>
      <c r="N90" s="565">
        <f t="shared" si="19"/>
        <v>0</v>
      </c>
      <c r="O90" s="566"/>
      <c r="P90" s="566"/>
      <c r="Q90" s="566"/>
      <c r="R90" s="566"/>
      <c r="S90" s="565">
        <f t="shared" si="20"/>
        <v>7.13</v>
      </c>
      <c r="T90" s="566">
        <f t="shared" si="21"/>
        <v>5.84</v>
      </c>
      <c r="U90" s="567">
        <v>3.19</v>
      </c>
      <c r="V90" s="567"/>
      <c r="W90" s="567">
        <v>1.32</v>
      </c>
      <c r="X90" s="566"/>
      <c r="Y90" s="566"/>
      <c r="Z90" s="566">
        <v>1.33</v>
      </c>
      <c r="AA90" s="565">
        <f t="shared" si="22"/>
        <v>1.29</v>
      </c>
      <c r="AB90" s="566">
        <v>0.79</v>
      </c>
      <c r="AC90" s="566"/>
      <c r="AD90" s="566"/>
      <c r="AE90" s="566"/>
      <c r="AF90" s="566">
        <v>0.5</v>
      </c>
      <c r="AG90" s="565">
        <f t="shared" si="23"/>
        <v>2.2684</v>
      </c>
      <c r="AH90" s="566">
        <f t="shared" si="24"/>
        <v>0.848</v>
      </c>
      <c r="AI90" s="566">
        <f t="shared" si="25"/>
        <v>0.424</v>
      </c>
      <c r="AJ90" s="566">
        <f t="shared" si="26"/>
        <v>0.318</v>
      </c>
      <c r="AK90" s="566">
        <f t="shared" si="27"/>
        <v>0.0106</v>
      </c>
      <c r="AL90" s="566">
        <f t="shared" si="28"/>
        <v>0.0318</v>
      </c>
      <c r="AM90" s="566">
        <f t="shared" si="29"/>
        <v>0.636</v>
      </c>
      <c r="AN90" s="566"/>
      <c r="AO90" s="304"/>
    </row>
    <row r="91" s="131" customFormat="1" ht="24" spans="1:41">
      <c r="A91" s="1" t="s">
        <v>202</v>
      </c>
      <c r="B91" s="1" t="s">
        <v>203</v>
      </c>
      <c r="C91" s="1" t="s">
        <v>320</v>
      </c>
      <c r="D91" s="1" t="s">
        <v>321</v>
      </c>
      <c r="E91" s="565">
        <f t="shared" si="16"/>
        <v>273.67</v>
      </c>
      <c r="F91" s="566">
        <f t="shared" si="17"/>
        <v>0</v>
      </c>
      <c r="G91" s="566">
        <f t="shared" si="18"/>
        <v>0</v>
      </c>
      <c r="H91" s="566"/>
      <c r="I91" s="566"/>
      <c r="J91" s="566"/>
      <c r="K91" s="566"/>
      <c r="L91" s="566"/>
      <c r="M91" s="566"/>
      <c r="N91" s="565">
        <f t="shared" si="19"/>
        <v>0</v>
      </c>
      <c r="O91" s="566"/>
      <c r="P91" s="566"/>
      <c r="Q91" s="566"/>
      <c r="R91" s="566"/>
      <c r="S91" s="565">
        <f t="shared" si="20"/>
        <v>273.67</v>
      </c>
      <c r="T91" s="566">
        <f t="shared" si="21"/>
        <v>0</v>
      </c>
      <c r="U91" s="566"/>
      <c r="V91" s="566"/>
      <c r="W91" s="566"/>
      <c r="X91" s="566"/>
      <c r="Y91" s="566"/>
      <c r="Z91" s="566"/>
      <c r="AA91" s="565">
        <f t="shared" si="22"/>
        <v>273.67</v>
      </c>
      <c r="AB91" s="566"/>
      <c r="AC91" s="566">
        <f>239+34.67</f>
        <v>273.67</v>
      </c>
      <c r="AD91" s="566"/>
      <c r="AE91" s="566"/>
      <c r="AF91" s="566"/>
      <c r="AG91" s="565">
        <f t="shared" si="23"/>
        <v>0</v>
      </c>
      <c r="AH91" s="566">
        <f t="shared" si="24"/>
        <v>0</v>
      </c>
      <c r="AI91" s="566">
        <f t="shared" si="25"/>
        <v>0</v>
      </c>
      <c r="AJ91" s="566">
        <f t="shared" si="26"/>
        <v>0</v>
      </c>
      <c r="AK91" s="566">
        <f t="shared" si="27"/>
        <v>0</v>
      </c>
      <c r="AL91" s="566">
        <f t="shared" si="28"/>
        <v>0</v>
      </c>
      <c r="AM91" s="566">
        <f t="shared" si="29"/>
        <v>0</v>
      </c>
      <c r="AN91" s="566"/>
      <c r="AO91" s="304"/>
    </row>
    <row r="92" s="131" customFormat="1" ht="24" spans="1:41">
      <c r="A92" s="1" t="s">
        <v>202</v>
      </c>
      <c r="B92" s="1" t="s">
        <v>203</v>
      </c>
      <c r="C92" s="1" t="s">
        <v>322</v>
      </c>
      <c r="D92" s="1" t="s">
        <v>321</v>
      </c>
      <c r="E92" s="565">
        <f t="shared" si="16"/>
        <v>31.09092</v>
      </c>
      <c r="F92" s="566">
        <f t="shared" si="17"/>
        <v>24.58</v>
      </c>
      <c r="G92" s="566">
        <f t="shared" si="18"/>
        <v>19.94</v>
      </c>
      <c r="H92" s="566">
        <v>7.07</v>
      </c>
      <c r="I92" s="566">
        <v>5.32</v>
      </c>
      <c r="J92" s="566">
        <v>0.59</v>
      </c>
      <c r="K92" s="566"/>
      <c r="L92" s="566"/>
      <c r="M92" s="566">
        <v>6.96</v>
      </c>
      <c r="N92" s="565">
        <f t="shared" si="19"/>
        <v>4.64</v>
      </c>
      <c r="O92" s="566">
        <v>2.54</v>
      </c>
      <c r="P92" s="566"/>
      <c r="Q92" s="566">
        <v>1.1</v>
      </c>
      <c r="R92" s="566">
        <v>1</v>
      </c>
      <c r="S92" s="565">
        <f t="shared" si="20"/>
        <v>0</v>
      </c>
      <c r="T92" s="566">
        <f t="shared" si="21"/>
        <v>0</v>
      </c>
      <c r="U92" s="566"/>
      <c r="V92" s="566"/>
      <c r="W92" s="566"/>
      <c r="X92" s="566"/>
      <c r="Y92" s="566"/>
      <c r="Z92" s="566"/>
      <c r="AA92" s="565">
        <f t="shared" si="22"/>
        <v>0</v>
      </c>
      <c r="AB92" s="566"/>
      <c r="AC92" s="566"/>
      <c r="AD92" s="566"/>
      <c r="AE92" s="566"/>
      <c r="AF92" s="566"/>
      <c r="AG92" s="565">
        <f t="shared" si="23"/>
        <v>6.51092</v>
      </c>
      <c r="AH92" s="566">
        <f t="shared" si="24"/>
        <v>3.1904</v>
      </c>
      <c r="AI92" s="566">
        <f t="shared" si="25"/>
        <v>0.9912</v>
      </c>
      <c r="AJ92" s="566">
        <f t="shared" si="26"/>
        <v>0.7434</v>
      </c>
      <c r="AK92" s="566">
        <f t="shared" si="27"/>
        <v>0.02478</v>
      </c>
      <c r="AL92" s="566">
        <f t="shared" si="28"/>
        <v>0.07434</v>
      </c>
      <c r="AM92" s="566">
        <f t="shared" si="29"/>
        <v>1.4868</v>
      </c>
      <c r="AN92" s="566"/>
      <c r="AO92" s="304"/>
    </row>
    <row r="93" s="131" customFormat="1" ht="24" spans="1:41">
      <c r="A93" s="1" t="s">
        <v>202</v>
      </c>
      <c r="B93" s="1" t="s">
        <v>203</v>
      </c>
      <c r="C93" s="1" t="s">
        <v>323</v>
      </c>
      <c r="D93" s="1" t="s">
        <v>321</v>
      </c>
      <c r="E93" s="565">
        <f t="shared" si="16"/>
        <v>79.54316</v>
      </c>
      <c r="F93" s="566">
        <f t="shared" si="17"/>
        <v>60.87</v>
      </c>
      <c r="G93" s="566">
        <f t="shared" si="18"/>
        <v>55.62</v>
      </c>
      <c r="H93" s="566">
        <v>22.21</v>
      </c>
      <c r="I93" s="566">
        <v>14.26</v>
      </c>
      <c r="J93" s="566">
        <v>1.85</v>
      </c>
      <c r="K93" s="566"/>
      <c r="L93" s="566"/>
      <c r="M93" s="566">
        <v>17.3</v>
      </c>
      <c r="N93" s="565">
        <f t="shared" si="19"/>
        <v>5.25</v>
      </c>
      <c r="O93" s="566"/>
      <c r="P93" s="566"/>
      <c r="Q93" s="566">
        <v>2.75</v>
      </c>
      <c r="R93" s="566">
        <v>2.5</v>
      </c>
      <c r="S93" s="565">
        <f t="shared" si="20"/>
        <v>0</v>
      </c>
      <c r="T93" s="566">
        <f t="shared" si="21"/>
        <v>0</v>
      </c>
      <c r="U93" s="566"/>
      <c r="V93" s="566"/>
      <c r="W93" s="566"/>
      <c r="X93" s="566"/>
      <c r="Y93" s="566"/>
      <c r="Z93" s="566"/>
      <c r="AA93" s="565">
        <f t="shared" si="22"/>
        <v>0</v>
      </c>
      <c r="AB93" s="566"/>
      <c r="AC93" s="566"/>
      <c r="AD93" s="566"/>
      <c r="AE93" s="566"/>
      <c r="AF93" s="566"/>
      <c r="AG93" s="565">
        <f t="shared" si="23"/>
        <v>18.67316</v>
      </c>
      <c r="AH93" s="566">
        <f t="shared" si="24"/>
        <v>8.8992</v>
      </c>
      <c r="AI93" s="566">
        <f t="shared" si="25"/>
        <v>2.9176</v>
      </c>
      <c r="AJ93" s="566">
        <f t="shared" si="26"/>
        <v>2.1882</v>
      </c>
      <c r="AK93" s="566">
        <f t="shared" si="27"/>
        <v>0.07294</v>
      </c>
      <c r="AL93" s="566">
        <f t="shared" si="28"/>
        <v>0.21882</v>
      </c>
      <c r="AM93" s="566">
        <f t="shared" si="29"/>
        <v>4.3764</v>
      </c>
      <c r="AN93" s="566"/>
      <c r="AO93" s="304"/>
    </row>
    <row r="94" s="131" customFormat="1" ht="24" customHeight="1" spans="1:41">
      <c r="A94" s="1" t="s">
        <v>202</v>
      </c>
      <c r="B94" s="1" t="s">
        <v>203</v>
      </c>
      <c r="C94" s="1" t="s">
        <v>324</v>
      </c>
      <c r="D94" s="1" t="s">
        <v>321</v>
      </c>
      <c r="E94" s="565">
        <f t="shared" si="16"/>
        <v>15.93596</v>
      </c>
      <c r="F94" s="566">
        <f t="shared" si="17"/>
        <v>12.18</v>
      </c>
      <c r="G94" s="566">
        <f t="shared" si="18"/>
        <v>11.13</v>
      </c>
      <c r="H94" s="566">
        <v>4.57</v>
      </c>
      <c r="I94" s="566">
        <v>2.8</v>
      </c>
      <c r="J94" s="566">
        <v>0.38</v>
      </c>
      <c r="K94" s="566"/>
      <c r="L94" s="566"/>
      <c r="M94" s="566">
        <v>3.38</v>
      </c>
      <c r="N94" s="565">
        <f t="shared" si="19"/>
        <v>1.05</v>
      </c>
      <c r="O94" s="566"/>
      <c r="P94" s="566"/>
      <c r="Q94" s="566">
        <v>0.55</v>
      </c>
      <c r="R94" s="566">
        <v>0.5</v>
      </c>
      <c r="S94" s="565">
        <f t="shared" si="20"/>
        <v>0</v>
      </c>
      <c r="T94" s="566">
        <f t="shared" si="21"/>
        <v>0</v>
      </c>
      <c r="U94" s="566"/>
      <c r="V94" s="566"/>
      <c r="W94" s="566"/>
      <c r="X94" s="566"/>
      <c r="Y94" s="566"/>
      <c r="Z94" s="566"/>
      <c r="AA94" s="565">
        <f t="shared" si="22"/>
        <v>0</v>
      </c>
      <c r="AB94" s="566"/>
      <c r="AC94" s="566"/>
      <c r="AD94" s="566"/>
      <c r="AE94" s="566"/>
      <c r="AF94" s="566"/>
      <c r="AG94" s="565">
        <f t="shared" si="23"/>
        <v>3.75596</v>
      </c>
      <c r="AH94" s="566">
        <f t="shared" si="24"/>
        <v>1.7808</v>
      </c>
      <c r="AI94" s="566">
        <f t="shared" si="25"/>
        <v>0.5896</v>
      </c>
      <c r="AJ94" s="566">
        <f t="shared" si="26"/>
        <v>0.4422</v>
      </c>
      <c r="AK94" s="566">
        <f t="shared" si="27"/>
        <v>0.01474</v>
      </c>
      <c r="AL94" s="566">
        <f t="shared" si="28"/>
        <v>0.04422</v>
      </c>
      <c r="AM94" s="566">
        <f t="shared" si="29"/>
        <v>0.8844</v>
      </c>
      <c r="AN94" s="566"/>
      <c r="AO94" s="304"/>
    </row>
    <row r="95" s="131" customFormat="1" ht="24" spans="1:41">
      <c r="A95" s="1" t="s">
        <v>202</v>
      </c>
      <c r="B95" s="1" t="s">
        <v>203</v>
      </c>
      <c r="C95" s="1" t="s">
        <v>325</v>
      </c>
      <c r="D95" s="1" t="s">
        <v>321</v>
      </c>
      <c r="E95" s="565">
        <f t="shared" si="16"/>
        <v>23.79088</v>
      </c>
      <c r="F95" s="566">
        <f t="shared" si="17"/>
        <v>18.96</v>
      </c>
      <c r="G95" s="566">
        <f t="shared" si="18"/>
        <v>16.86</v>
      </c>
      <c r="H95" s="566">
        <v>4.88</v>
      </c>
      <c r="I95" s="566">
        <v>3.08</v>
      </c>
      <c r="J95" s="566">
        <v>0.95</v>
      </c>
      <c r="K95" s="566"/>
      <c r="L95" s="566"/>
      <c r="M95" s="566">
        <v>7.95</v>
      </c>
      <c r="N95" s="565">
        <f t="shared" si="19"/>
        <v>2.1</v>
      </c>
      <c r="O95" s="566"/>
      <c r="P95" s="566"/>
      <c r="Q95" s="566">
        <v>1.1</v>
      </c>
      <c r="R95" s="566">
        <v>1</v>
      </c>
      <c r="S95" s="565">
        <f t="shared" si="20"/>
        <v>0</v>
      </c>
      <c r="T95" s="566">
        <f t="shared" si="21"/>
        <v>0</v>
      </c>
      <c r="U95" s="566"/>
      <c r="V95" s="566"/>
      <c r="W95" s="566"/>
      <c r="X95" s="566"/>
      <c r="Y95" s="566"/>
      <c r="Z95" s="566"/>
      <c r="AA95" s="565">
        <f t="shared" si="22"/>
        <v>0</v>
      </c>
      <c r="AB95" s="566"/>
      <c r="AC95" s="566"/>
      <c r="AD95" s="566"/>
      <c r="AE95" s="566"/>
      <c r="AF95" s="566"/>
      <c r="AG95" s="565">
        <f t="shared" si="23"/>
        <v>4.83088</v>
      </c>
      <c r="AH95" s="566">
        <f t="shared" si="24"/>
        <v>2.6976</v>
      </c>
      <c r="AI95" s="566">
        <f t="shared" si="25"/>
        <v>0.6368</v>
      </c>
      <c r="AJ95" s="566">
        <f t="shared" si="26"/>
        <v>0.4776</v>
      </c>
      <c r="AK95" s="566">
        <f t="shared" si="27"/>
        <v>0.01592</v>
      </c>
      <c r="AL95" s="566">
        <f t="shared" si="28"/>
        <v>0.04776</v>
      </c>
      <c r="AM95" s="566">
        <f t="shared" si="29"/>
        <v>0.9552</v>
      </c>
      <c r="AN95" s="566"/>
      <c r="AO95" s="304"/>
    </row>
    <row r="96" s="131" customFormat="1" ht="24" spans="1:41">
      <c r="A96" s="1" t="s">
        <v>215</v>
      </c>
      <c r="B96" s="1" t="s">
        <v>203</v>
      </c>
      <c r="C96" s="1" t="s">
        <v>326</v>
      </c>
      <c r="D96" s="1" t="s">
        <v>321</v>
      </c>
      <c r="E96" s="565">
        <f t="shared" si="16"/>
        <v>32.519328</v>
      </c>
      <c r="F96" s="566">
        <f t="shared" si="17"/>
        <v>24.822</v>
      </c>
      <c r="G96" s="566">
        <f t="shared" si="18"/>
        <v>22.722</v>
      </c>
      <c r="H96" s="567">
        <v>9.552</v>
      </c>
      <c r="I96" s="567">
        <v>5.604</v>
      </c>
      <c r="J96" s="567">
        <v>0.796</v>
      </c>
      <c r="K96" s="566"/>
      <c r="L96" s="566"/>
      <c r="M96" s="566">
        <v>6.77</v>
      </c>
      <c r="N96" s="565">
        <f t="shared" si="19"/>
        <v>2.1</v>
      </c>
      <c r="O96" s="566"/>
      <c r="P96" s="566"/>
      <c r="Q96" s="566">
        <v>1.1</v>
      </c>
      <c r="R96" s="566">
        <v>1</v>
      </c>
      <c r="S96" s="565">
        <f t="shared" si="20"/>
        <v>0</v>
      </c>
      <c r="T96" s="566">
        <f t="shared" si="21"/>
        <v>0</v>
      </c>
      <c r="U96" s="566"/>
      <c r="V96" s="566"/>
      <c r="W96" s="566"/>
      <c r="X96" s="566"/>
      <c r="Y96" s="566"/>
      <c r="Z96" s="566"/>
      <c r="AA96" s="565">
        <f t="shared" si="22"/>
        <v>0</v>
      </c>
      <c r="AB96" s="566"/>
      <c r="AC96" s="566"/>
      <c r="AD96" s="566"/>
      <c r="AE96" s="566"/>
      <c r="AF96" s="566"/>
      <c r="AG96" s="565">
        <f t="shared" si="23"/>
        <v>7.697328</v>
      </c>
      <c r="AH96" s="566">
        <f t="shared" si="24"/>
        <v>3.63552</v>
      </c>
      <c r="AI96" s="566">
        <f t="shared" si="25"/>
        <v>1.21248</v>
      </c>
      <c r="AJ96" s="566">
        <f t="shared" si="26"/>
        <v>0.90936</v>
      </c>
      <c r="AK96" s="566">
        <f t="shared" si="27"/>
        <v>0.030312</v>
      </c>
      <c r="AL96" s="566">
        <f t="shared" si="28"/>
        <v>0.090936</v>
      </c>
      <c r="AM96" s="566">
        <f t="shared" si="29"/>
        <v>1.81872</v>
      </c>
      <c r="AN96" s="566"/>
      <c r="AO96" s="304"/>
    </row>
    <row r="97" s="131" customFormat="1" ht="24" spans="1:41">
      <c r="A97" s="1" t="s">
        <v>202</v>
      </c>
      <c r="B97" s="1" t="s">
        <v>206</v>
      </c>
      <c r="C97" s="1" t="s">
        <v>327</v>
      </c>
      <c r="D97" s="1" t="s">
        <v>328</v>
      </c>
      <c r="E97" s="565">
        <f t="shared" si="16"/>
        <v>32.94772</v>
      </c>
      <c r="F97" s="566">
        <f t="shared" si="17"/>
        <v>0</v>
      </c>
      <c r="G97" s="566">
        <f t="shared" si="18"/>
        <v>0</v>
      </c>
      <c r="H97" s="566"/>
      <c r="I97" s="566"/>
      <c r="J97" s="566"/>
      <c r="K97" s="566"/>
      <c r="L97" s="566"/>
      <c r="M97" s="566"/>
      <c r="N97" s="565">
        <f t="shared" si="19"/>
        <v>0</v>
      </c>
      <c r="O97" s="566"/>
      <c r="P97" s="566"/>
      <c r="Q97" s="566"/>
      <c r="R97" s="566"/>
      <c r="S97" s="565">
        <f t="shared" si="20"/>
        <v>24.82</v>
      </c>
      <c r="T97" s="566">
        <f t="shared" si="21"/>
        <v>20.64</v>
      </c>
      <c r="U97" s="566">
        <v>11.83</v>
      </c>
      <c r="V97" s="566">
        <v>0.02</v>
      </c>
      <c r="W97" s="566">
        <v>4.46</v>
      </c>
      <c r="X97" s="566"/>
      <c r="Y97" s="566"/>
      <c r="Z97" s="566">
        <v>4.33</v>
      </c>
      <c r="AA97" s="565">
        <f t="shared" si="22"/>
        <v>4.18</v>
      </c>
      <c r="AB97" s="566">
        <v>2.68</v>
      </c>
      <c r="AC97" s="566"/>
      <c r="AD97" s="566"/>
      <c r="AE97" s="566"/>
      <c r="AF97" s="566">
        <v>1.5</v>
      </c>
      <c r="AG97" s="565">
        <f t="shared" si="23"/>
        <v>8.12772</v>
      </c>
      <c r="AH97" s="566">
        <f t="shared" si="24"/>
        <v>3.0384</v>
      </c>
      <c r="AI97" s="566">
        <f t="shared" si="25"/>
        <v>1.5192</v>
      </c>
      <c r="AJ97" s="566">
        <f t="shared" si="26"/>
        <v>1.1394</v>
      </c>
      <c r="AK97" s="566">
        <f t="shared" si="27"/>
        <v>0.03798</v>
      </c>
      <c r="AL97" s="566">
        <f t="shared" si="28"/>
        <v>0.11394</v>
      </c>
      <c r="AM97" s="566">
        <f t="shared" si="29"/>
        <v>2.2788</v>
      </c>
      <c r="AN97" s="566"/>
      <c r="AO97" s="304"/>
    </row>
    <row r="98" s="131" customFormat="1" ht="24" spans="1:41">
      <c r="A98" s="1" t="s">
        <v>202</v>
      </c>
      <c r="B98" s="1" t="s">
        <v>206</v>
      </c>
      <c r="C98" s="1" t="s">
        <v>329</v>
      </c>
      <c r="D98" s="1" t="s">
        <v>328</v>
      </c>
      <c r="E98" s="565">
        <f t="shared" si="16"/>
        <v>31.18832</v>
      </c>
      <c r="F98" s="566">
        <f t="shared" si="17"/>
        <v>0</v>
      </c>
      <c r="G98" s="566">
        <f t="shared" si="18"/>
        <v>0</v>
      </c>
      <c r="H98" s="566"/>
      <c r="I98" s="566"/>
      <c r="J98" s="566"/>
      <c r="K98" s="566"/>
      <c r="L98" s="566"/>
      <c r="M98" s="566"/>
      <c r="N98" s="565">
        <f t="shared" si="19"/>
        <v>0</v>
      </c>
      <c r="O98" s="566"/>
      <c r="P98" s="566"/>
      <c r="Q98" s="566"/>
      <c r="R98" s="566"/>
      <c r="S98" s="565">
        <f t="shared" si="20"/>
        <v>23.51</v>
      </c>
      <c r="T98" s="566">
        <f t="shared" si="21"/>
        <v>19.45</v>
      </c>
      <c r="U98" s="566">
        <v>11.11</v>
      </c>
      <c r="V98" s="566"/>
      <c r="W98" s="566">
        <v>4.27</v>
      </c>
      <c r="X98" s="566"/>
      <c r="Y98" s="566"/>
      <c r="Z98" s="566">
        <v>4.07</v>
      </c>
      <c r="AA98" s="565">
        <f t="shared" si="22"/>
        <v>4.06</v>
      </c>
      <c r="AB98" s="566">
        <v>2.56</v>
      </c>
      <c r="AC98" s="566"/>
      <c r="AD98" s="566"/>
      <c r="AE98" s="566"/>
      <c r="AF98" s="566">
        <v>1.5</v>
      </c>
      <c r="AG98" s="565">
        <f t="shared" si="23"/>
        <v>7.67832</v>
      </c>
      <c r="AH98" s="566">
        <f t="shared" si="24"/>
        <v>2.8704</v>
      </c>
      <c r="AI98" s="566">
        <f t="shared" si="25"/>
        <v>1.4352</v>
      </c>
      <c r="AJ98" s="566">
        <f t="shared" si="26"/>
        <v>1.0764</v>
      </c>
      <c r="AK98" s="566">
        <f t="shared" si="27"/>
        <v>0.03588</v>
      </c>
      <c r="AL98" s="566">
        <f t="shared" si="28"/>
        <v>0.10764</v>
      </c>
      <c r="AM98" s="566">
        <f t="shared" si="29"/>
        <v>2.1528</v>
      </c>
      <c r="AN98" s="566"/>
      <c r="AO98" s="304"/>
    </row>
    <row r="99" s="131" customFormat="1" ht="24" spans="1:41">
      <c r="A99" s="1" t="s">
        <v>202</v>
      </c>
      <c r="B99" s="1" t="s">
        <v>206</v>
      </c>
      <c r="C99" s="1" t="s">
        <v>330</v>
      </c>
      <c r="D99" s="1" t="s">
        <v>328</v>
      </c>
      <c r="E99" s="565">
        <f t="shared" si="16"/>
        <v>33.56312</v>
      </c>
      <c r="F99" s="566">
        <f t="shared" si="17"/>
        <v>0</v>
      </c>
      <c r="G99" s="566">
        <f t="shared" si="18"/>
        <v>0</v>
      </c>
      <c r="H99" s="566"/>
      <c r="I99" s="566"/>
      <c r="J99" s="566"/>
      <c r="K99" s="566"/>
      <c r="L99" s="566"/>
      <c r="M99" s="566"/>
      <c r="N99" s="565">
        <f t="shared" si="19"/>
        <v>0</v>
      </c>
      <c r="O99" s="566"/>
      <c r="P99" s="566"/>
      <c r="Q99" s="566"/>
      <c r="R99" s="566"/>
      <c r="S99" s="565">
        <f t="shared" si="20"/>
        <v>25.2</v>
      </c>
      <c r="T99" s="566">
        <f t="shared" si="21"/>
        <v>21.14</v>
      </c>
      <c r="U99" s="566">
        <v>12.71</v>
      </c>
      <c r="V99" s="566"/>
      <c r="W99" s="566">
        <v>4.27</v>
      </c>
      <c r="X99" s="566"/>
      <c r="Y99" s="566"/>
      <c r="Z99" s="566">
        <v>4.16</v>
      </c>
      <c r="AA99" s="565">
        <f t="shared" si="22"/>
        <v>4.06</v>
      </c>
      <c r="AB99" s="566">
        <v>2.56</v>
      </c>
      <c r="AC99" s="566"/>
      <c r="AD99" s="566"/>
      <c r="AE99" s="566"/>
      <c r="AF99" s="566">
        <v>1.5</v>
      </c>
      <c r="AG99" s="565">
        <f t="shared" si="23"/>
        <v>8.36312</v>
      </c>
      <c r="AH99" s="566">
        <f t="shared" si="24"/>
        <v>3.1264</v>
      </c>
      <c r="AI99" s="566">
        <f t="shared" si="25"/>
        <v>1.5632</v>
      </c>
      <c r="AJ99" s="566">
        <f t="shared" si="26"/>
        <v>1.1724</v>
      </c>
      <c r="AK99" s="566">
        <f t="shared" si="27"/>
        <v>0.03908</v>
      </c>
      <c r="AL99" s="566">
        <f t="shared" si="28"/>
        <v>0.11724</v>
      </c>
      <c r="AM99" s="566">
        <f t="shared" si="29"/>
        <v>2.3448</v>
      </c>
      <c r="AN99" s="566"/>
      <c r="AO99" s="304"/>
    </row>
    <row r="100" s="131" customFormat="1" ht="24" spans="1:41">
      <c r="A100" s="1" t="s">
        <v>215</v>
      </c>
      <c r="B100" s="1" t="s">
        <v>206</v>
      </c>
      <c r="C100" s="1" t="s">
        <v>331</v>
      </c>
      <c r="D100" s="1" t="s">
        <v>328</v>
      </c>
      <c r="E100" s="565">
        <f t="shared" si="16"/>
        <v>23.2519744</v>
      </c>
      <c r="F100" s="566">
        <f t="shared" si="17"/>
        <v>0</v>
      </c>
      <c r="G100" s="566">
        <f t="shared" si="18"/>
        <v>0</v>
      </c>
      <c r="H100" s="566"/>
      <c r="I100" s="566"/>
      <c r="J100" s="566"/>
      <c r="K100" s="566"/>
      <c r="L100" s="566"/>
      <c r="M100" s="566"/>
      <c r="N100" s="565">
        <f t="shared" si="19"/>
        <v>0</v>
      </c>
      <c r="O100" s="566"/>
      <c r="P100" s="566"/>
      <c r="Q100" s="566"/>
      <c r="R100" s="566"/>
      <c r="S100" s="565">
        <f t="shared" si="20"/>
        <v>17.4548</v>
      </c>
      <c r="T100" s="566">
        <f t="shared" si="21"/>
        <v>14.7048</v>
      </c>
      <c r="U100" s="567">
        <v>8.88</v>
      </c>
      <c r="V100" s="567"/>
      <c r="W100" s="567">
        <v>2.9148</v>
      </c>
      <c r="X100" s="566"/>
      <c r="Y100" s="566"/>
      <c r="Z100" s="566">
        <v>2.91</v>
      </c>
      <c r="AA100" s="565">
        <f t="shared" si="22"/>
        <v>2.75</v>
      </c>
      <c r="AB100" s="566">
        <v>1.75</v>
      </c>
      <c r="AC100" s="566"/>
      <c r="AD100" s="566"/>
      <c r="AE100" s="566"/>
      <c r="AF100" s="566">
        <v>1</v>
      </c>
      <c r="AG100" s="565">
        <f t="shared" si="23"/>
        <v>5.7971744</v>
      </c>
      <c r="AH100" s="566">
        <f t="shared" si="24"/>
        <v>2.167168</v>
      </c>
      <c r="AI100" s="566">
        <f t="shared" si="25"/>
        <v>1.083584</v>
      </c>
      <c r="AJ100" s="566">
        <f t="shared" si="26"/>
        <v>0.812688</v>
      </c>
      <c r="AK100" s="566">
        <f t="shared" si="27"/>
        <v>0.0270896</v>
      </c>
      <c r="AL100" s="566">
        <f t="shared" si="28"/>
        <v>0.0812688</v>
      </c>
      <c r="AM100" s="566">
        <f t="shared" si="29"/>
        <v>1.625376</v>
      </c>
      <c r="AN100" s="566"/>
      <c r="AO100" s="304"/>
    </row>
    <row r="101" s="131" customFormat="1" ht="24" spans="1:41">
      <c r="A101" s="1" t="s">
        <v>202</v>
      </c>
      <c r="B101" s="1" t="s">
        <v>203</v>
      </c>
      <c r="C101" s="1" t="s">
        <v>332</v>
      </c>
      <c r="D101" s="1" t="s">
        <v>333</v>
      </c>
      <c r="E101" s="565">
        <f t="shared" si="16"/>
        <v>495.31664</v>
      </c>
      <c r="F101" s="566">
        <f t="shared" si="17"/>
        <v>384.38</v>
      </c>
      <c r="G101" s="566">
        <f t="shared" si="18"/>
        <v>339.56</v>
      </c>
      <c r="H101" s="566">
        <v>128.96</v>
      </c>
      <c r="I101" s="566">
        <v>83.12</v>
      </c>
      <c r="J101" s="566">
        <v>10.75</v>
      </c>
      <c r="K101" s="566"/>
      <c r="L101" s="566">
        <v>1.44</v>
      </c>
      <c r="M101" s="566">
        <v>115.29</v>
      </c>
      <c r="N101" s="565">
        <f t="shared" si="19"/>
        <v>44.82</v>
      </c>
      <c r="O101" s="566">
        <v>10.17</v>
      </c>
      <c r="P101" s="566"/>
      <c r="Q101" s="566">
        <v>18.15</v>
      </c>
      <c r="R101" s="566">
        <v>16.5</v>
      </c>
      <c r="S101" s="565">
        <f t="shared" si="20"/>
        <v>0</v>
      </c>
      <c r="T101" s="566">
        <f t="shared" si="21"/>
        <v>0</v>
      </c>
      <c r="U101" s="566"/>
      <c r="V101" s="566"/>
      <c r="W101" s="566"/>
      <c r="X101" s="566"/>
      <c r="Y101" s="566"/>
      <c r="Z101" s="566"/>
      <c r="AA101" s="565">
        <f t="shared" si="22"/>
        <v>0</v>
      </c>
      <c r="AB101" s="566"/>
      <c r="AC101" s="566"/>
      <c r="AD101" s="566"/>
      <c r="AE101" s="566"/>
      <c r="AF101" s="566"/>
      <c r="AG101" s="565">
        <f t="shared" si="23"/>
        <v>110.93664</v>
      </c>
      <c r="AH101" s="566">
        <f t="shared" si="24"/>
        <v>54.0992</v>
      </c>
      <c r="AI101" s="566">
        <f t="shared" si="25"/>
        <v>16.9664</v>
      </c>
      <c r="AJ101" s="566">
        <f t="shared" si="26"/>
        <v>12.7248</v>
      </c>
      <c r="AK101" s="566">
        <f t="shared" si="27"/>
        <v>0.42416</v>
      </c>
      <c r="AL101" s="566">
        <f t="shared" si="28"/>
        <v>1.27248</v>
      </c>
      <c r="AM101" s="566">
        <f t="shared" si="29"/>
        <v>25.4496</v>
      </c>
      <c r="AN101" s="566"/>
      <c r="AO101" s="304"/>
    </row>
    <row r="102" s="131" customFormat="1" ht="24" spans="1:41">
      <c r="A102" s="1" t="s">
        <v>202</v>
      </c>
      <c r="B102" s="1" t="s">
        <v>203</v>
      </c>
      <c r="C102" s="1" t="s">
        <v>334</v>
      </c>
      <c r="D102" s="1" t="s">
        <v>333</v>
      </c>
      <c r="E102" s="565">
        <f t="shared" si="16"/>
        <v>33.6068</v>
      </c>
      <c r="F102" s="566">
        <f t="shared" si="17"/>
        <v>23.75</v>
      </c>
      <c r="G102" s="566">
        <f t="shared" si="18"/>
        <v>23.75</v>
      </c>
      <c r="H102" s="566">
        <v>13.86</v>
      </c>
      <c r="I102" s="566">
        <v>8.74</v>
      </c>
      <c r="J102" s="566">
        <v>1.15</v>
      </c>
      <c r="K102" s="566"/>
      <c r="L102" s="566"/>
      <c r="M102" s="566"/>
      <c r="N102" s="565">
        <f t="shared" si="19"/>
        <v>0</v>
      </c>
      <c r="O102" s="566"/>
      <c r="P102" s="566"/>
      <c r="Q102" s="566"/>
      <c r="R102" s="566"/>
      <c r="S102" s="565">
        <f t="shared" si="20"/>
        <v>0</v>
      </c>
      <c r="T102" s="566">
        <f t="shared" si="21"/>
        <v>0</v>
      </c>
      <c r="U102" s="566"/>
      <c r="V102" s="566"/>
      <c r="W102" s="566"/>
      <c r="X102" s="566"/>
      <c r="Y102" s="566"/>
      <c r="Z102" s="566"/>
      <c r="AA102" s="565">
        <f t="shared" si="22"/>
        <v>0</v>
      </c>
      <c r="AB102" s="566"/>
      <c r="AC102" s="566"/>
      <c r="AD102" s="566"/>
      <c r="AE102" s="566"/>
      <c r="AF102" s="566"/>
      <c r="AG102" s="565">
        <f t="shared" si="23"/>
        <v>9.8568</v>
      </c>
      <c r="AH102" s="566">
        <f t="shared" si="24"/>
        <v>3.8</v>
      </c>
      <c r="AI102" s="566">
        <f t="shared" si="25"/>
        <v>1.808</v>
      </c>
      <c r="AJ102" s="566">
        <f t="shared" si="26"/>
        <v>1.356</v>
      </c>
      <c r="AK102" s="566">
        <f t="shared" si="27"/>
        <v>0.0452</v>
      </c>
      <c r="AL102" s="566">
        <f t="shared" si="28"/>
        <v>0.1356</v>
      </c>
      <c r="AM102" s="566">
        <f t="shared" si="29"/>
        <v>2.712</v>
      </c>
      <c r="AN102" s="566"/>
      <c r="AO102" s="304"/>
    </row>
    <row r="103" s="131" customFormat="1" ht="24" spans="1:41">
      <c r="A103" s="1" t="s">
        <v>202</v>
      </c>
      <c r="B103" s="1" t="s">
        <v>203</v>
      </c>
      <c r="C103" s="1" t="s">
        <v>335</v>
      </c>
      <c r="D103" s="1" t="s">
        <v>333</v>
      </c>
      <c r="E103" s="565">
        <f t="shared" si="16"/>
        <v>111.8614</v>
      </c>
      <c r="F103" s="566">
        <f t="shared" si="17"/>
        <v>87.16</v>
      </c>
      <c r="G103" s="566">
        <f t="shared" si="18"/>
        <v>73.23</v>
      </c>
      <c r="H103" s="566">
        <v>30.26</v>
      </c>
      <c r="I103" s="566">
        <v>18.19</v>
      </c>
      <c r="J103" s="566">
        <v>2.52</v>
      </c>
      <c r="K103" s="566"/>
      <c r="L103" s="566"/>
      <c r="M103" s="566">
        <v>22.26</v>
      </c>
      <c r="N103" s="565">
        <f t="shared" si="19"/>
        <v>13.93</v>
      </c>
      <c r="O103" s="566">
        <v>7.63</v>
      </c>
      <c r="P103" s="566"/>
      <c r="Q103" s="566">
        <v>3.3</v>
      </c>
      <c r="R103" s="566">
        <v>3</v>
      </c>
      <c r="S103" s="565">
        <f t="shared" si="20"/>
        <v>0</v>
      </c>
      <c r="T103" s="566">
        <f t="shared" si="21"/>
        <v>0</v>
      </c>
      <c r="U103" s="566"/>
      <c r="V103" s="566"/>
      <c r="W103" s="566"/>
      <c r="X103" s="566"/>
      <c r="Y103" s="566"/>
      <c r="Z103" s="566"/>
      <c r="AA103" s="565">
        <f t="shared" si="22"/>
        <v>0</v>
      </c>
      <c r="AB103" s="566"/>
      <c r="AC103" s="566"/>
      <c r="AD103" s="566"/>
      <c r="AE103" s="566"/>
      <c r="AF103" s="566"/>
      <c r="AG103" s="565">
        <f t="shared" si="23"/>
        <v>24.7014</v>
      </c>
      <c r="AH103" s="566">
        <f t="shared" si="24"/>
        <v>11.7168</v>
      </c>
      <c r="AI103" s="566">
        <f t="shared" si="25"/>
        <v>3.876</v>
      </c>
      <c r="AJ103" s="566">
        <f t="shared" si="26"/>
        <v>2.907</v>
      </c>
      <c r="AK103" s="566">
        <f t="shared" si="27"/>
        <v>0.0969</v>
      </c>
      <c r="AL103" s="566">
        <f t="shared" si="28"/>
        <v>0.2907</v>
      </c>
      <c r="AM103" s="566">
        <f t="shared" si="29"/>
        <v>5.814</v>
      </c>
      <c r="AN103" s="566"/>
      <c r="AO103" s="304"/>
    </row>
    <row r="104" s="131" customFormat="1" ht="24" spans="1:41">
      <c r="A104" s="1" t="s">
        <v>202</v>
      </c>
      <c r="B104" s="1" t="s">
        <v>206</v>
      </c>
      <c r="C104" s="1" t="s">
        <v>336</v>
      </c>
      <c r="D104" s="1" t="s">
        <v>337</v>
      </c>
      <c r="E104" s="565">
        <f t="shared" si="16"/>
        <v>16.824</v>
      </c>
      <c r="F104" s="566"/>
      <c r="G104" s="566">
        <f t="shared" si="18"/>
        <v>0</v>
      </c>
      <c r="H104" s="566"/>
      <c r="I104" s="566"/>
      <c r="J104" s="566"/>
      <c r="K104" s="566"/>
      <c r="L104" s="566"/>
      <c r="M104" s="566"/>
      <c r="N104" s="565">
        <f t="shared" si="19"/>
        <v>0</v>
      </c>
      <c r="O104" s="566"/>
      <c r="P104" s="566"/>
      <c r="Q104" s="566"/>
      <c r="R104" s="566"/>
      <c r="S104" s="565">
        <f t="shared" si="20"/>
        <v>12.33</v>
      </c>
      <c r="T104" s="566">
        <f t="shared" si="21"/>
        <v>10.17</v>
      </c>
      <c r="U104" s="566">
        <v>6.07</v>
      </c>
      <c r="V104" s="566"/>
      <c r="W104" s="566">
        <v>2.77</v>
      </c>
      <c r="X104" s="566"/>
      <c r="Y104" s="566"/>
      <c r="Z104" s="566">
        <v>1.33</v>
      </c>
      <c r="AA104" s="565">
        <f t="shared" si="22"/>
        <v>2.16</v>
      </c>
      <c r="AB104" s="566">
        <v>1.66</v>
      </c>
      <c r="AC104" s="566"/>
      <c r="AD104" s="566"/>
      <c r="AE104" s="566"/>
      <c r="AF104" s="566">
        <v>0.5</v>
      </c>
      <c r="AG104" s="565">
        <f t="shared" si="23"/>
        <v>4.494</v>
      </c>
      <c r="AH104" s="566">
        <f t="shared" si="24"/>
        <v>1.68</v>
      </c>
      <c r="AI104" s="566">
        <f t="shared" si="25"/>
        <v>0.84</v>
      </c>
      <c r="AJ104" s="566">
        <f t="shared" si="26"/>
        <v>0.63</v>
      </c>
      <c r="AK104" s="566">
        <f t="shared" si="27"/>
        <v>0.021</v>
      </c>
      <c r="AL104" s="566">
        <f t="shared" si="28"/>
        <v>0.063</v>
      </c>
      <c r="AM104" s="566">
        <f t="shared" si="29"/>
        <v>1.26</v>
      </c>
      <c r="AN104" s="566"/>
      <c r="AO104" s="304"/>
    </row>
    <row r="105" s="131" customFormat="1" ht="24" spans="1:41">
      <c r="A105" s="1" t="s">
        <v>202</v>
      </c>
      <c r="B105" s="1" t="s">
        <v>203</v>
      </c>
      <c r="C105" s="1" t="s">
        <v>338</v>
      </c>
      <c r="D105" s="1" t="s">
        <v>333</v>
      </c>
      <c r="E105" s="565">
        <f t="shared" si="16"/>
        <v>75.59412</v>
      </c>
      <c r="F105" s="566">
        <f t="shared" ref="F105:F134" si="30">G105+N105</f>
        <v>60.29</v>
      </c>
      <c r="G105" s="566">
        <f t="shared" si="18"/>
        <v>45.92</v>
      </c>
      <c r="H105" s="566">
        <v>18.11</v>
      </c>
      <c r="I105" s="566">
        <v>11.58</v>
      </c>
      <c r="J105" s="566">
        <v>1.94</v>
      </c>
      <c r="K105" s="566"/>
      <c r="L105" s="566"/>
      <c r="M105" s="566">
        <v>14.29</v>
      </c>
      <c r="N105" s="565">
        <f t="shared" si="19"/>
        <v>14.37</v>
      </c>
      <c r="O105" s="566">
        <v>10.17</v>
      </c>
      <c r="P105" s="566"/>
      <c r="Q105" s="566">
        <v>2.2</v>
      </c>
      <c r="R105" s="566">
        <v>2</v>
      </c>
      <c r="S105" s="565">
        <f t="shared" si="20"/>
        <v>0</v>
      </c>
      <c r="T105" s="566">
        <f t="shared" si="21"/>
        <v>0</v>
      </c>
      <c r="U105" s="566"/>
      <c r="V105" s="566"/>
      <c r="W105" s="566"/>
      <c r="X105" s="566"/>
      <c r="Y105" s="566"/>
      <c r="Z105" s="566"/>
      <c r="AA105" s="565">
        <f t="shared" si="22"/>
        <v>0</v>
      </c>
      <c r="AB105" s="566"/>
      <c r="AC105" s="566"/>
      <c r="AD105" s="566"/>
      <c r="AE105" s="566"/>
      <c r="AF105" s="566"/>
      <c r="AG105" s="565">
        <f t="shared" si="23"/>
        <v>15.30412</v>
      </c>
      <c r="AH105" s="566">
        <f t="shared" si="24"/>
        <v>7.3472</v>
      </c>
      <c r="AI105" s="566">
        <f t="shared" si="25"/>
        <v>2.3752</v>
      </c>
      <c r="AJ105" s="566">
        <f t="shared" si="26"/>
        <v>1.7814</v>
      </c>
      <c r="AK105" s="566">
        <f t="shared" si="27"/>
        <v>0.05938</v>
      </c>
      <c r="AL105" s="566">
        <f t="shared" si="28"/>
        <v>0.17814</v>
      </c>
      <c r="AM105" s="566">
        <f t="shared" si="29"/>
        <v>3.5628</v>
      </c>
      <c r="AN105" s="566"/>
      <c r="AO105" s="304"/>
    </row>
    <row r="106" s="131" customFormat="1" ht="24" spans="1:41">
      <c r="A106" s="1" t="s">
        <v>202</v>
      </c>
      <c r="B106" s="1" t="s">
        <v>203</v>
      </c>
      <c r="C106" s="1" t="s">
        <v>339</v>
      </c>
      <c r="D106" s="1" t="s">
        <v>333</v>
      </c>
      <c r="E106" s="565">
        <f t="shared" si="16"/>
        <v>205.14208</v>
      </c>
      <c r="F106" s="566">
        <f t="shared" si="30"/>
        <v>161.01</v>
      </c>
      <c r="G106" s="566">
        <f t="shared" si="18"/>
        <v>138.84</v>
      </c>
      <c r="H106" s="566">
        <v>48.26</v>
      </c>
      <c r="I106" s="566">
        <v>40.4</v>
      </c>
      <c r="J106" s="566">
        <v>4.02</v>
      </c>
      <c r="K106" s="566"/>
      <c r="L106" s="566">
        <v>11.52</v>
      </c>
      <c r="M106" s="566">
        <v>34.64</v>
      </c>
      <c r="N106" s="565">
        <f t="shared" si="19"/>
        <v>22.17</v>
      </c>
      <c r="O106" s="566">
        <v>12.72</v>
      </c>
      <c r="P106" s="566"/>
      <c r="Q106" s="566">
        <v>4.95</v>
      </c>
      <c r="R106" s="566">
        <v>4.5</v>
      </c>
      <c r="S106" s="565">
        <f t="shared" si="20"/>
        <v>0</v>
      </c>
      <c r="T106" s="566">
        <f t="shared" si="21"/>
        <v>0</v>
      </c>
      <c r="U106" s="566"/>
      <c r="V106" s="566"/>
      <c r="W106" s="566"/>
      <c r="X106" s="566"/>
      <c r="Y106" s="566"/>
      <c r="Z106" s="566"/>
      <c r="AA106" s="565">
        <f t="shared" si="22"/>
        <v>0</v>
      </c>
      <c r="AB106" s="566"/>
      <c r="AC106" s="566"/>
      <c r="AD106" s="566"/>
      <c r="AE106" s="566"/>
      <c r="AF106" s="566"/>
      <c r="AG106" s="565">
        <f t="shared" si="23"/>
        <v>44.13208</v>
      </c>
      <c r="AH106" s="566">
        <f t="shared" si="24"/>
        <v>20.3712</v>
      </c>
      <c r="AI106" s="566">
        <f t="shared" si="25"/>
        <v>7.0928</v>
      </c>
      <c r="AJ106" s="566">
        <f t="shared" si="26"/>
        <v>5.3196</v>
      </c>
      <c r="AK106" s="566">
        <f t="shared" si="27"/>
        <v>0.17732</v>
      </c>
      <c r="AL106" s="566">
        <f t="shared" si="28"/>
        <v>0.53196</v>
      </c>
      <c r="AM106" s="566">
        <f t="shared" si="29"/>
        <v>10.6392</v>
      </c>
      <c r="AN106" s="566"/>
      <c r="AO106" s="304"/>
    </row>
    <row r="107" s="131" customFormat="1" ht="24" spans="1:41">
      <c r="A107" s="1" t="s">
        <v>202</v>
      </c>
      <c r="B107" s="1" t="s">
        <v>206</v>
      </c>
      <c r="C107" s="1" t="s">
        <v>340</v>
      </c>
      <c r="D107" s="1" t="s">
        <v>337</v>
      </c>
      <c r="E107" s="565">
        <f t="shared" si="16"/>
        <v>77.72584</v>
      </c>
      <c r="F107" s="566">
        <f t="shared" si="30"/>
        <v>0</v>
      </c>
      <c r="G107" s="566">
        <f t="shared" si="18"/>
        <v>0</v>
      </c>
      <c r="H107" s="566"/>
      <c r="I107" s="566"/>
      <c r="J107" s="566"/>
      <c r="K107" s="566"/>
      <c r="L107" s="566"/>
      <c r="M107" s="566"/>
      <c r="N107" s="565">
        <f t="shared" si="19"/>
        <v>0</v>
      </c>
      <c r="O107" s="566"/>
      <c r="P107" s="566"/>
      <c r="Q107" s="566"/>
      <c r="R107" s="566"/>
      <c r="S107" s="565">
        <f t="shared" si="20"/>
        <v>63.91</v>
      </c>
      <c r="T107" s="566">
        <f t="shared" si="21"/>
        <v>50.5</v>
      </c>
      <c r="U107" s="566">
        <v>19.18</v>
      </c>
      <c r="V107" s="566"/>
      <c r="W107" s="566">
        <v>8.19</v>
      </c>
      <c r="X107" s="566"/>
      <c r="Y107" s="566"/>
      <c r="Z107" s="566">
        <v>23.13</v>
      </c>
      <c r="AA107" s="565">
        <f t="shared" si="22"/>
        <v>13.41</v>
      </c>
      <c r="AB107" s="566">
        <v>4.91</v>
      </c>
      <c r="AC107" s="566"/>
      <c r="AD107" s="566"/>
      <c r="AE107" s="566"/>
      <c r="AF107" s="566">
        <v>8.5</v>
      </c>
      <c r="AG107" s="565">
        <f t="shared" si="23"/>
        <v>13.81584</v>
      </c>
      <c r="AH107" s="566">
        <f t="shared" si="24"/>
        <v>5.1648</v>
      </c>
      <c r="AI107" s="566">
        <f t="shared" si="25"/>
        <v>2.5824</v>
      </c>
      <c r="AJ107" s="566">
        <f t="shared" si="26"/>
        <v>1.9368</v>
      </c>
      <c r="AK107" s="566">
        <f t="shared" si="27"/>
        <v>0.06456</v>
      </c>
      <c r="AL107" s="566">
        <f t="shared" si="28"/>
        <v>0.19368</v>
      </c>
      <c r="AM107" s="566">
        <f t="shared" si="29"/>
        <v>3.8736</v>
      </c>
      <c r="AN107" s="566"/>
      <c r="AO107" s="304"/>
    </row>
    <row r="108" s="131" customFormat="1" ht="24" spans="1:41">
      <c r="A108" s="1" t="s">
        <v>202</v>
      </c>
      <c r="B108" s="1" t="s">
        <v>206</v>
      </c>
      <c r="C108" s="1" t="s">
        <v>341</v>
      </c>
      <c r="D108" s="1" t="s">
        <v>337</v>
      </c>
      <c r="E108" s="565">
        <f t="shared" si="16"/>
        <v>13.93728</v>
      </c>
      <c r="F108" s="566">
        <f t="shared" si="30"/>
        <v>0</v>
      </c>
      <c r="G108" s="566">
        <f t="shared" si="18"/>
        <v>0</v>
      </c>
      <c r="H108" s="566"/>
      <c r="I108" s="566"/>
      <c r="J108" s="566"/>
      <c r="K108" s="566"/>
      <c r="L108" s="566"/>
      <c r="M108" s="566"/>
      <c r="N108" s="565">
        <f t="shared" si="19"/>
        <v>0</v>
      </c>
      <c r="O108" s="566"/>
      <c r="P108" s="566"/>
      <c r="Q108" s="566"/>
      <c r="R108" s="566"/>
      <c r="S108" s="565">
        <f t="shared" si="20"/>
        <v>9.76</v>
      </c>
      <c r="T108" s="566">
        <f t="shared" si="21"/>
        <v>8.3</v>
      </c>
      <c r="U108" s="566">
        <v>5.87</v>
      </c>
      <c r="V108" s="566"/>
      <c r="W108" s="566">
        <v>2.43</v>
      </c>
      <c r="X108" s="566"/>
      <c r="Y108" s="566"/>
      <c r="Z108" s="566"/>
      <c r="AA108" s="565">
        <f t="shared" si="22"/>
        <v>1.46</v>
      </c>
      <c r="AB108" s="566">
        <v>1.46</v>
      </c>
      <c r="AC108" s="566"/>
      <c r="AD108" s="566"/>
      <c r="AE108" s="566"/>
      <c r="AF108" s="566"/>
      <c r="AG108" s="565">
        <f t="shared" si="23"/>
        <v>4.17728</v>
      </c>
      <c r="AH108" s="566">
        <f t="shared" si="24"/>
        <v>1.5616</v>
      </c>
      <c r="AI108" s="566">
        <f t="shared" si="25"/>
        <v>0.7808</v>
      </c>
      <c r="AJ108" s="566">
        <f t="shared" si="26"/>
        <v>0.5856</v>
      </c>
      <c r="AK108" s="566">
        <f t="shared" si="27"/>
        <v>0.01952</v>
      </c>
      <c r="AL108" s="566">
        <f t="shared" si="28"/>
        <v>0.05856</v>
      </c>
      <c r="AM108" s="566">
        <f t="shared" si="29"/>
        <v>1.1712</v>
      </c>
      <c r="AN108" s="566"/>
      <c r="AO108" s="304"/>
    </row>
    <row r="109" s="131" customFormat="1" ht="24" spans="1:41">
      <c r="A109" s="1" t="s">
        <v>202</v>
      </c>
      <c r="B109" s="1" t="s">
        <v>206</v>
      </c>
      <c r="C109" s="1" t="s">
        <v>342</v>
      </c>
      <c r="D109" s="1" t="s">
        <v>337</v>
      </c>
      <c r="E109" s="565">
        <f t="shared" si="16"/>
        <v>26.90352</v>
      </c>
      <c r="F109" s="566">
        <f t="shared" si="30"/>
        <v>0</v>
      </c>
      <c r="G109" s="566">
        <f t="shared" si="18"/>
        <v>0</v>
      </c>
      <c r="H109" s="566"/>
      <c r="I109" s="566"/>
      <c r="J109" s="566"/>
      <c r="K109" s="566"/>
      <c r="L109" s="566"/>
      <c r="M109" s="566"/>
      <c r="N109" s="565">
        <f t="shared" si="19"/>
        <v>0</v>
      </c>
      <c r="O109" s="566"/>
      <c r="P109" s="566"/>
      <c r="Q109" s="566"/>
      <c r="R109" s="566"/>
      <c r="S109" s="565">
        <f t="shared" si="20"/>
        <v>18.84</v>
      </c>
      <c r="T109" s="566">
        <f t="shared" si="21"/>
        <v>16.17</v>
      </c>
      <c r="U109" s="566">
        <v>11.71</v>
      </c>
      <c r="V109" s="566"/>
      <c r="W109" s="566">
        <v>4.46</v>
      </c>
      <c r="X109" s="566"/>
      <c r="Y109" s="566"/>
      <c r="Z109" s="566"/>
      <c r="AA109" s="565">
        <f t="shared" si="22"/>
        <v>2.67</v>
      </c>
      <c r="AB109" s="566">
        <v>2.67</v>
      </c>
      <c r="AC109" s="566"/>
      <c r="AD109" s="566"/>
      <c r="AE109" s="566"/>
      <c r="AF109" s="566"/>
      <c r="AG109" s="565">
        <f t="shared" si="23"/>
        <v>8.06352</v>
      </c>
      <c r="AH109" s="566">
        <f t="shared" si="24"/>
        <v>3.0144</v>
      </c>
      <c r="AI109" s="566">
        <f t="shared" si="25"/>
        <v>1.5072</v>
      </c>
      <c r="AJ109" s="566">
        <f t="shared" si="26"/>
        <v>1.1304</v>
      </c>
      <c r="AK109" s="566">
        <f t="shared" si="27"/>
        <v>0.03768</v>
      </c>
      <c r="AL109" s="566">
        <f t="shared" si="28"/>
        <v>0.11304</v>
      </c>
      <c r="AM109" s="566">
        <f t="shared" si="29"/>
        <v>2.2608</v>
      </c>
      <c r="AN109" s="566"/>
      <c r="AO109" s="304"/>
    </row>
    <row r="110" s="131" customFormat="1" ht="24" spans="1:41">
      <c r="A110" s="1" t="s">
        <v>202</v>
      </c>
      <c r="B110" s="1" t="s">
        <v>206</v>
      </c>
      <c r="C110" s="1" t="s">
        <v>343</v>
      </c>
      <c r="D110" s="1" t="s">
        <v>337</v>
      </c>
      <c r="E110" s="565">
        <f t="shared" si="16"/>
        <v>19.23564</v>
      </c>
      <c r="F110" s="566">
        <f t="shared" si="30"/>
        <v>0</v>
      </c>
      <c r="G110" s="566">
        <f t="shared" si="18"/>
        <v>0</v>
      </c>
      <c r="H110" s="566"/>
      <c r="I110" s="566"/>
      <c r="J110" s="566"/>
      <c r="K110" s="566"/>
      <c r="L110" s="566"/>
      <c r="M110" s="566"/>
      <c r="N110" s="565">
        <f t="shared" si="19"/>
        <v>0</v>
      </c>
      <c r="O110" s="566"/>
      <c r="P110" s="566"/>
      <c r="Q110" s="566"/>
      <c r="R110" s="566"/>
      <c r="S110" s="565">
        <f t="shared" si="20"/>
        <v>13.83</v>
      </c>
      <c r="T110" s="566">
        <f t="shared" si="21"/>
        <v>12.09</v>
      </c>
      <c r="U110" s="566">
        <v>7.99</v>
      </c>
      <c r="V110" s="566"/>
      <c r="W110" s="566">
        <v>2.9</v>
      </c>
      <c r="X110" s="566"/>
      <c r="Y110" s="566">
        <v>1.2</v>
      </c>
      <c r="Z110" s="566"/>
      <c r="AA110" s="565">
        <f t="shared" si="22"/>
        <v>1.74</v>
      </c>
      <c r="AB110" s="566">
        <v>1.74</v>
      </c>
      <c r="AC110" s="566"/>
      <c r="AD110" s="566"/>
      <c r="AE110" s="566"/>
      <c r="AF110" s="566"/>
      <c r="AG110" s="565">
        <f t="shared" si="23"/>
        <v>5.40564</v>
      </c>
      <c r="AH110" s="566">
        <f t="shared" si="24"/>
        <v>2.0208</v>
      </c>
      <c r="AI110" s="566">
        <f t="shared" si="25"/>
        <v>1.0104</v>
      </c>
      <c r="AJ110" s="566">
        <f t="shared" si="26"/>
        <v>0.7578</v>
      </c>
      <c r="AK110" s="566">
        <f t="shared" si="27"/>
        <v>0.02526</v>
      </c>
      <c r="AL110" s="566">
        <f t="shared" si="28"/>
        <v>0.07578</v>
      </c>
      <c r="AM110" s="566">
        <f t="shared" si="29"/>
        <v>1.5156</v>
      </c>
      <c r="AN110" s="566"/>
      <c r="AO110" s="304"/>
    </row>
    <row r="111" s="131" customFormat="1" ht="24" spans="1:41">
      <c r="A111" s="1" t="s">
        <v>202</v>
      </c>
      <c r="B111" s="1" t="s">
        <v>206</v>
      </c>
      <c r="C111" s="1" t="s">
        <v>344</v>
      </c>
      <c r="D111" s="1" t="s">
        <v>337</v>
      </c>
      <c r="E111" s="565">
        <f t="shared" si="16"/>
        <v>32.00148</v>
      </c>
      <c r="F111" s="566">
        <f t="shared" si="30"/>
        <v>0</v>
      </c>
      <c r="G111" s="566">
        <f t="shared" si="18"/>
        <v>0</v>
      </c>
      <c r="H111" s="566"/>
      <c r="I111" s="566"/>
      <c r="J111" s="566"/>
      <c r="K111" s="566"/>
      <c r="L111" s="566"/>
      <c r="M111" s="566"/>
      <c r="N111" s="565">
        <f t="shared" si="19"/>
        <v>0</v>
      </c>
      <c r="O111" s="566"/>
      <c r="P111" s="566"/>
      <c r="Q111" s="566"/>
      <c r="R111" s="566"/>
      <c r="S111" s="565">
        <f t="shared" si="20"/>
        <v>22.41</v>
      </c>
      <c r="T111" s="566">
        <f t="shared" si="21"/>
        <v>18.98</v>
      </c>
      <c r="U111" s="566">
        <v>13.26</v>
      </c>
      <c r="V111" s="566"/>
      <c r="W111" s="566">
        <v>5.72</v>
      </c>
      <c r="X111" s="566"/>
      <c r="Y111" s="566"/>
      <c r="Z111" s="566"/>
      <c r="AA111" s="565">
        <f t="shared" si="22"/>
        <v>3.43</v>
      </c>
      <c r="AB111" s="566">
        <v>3.43</v>
      </c>
      <c r="AC111" s="566"/>
      <c r="AD111" s="566"/>
      <c r="AE111" s="566"/>
      <c r="AF111" s="566"/>
      <c r="AG111" s="565">
        <f t="shared" si="23"/>
        <v>9.59148</v>
      </c>
      <c r="AH111" s="566">
        <f t="shared" si="24"/>
        <v>3.5856</v>
      </c>
      <c r="AI111" s="566">
        <f t="shared" si="25"/>
        <v>1.7928</v>
      </c>
      <c r="AJ111" s="566">
        <f t="shared" si="26"/>
        <v>1.3446</v>
      </c>
      <c r="AK111" s="566">
        <f t="shared" si="27"/>
        <v>0.04482</v>
      </c>
      <c r="AL111" s="566">
        <f t="shared" si="28"/>
        <v>0.13446</v>
      </c>
      <c r="AM111" s="566">
        <f t="shared" si="29"/>
        <v>2.6892</v>
      </c>
      <c r="AN111" s="566"/>
      <c r="AO111" s="304"/>
    </row>
    <row r="112" s="131" customFormat="1" ht="24" spans="1:41">
      <c r="A112" s="1" t="s">
        <v>202</v>
      </c>
      <c r="B112" s="1" t="s">
        <v>206</v>
      </c>
      <c r="C112" s="1" t="s">
        <v>345</v>
      </c>
      <c r="D112" s="1" t="s">
        <v>337</v>
      </c>
      <c r="E112" s="565">
        <f t="shared" si="16"/>
        <v>46.021</v>
      </c>
      <c r="F112" s="566">
        <f t="shared" si="30"/>
        <v>0</v>
      </c>
      <c r="G112" s="566">
        <f t="shared" si="18"/>
        <v>0</v>
      </c>
      <c r="H112" s="566"/>
      <c r="I112" s="566"/>
      <c r="J112" s="566"/>
      <c r="K112" s="566"/>
      <c r="L112" s="566"/>
      <c r="M112" s="566"/>
      <c r="N112" s="565">
        <f t="shared" si="19"/>
        <v>0</v>
      </c>
      <c r="O112" s="566"/>
      <c r="P112" s="566"/>
      <c r="Q112" s="566"/>
      <c r="R112" s="566"/>
      <c r="S112" s="565">
        <f t="shared" si="20"/>
        <v>36.07</v>
      </c>
      <c r="T112" s="566">
        <f t="shared" si="21"/>
        <v>29.25</v>
      </c>
      <c r="U112" s="566">
        <v>14.39</v>
      </c>
      <c r="V112" s="566"/>
      <c r="W112" s="566">
        <v>5.54</v>
      </c>
      <c r="X112" s="566"/>
      <c r="Y112" s="566"/>
      <c r="Z112" s="566">
        <v>9.32</v>
      </c>
      <c r="AA112" s="565">
        <f t="shared" si="22"/>
        <v>6.82</v>
      </c>
      <c r="AB112" s="566">
        <v>3.32</v>
      </c>
      <c r="AC112" s="566"/>
      <c r="AD112" s="566"/>
      <c r="AE112" s="566"/>
      <c r="AF112" s="566">
        <v>3.5</v>
      </c>
      <c r="AG112" s="565">
        <f t="shared" si="23"/>
        <v>9.951</v>
      </c>
      <c r="AH112" s="566">
        <f t="shared" si="24"/>
        <v>3.72</v>
      </c>
      <c r="AI112" s="566">
        <f t="shared" si="25"/>
        <v>1.86</v>
      </c>
      <c r="AJ112" s="566">
        <f t="shared" si="26"/>
        <v>1.395</v>
      </c>
      <c r="AK112" s="566">
        <f t="shared" si="27"/>
        <v>0.0465</v>
      </c>
      <c r="AL112" s="566">
        <f t="shared" si="28"/>
        <v>0.1395</v>
      </c>
      <c r="AM112" s="566">
        <f t="shared" si="29"/>
        <v>2.79</v>
      </c>
      <c r="AN112" s="566"/>
      <c r="AO112" s="304"/>
    </row>
    <row r="113" s="131" customFormat="1" ht="24" spans="1:41">
      <c r="A113" s="1" t="s">
        <v>202</v>
      </c>
      <c r="B113" s="1" t="s">
        <v>206</v>
      </c>
      <c r="C113" s="1" t="s">
        <v>346</v>
      </c>
      <c r="D113" s="1" t="s">
        <v>337</v>
      </c>
      <c r="E113" s="565">
        <f t="shared" si="16"/>
        <v>26.64648</v>
      </c>
      <c r="F113" s="566">
        <f t="shared" si="30"/>
        <v>0</v>
      </c>
      <c r="G113" s="566">
        <f t="shared" si="18"/>
        <v>0</v>
      </c>
      <c r="H113" s="566"/>
      <c r="I113" s="566"/>
      <c r="J113" s="566"/>
      <c r="K113" s="566"/>
      <c r="L113" s="566"/>
      <c r="M113" s="566"/>
      <c r="N113" s="565">
        <f t="shared" si="19"/>
        <v>0</v>
      </c>
      <c r="O113" s="566"/>
      <c r="P113" s="566"/>
      <c r="Q113" s="566"/>
      <c r="R113" s="566"/>
      <c r="S113" s="565">
        <f t="shared" si="20"/>
        <v>18.66</v>
      </c>
      <c r="T113" s="566">
        <f t="shared" si="21"/>
        <v>16.05</v>
      </c>
      <c r="U113" s="566">
        <v>11.7</v>
      </c>
      <c r="V113" s="566"/>
      <c r="W113" s="566">
        <v>4.35</v>
      </c>
      <c r="X113" s="566"/>
      <c r="Y113" s="566"/>
      <c r="Z113" s="566"/>
      <c r="AA113" s="565">
        <f t="shared" si="22"/>
        <v>2.61</v>
      </c>
      <c r="AB113" s="566">
        <v>2.61</v>
      </c>
      <c r="AC113" s="566"/>
      <c r="AD113" s="566"/>
      <c r="AE113" s="566"/>
      <c r="AF113" s="566"/>
      <c r="AG113" s="565">
        <f t="shared" si="23"/>
        <v>7.98648</v>
      </c>
      <c r="AH113" s="566">
        <f t="shared" si="24"/>
        <v>2.9856</v>
      </c>
      <c r="AI113" s="566">
        <f t="shared" si="25"/>
        <v>1.4928</v>
      </c>
      <c r="AJ113" s="566">
        <f t="shared" si="26"/>
        <v>1.1196</v>
      </c>
      <c r="AK113" s="566">
        <f t="shared" si="27"/>
        <v>0.03732</v>
      </c>
      <c r="AL113" s="566">
        <f t="shared" si="28"/>
        <v>0.11196</v>
      </c>
      <c r="AM113" s="566">
        <f t="shared" si="29"/>
        <v>2.2392</v>
      </c>
      <c r="AN113" s="566"/>
      <c r="AO113" s="304"/>
    </row>
    <row r="114" s="131" customFormat="1" ht="24" spans="1:41">
      <c r="A114" s="1" t="s">
        <v>202</v>
      </c>
      <c r="B114" s="1" t="s">
        <v>206</v>
      </c>
      <c r="C114" s="1" t="s">
        <v>347</v>
      </c>
      <c r="D114" s="1" t="s">
        <v>337</v>
      </c>
      <c r="E114" s="565">
        <f t="shared" si="16"/>
        <v>105.0488</v>
      </c>
      <c r="F114" s="566">
        <f t="shared" si="30"/>
        <v>0</v>
      </c>
      <c r="G114" s="566">
        <f t="shared" si="18"/>
        <v>0</v>
      </c>
      <c r="H114" s="566"/>
      <c r="I114" s="566"/>
      <c r="J114" s="566"/>
      <c r="K114" s="566"/>
      <c r="L114" s="566"/>
      <c r="M114" s="566"/>
      <c r="N114" s="565">
        <f t="shared" si="19"/>
        <v>0</v>
      </c>
      <c r="O114" s="566"/>
      <c r="P114" s="566"/>
      <c r="Q114" s="566"/>
      <c r="R114" s="566"/>
      <c r="S114" s="565">
        <f t="shared" si="20"/>
        <v>79.54</v>
      </c>
      <c r="T114" s="566">
        <f t="shared" si="21"/>
        <v>64.52</v>
      </c>
      <c r="U114" s="566">
        <v>37.22</v>
      </c>
      <c r="V114" s="566"/>
      <c r="W114" s="566">
        <v>13.99</v>
      </c>
      <c r="X114" s="566"/>
      <c r="Y114" s="566"/>
      <c r="Z114" s="566">
        <v>13.31</v>
      </c>
      <c r="AA114" s="565">
        <f t="shared" si="22"/>
        <v>15.02</v>
      </c>
      <c r="AB114" s="566">
        <v>8.39</v>
      </c>
      <c r="AC114" s="566"/>
      <c r="AD114" s="566"/>
      <c r="AE114" s="566">
        <v>1.63</v>
      </c>
      <c r="AF114" s="566">
        <v>5</v>
      </c>
      <c r="AG114" s="565">
        <f t="shared" si="23"/>
        <v>25.5088</v>
      </c>
      <c r="AH114" s="566">
        <f t="shared" si="24"/>
        <v>9.536</v>
      </c>
      <c r="AI114" s="566">
        <f t="shared" si="25"/>
        <v>4.768</v>
      </c>
      <c r="AJ114" s="566">
        <f t="shared" si="26"/>
        <v>3.576</v>
      </c>
      <c r="AK114" s="566">
        <f t="shared" si="27"/>
        <v>0.1192</v>
      </c>
      <c r="AL114" s="566">
        <f t="shared" si="28"/>
        <v>0.3576</v>
      </c>
      <c r="AM114" s="566">
        <f t="shared" si="29"/>
        <v>7.152</v>
      </c>
      <c r="AN114" s="566"/>
      <c r="AO114" s="304" t="s">
        <v>348</v>
      </c>
    </row>
    <row r="115" s="131" customFormat="1" ht="24" spans="1:41">
      <c r="A115" s="1" t="s">
        <v>202</v>
      </c>
      <c r="B115" s="1" t="s">
        <v>203</v>
      </c>
      <c r="C115" s="1" t="s">
        <v>349</v>
      </c>
      <c r="D115" s="1" t="s">
        <v>350</v>
      </c>
      <c r="E115" s="565">
        <f t="shared" si="16"/>
        <v>226.61136</v>
      </c>
      <c r="F115" s="566">
        <f t="shared" si="30"/>
        <v>176.97</v>
      </c>
      <c r="G115" s="566">
        <f t="shared" si="18"/>
        <v>156.58</v>
      </c>
      <c r="H115" s="566">
        <v>55.15</v>
      </c>
      <c r="I115" s="566">
        <v>37.07</v>
      </c>
      <c r="J115" s="566">
        <v>4.6</v>
      </c>
      <c r="K115" s="566"/>
      <c r="L115" s="566">
        <v>0.79</v>
      </c>
      <c r="M115" s="566">
        <v>58.97</v>
      </c>
      <c r="N115" s="565">
        <f t="shared" si="19"/>
        <v>20.39</v>
      </c>
      <c r="O115" s="566">
        <v>2.54</v>
      </c>
      <c r="P115" s="566"/>
      <c r="Q115" s="566">
        <v>9.35</v>
      </c>
      <c r="R115" s="566">
        <v>8.5</v>
      </c>
      <c r="S115" s="565">
        <f t="shared" si="20"/>
        <v>0</v>
      </c>
      <c r="T115" s="566">
        <f t="shared" si="21"/>
        <v>0</v>
      </c>
      <c r="U115" s="566"/>
      <c r="V115" s="566"/>
      <c r="W115" s="566"/>
      <c r="X115" s="566"/>
      <c r="Y115" s="566"/>
      <c r="Z115" s="566"/>
      <c r="AA115" s="565">
        <f t="shared" si="22"/>
        <v>0</v>
      </c>
      <c r="AB115" s="566"/>
      <c r="AC115" s="566"/>
      <c r="AD115" s="566"/>
      <c r="AE115" s="566"/>
      <c r="AF115" s="566"/>
      <c r="AG115" s="565">
        <f t="shared" si="23"/>
        <v>49.64136</v>
      </c>
      <c r="AH115" s="566">
        <f t="shared" si="24"/>
        <v>24.9264</v>
      </c>
      <c r="AI115" s="566">
        <f t="shared" si="25"/>
        <v>7.3776</v>
      </c>
      <c r="AJ115" s="566">
        <f t="shared" si="26"/>
        <v>5.5332</v>
      </c>
      <c r="AK115" s="566">
        <f t="shared" si="27"/>
        <v>0.18444</v>
      </c>
      <c r="AL115" s="566">
        <f t="shared" si="28"/>
        <v>0.55332</v>
      </c>
      <c r="AM115" s="566">
        <f t="shared" si="29"/>
        <v>11.0664</v>
      </c>
      <c r="AN115" s="566"/>
      <c r="AO115" s="304"/>
    </row>
    <row r="116" s="131" customFormat="1" ht="24" spans="1:41">
      <c r="A116" s="1" t="s">
        <v>202</v>
      </c>
      <c r="B116" s="1" t="s">
        <v>203</v>
      </c>
      <c r="C116" s="1" t="s">
        <v>351</v>
      </c>
      <c r="D116" s="1" t="s">
        <v>350</v>
      </c>
      <c r="E116" s="565">
        <f t="shared" si="16"/>
        <v>39.38152</v>
      </c>
      <c r="F116" s="566">
        <f t="shared" si="30"/>
        <v>27.9</v>
      </c>
      <c r="G116" s="566">
        <f t="shared" si="18"/>
        <v>27.9</v>
      </c>
      <c r="H116" s="566">
        <v>15.62</v>
      </c>
      <c r="I116" s="566">
        <v>10.72</v>
      </c>
      <c r="J116" s="566">
        <v>1.3</v>
      </c>
      <c r="K116" s="566"/>
      <c r="L116" s="566">
        <v>0.26</v>
      </c>
      <c r="M116" s="566"/>
      <c r="N116" s="565">
        <f t="shared" si="19"/>
        <v>0</v>
      </c>
      <c r="O116" s="566"/>
      <c r="P116" s="566"/>
      <c r="Q116" s="566"/>
      <c r="R116" s="566"/>
      <c r="S116" s="565">
        <f t="shared" si="20"/>
        <v>0</v>
      </c>
      <c r="T116" s="566">
        <f t="shared" si="21"/>
        <v>0</v>
      </c>
      <c r="U116" s="566"/>
      <c r="V116" s="566"/>
      <c r="W116" s="566"/>
      <c r="X116" s="566"/>
      <c r="Y116" s="566"/>
      <c r="Z116" s="566"/>
      <c r="AA116" s="565">
        <f t="shared" si="22"/>
        <v>0</v>
      </c>
      <c r="AB116" s="566"/>
      <c r="AC116" s="566"/>
      <c r="AD116" s="566"/>
      <c r="AE116" s="566"/>
      <c r="AF116" s="566"/>
      <c r="AG116" s="565">
        <f t="shared" si="23"/>
        <v>11.48152</v>
      </c>
      <c r="AH116" s="566">
        <f t="shared" si="24"/>
        <v>4.4224</v>
      </c>
      <c r="AI116" s="566">
        <f t="shared" si="25"/>
        <v>2.1072</v>
      </c>
      <c r="AJ116" s="566">
        <f t="shared" si="26"/>
        <v>1.5804</v>
      </c>
      <c r="AK116" s="566">
        <f t="shared" si="27"/>
        <v>0.05268</v>
      </c>
      <c r="AL116" s="566">
        <f t="shared" si="28"/>
        <v>0.15804</v>
      </c>
      <c r="AM116" s="566">
        <f t="shared" si="29"/>
        <v>3.1608</v>
      </c>
      <c r="AN116" s="566"/>
      <c r="AO116" s="304"/>
    </row>
    <row r="117" s="131" customFormat="1" ht="24" spans="1:41">
      <c r="A117" s="1" t="s">
        <v>202</v>
      </c>
      <c r="B117" s="1" t="s">
        <v>206</v>
      </c>
      <c r="C117" s="1" t="s">
        <v>352</v>
      </c>
      <c r="D117" s="1" t="s">
        <v>353</v>
      </c>
      <c r="E117" s="565">
        <f t="shared" si="16"/>
        <v>22.16256</v>
      </c>
      <c r="F117" s="566">
        <f t="shared" si="30"/>
        <v>0</v>
      </c>
      <c r="G117" s="566">
        <f t="shared" si="18"/>
        <v>0</v>
      </c>
      <c r="H117" s="566"/>
      <c r="I117" s="566"/>
      <c r="J117" s="566"/>
      <c r="K117" s="566"/>
      <c r="L117" s="566"/>
      <c r="M117" s="566"/>
      <c r="N117" s="565">
        <f t="shared" si="19"/>
        <v>0</v>
      </c>
      <c r="O117" s="566"/>
      <c r="P117" s="566"/>
      <c r="Q117" s="566"/>
      <c r="R117" s="566"/>
      <c r="S117" s="565">
        <f t="shared" si="20"/>
        <v>15.52</v>
      </c>
      <c r="T117" s="566">
        <f t="shared" si="21"/>
        <v>13.11</v>
      </c>
      <c r="U117" s="566">
        <v>9.1</v>
      </c>
      <c r="V117" s="566"/>
      <c r="W117" s="566">
        <v>4.01</v>
      </c>
      <c r="X117" s="566"/>
      <c r="Y117" s="566"/>
      <c r="Z117" s="566"/>
      <c r="AA117" s="565">
        <f t="shared" si="22"/>
        <v>2.41</v>
      </c>
      <c r="AB117" s="566">
        <v>2.41</v>
      </c>
      <c r="AC117" s="566"/>
      <c r="AD117" s="566"/>
      <c r="AE117" s="566"/>
      <c r="AF117" s="566"/>
      <c r="AG117" s="565">
        <f t="shared" si="23"/>
        <v>6.64256</v>
      </c>
      <c r="AH117" s="566">
        <f t="shared" si="24"/>
        <v>2.4832</v>
      </c>
      <c r="AI117" s="566">
        <f t="shared" si="25"/>
        <v>1.2416</v>
      </c>
      <c r="AJ117" s="566">
        <f t="shared" si="26"/>
        <v>0.9312</v>
      </c>
      <c r="AK117" s="566">
        <f t="shared" si="27"/>
        <v>0.03104</v>
      </c>
      <c r="AL117" s="566">
        <f t="shared" si="28"/>
        <v>0.09312</v>
      </c>
      <c r="AM117" s="566">
        <f t="shared" si="29"/>
        <v>1.8624</v>
      </c>
      <c r="AN117" s="566"/>
      <c r="AO117" s="304"/>
    </row>
    <row r="118" s="131" customFormat="1" ht="24" spans="1:41">
      <c r="A118" s="1" t="s">
        <v>202</v>
      </c>
      <c r="B118" s="1" t="s">
        <v>206</v>
      </c>
      <c r="C118" s="1" t="s">
        <v>354</v>
      </c>
      <c r="D118" s="1" t="s">
        <v>353</v>
      </c>
      <c r="E118" s="565">
        <f t="shared" si="16"/>
        <v>59.95336</v>
      </c>
      <c r="F118" s="566">
        <f t="shared" si="30"/>
        <v>0</v>
      </c>
      <c r="G118" s="566">
        <f t="shared" si="18"/>
        <v>0</v>
      </c>
      <c r="H118" s="566"/>
      <c r="I118" s="566"/>
      <c r="J118" s="566"/>
      <c r="K118" s="566"/>
      <c r="L118" s="566"/>
      <c r="M118" s="566"/>
      <c r="N118" s="565">
        <f t="shared" si="19"/>
        <v>0</v>
      </c>
      <c r="O118" s="566"/>
      <c r="P118" s="566"/>
      <c r="Q118" s="566"/>
      <c r="R118" s="566"/>
      <c r="S118" s="565">
        <f t="shared" si="20"/>
        <v>46.42</v>
      </c>
      <c r="T118" s="566">
        <f t="shared" si="21"/>
        <v>37.88</v>
      </c>
      <c r="U118" s="566">
        <v>19.51</v>
      </c>
      <c r="V118" s="566"/>
      <c r="W118" s="566">
        <v>7.57</v>
      </c>
      <c r="X118" s="566"/>
      <c r="Y118" s="566"/>
      <c r="Z118" s="566">
        <v>10.8</v>
      </c>
      <c r="AA118" s="565">
        <f t="shared" si="22"/>
        <v>8.54</v>
      </c>
      <c r="AB118" s="566">
        <v>4.54</v>
      </c>
      <c r="AC118" s="566"/>
      <c r="AD118" s="566"/>
      <c r="AE118" s="566"/>
      <c r="AF118" s="566">
        <v>4</v>
      </c>
      <c r="AG118" s="565">
        <f t="shared" si="23"/>
        <v>13.53336</v>
      </c>
      <c r="AH118" s="566">
        <f t="shared" si="24"/>
        <v>5.0592</v>
      </c>
      <c r="AI118" s="566">
        <f t="shared" si="25"/>
        <v>2.5296</v>
      </c>
      <c r="AJ118" s="566">
        <f t="shared" si="26"/>
        <v>1.8972</v>
      </c>
      <c r="AK118" s="566">
        <f t="shared" si="27"/>
        <v>0.06324</v>
      </c>
      <c r="AL118" s="566">
        <f t="shared" si="28"/>
        <v>0.18972</v>
      </c>
      <c r="AM118" s="566">
        <f t="shared" si="29"/>
        <v>3.7944</v>
      </c>
      <c r="AN118" s="566"/>
      <c r="AO118" s="304"/>
    </row>
    <row r="119" s="131" customFormat="1" ht="24" spans="1:41">
      <c r="A119" s="1" t="s">
        <v>202</v>
      </c>
      <c r="B119" s="1" t="s">
        <v>203</v>
      </c>
      <c r="C119" s="1" t="s">
        <v>355</v>
      </c>
      <c r="D119" s="1" t="s">
        <v>356</v>
      </c>
      <c r="E119" s="565">
        <f t="shared" si="16"/>
        <v>231.79996</v>
      </c>
      <c r="F119" s="566">
        <f t="shared" si="30"/>
        <v>164.34</v>
      </c>
      <c r="G119" s="566">
        <f t="shared" si="18"/>
        <v>141.57</v>
      </c>
      <c r="H119" s="566">
        <v>56.44</v>
      </c>
      <c r="I119" s="566">
        <v>36.13</v>
      </c>
      <c r="J119" s="566">
        <v>4.7</v>
      </c>
      <c r="K119" s="566"/>
      <c r="L119" s="566"/>
      <c r="M119" s="566">
        <v>44.3</v>
      </c>
      <c r="N119" s="565">
        <f t="shared" si="19"/>
        <v>22.77</v>
      </c>
      <c r="O119" s="566">
        <v>10.17</v>
      </c>
      <c r="P119" s="566"/>
      <c r="Q119" s="566">
        <v>6.6</v>
      </c>
      <c r="R119" s="566">
        <v>6</v>
      </c>
      <c r="S119" s="565">
        <f t="shared" si="20"/>
        <v>20</v>
      </c>
      <c r="T119" s="566">
        <f t="shared" si="21"/>
        <v>0</v>
      </c>
      <c r="U119" s="566"/>
      <c r="V119" s="566"/>
      <c r="W119" s="566"/>
      <c r="X119" s="566"/>
      <c r="Y119" s="566"/>
      <c r="Z119" s="566"/>
      <c r="AA119" s="565">
        <f t="shared" si="22"/>
        <v>20</v>
      </c>
      <c r="AB119" s="566"/>
      <c r="AC119" s="566">
        <v>20</v>
      </c>
      <c r="AD119" s="566"/>
      <c r="AE119" s="566"/>
      <c r="AF119" s="566"/>
      <c r="AG119" s="565">
        <f t="shared" si="23"/>
        <v>47.45996</v>
      </c>
      <c r="AH119" s="566">
        <f t="shared" si="24"/>
        <v>22.6512</v>
      </c>
      <c r="AI119" s="566">
        <f t="shared" si="25"/>
        <v>7.4056</v>
      </c>
      <c r="AJ119" s="566">
        <f t="shared" si="26"/>
        <v>5.5542</v>
      </c>
      <c r="AK119" s="566">
        <f t="shared" si="27"/>
        <v>0.18514</v>
      </c>
      <c r="AL119" s="566">
        <f t="shared" si="28"/>
        <v>0.55542</v>
      </c>
      <c r="AM119" s="566">
        <f t="shared" si="29"/>
        <v>11.1084</v>
      </c>
      <c r="AN119" s="566"/>
      <c r="AO119" s="304" t="s">
        <v>357</v>
      </c>
    </row>
    <row r="120" s="131" customFormat="1" ht="24" spans="1:41">
      <c r="A120" s="1" t="s">
        <v>202</v>
      </c>
      <c r="B120" s="1" t="s">
        <v>206</v>
      </c>
      <c r="C120" s="1" t="s">
        <v>358</v>
      </c>
      <c r="D120" s="1" t="s">
        <v>359</v>
      </c>
      <c r="E120" s="565">
        <f t="shared" si="16"/>
        <v>90.13196</v>
      </c>
      <c r="F120" s="566">
        <f t="shared" si="30"/>
        <v>0</v>
      </c>
      <c r="G120" s="566">
        <f t="shared" si="18"/>
        <v>0</v>
      </c>
      <c r="H120" s="566"/>
      <c r="I120" s="566"/>
      <c r="J120" s="566"/>
      <c r="K120" s="566"/>
      <c r="L120" s="566"/>
      <c r="M120" s="566"/>
      <c r="N120" s="565">
        <f t="shared" si="19"/>
        <v>0</v>
      </c>
      <c r="O120" s="566"/>
      <c r="P120" s="566"/>
      <c r="Q120" s="566"/>
      <c r="R120" s="566"/>
      <c r="S120" s="565">
        <f t="shared" si="20"/>
        <v>68.06</v>
      </c>
      <c r="T120" s="566">
        <f t="shared" si="21"/>
        <v>56.22</v>
      </c>
      <c r="U120" s="566">
        <v>31.99</v>
      </c>
      <c r="V120" s="566"/>
      <c r="W120" s="566">
        <v>12.24</v>
      </c>
      <c r="X120" s="566"/>
      <c r="Y120" s="566"/>
      <c r="Z120" s="566">
        <v>11.99</v>
      </c>
      <c r="AA120" s="565">
        <f t="shared" si="22"/>
        <v>11.84</v>
      </c>
      <c r="AB120" s="566">
        <v>7.34</v>
      </c>
      <c r="AC120" s="566"/>
      <c r="AD120" s="566"/>
      <c r="AE120" s="566"/>
      <c r="AF120" s="566">
        <v>4.5</v>
      </c>
      <c r="AG120" s="565">
        <f t="shared" si="23"/>
        <v>22.07196</v>
      </c>
      <c r="AH120" s="566">
        <f t="shared" si="24"/>
        <v>8.2512</v>
      </c>
      <c r="AI120" s="566">
        <f t="shared" si="25"/>
        <v>4.1256</v>
      </c>
      <c r="AJ120" s="566">
        <f t="shared" si="26"/>
        <v>3.0942</v>
      </c>
      <c r="AK120" s="566">
        <f t="shared" si="27"/>
        <v>0.10314</v>
      </c>
      <c r="AL120" s="566">
        <f t="shared" si="28"/>
        <v>0.30942</v>
      </c>
      <c r="AM120" s="566">
        <f t="shared" si="29"/>
        <v>6.1884</v>
      </c>
      <c r="AN120" s="566"/>
      <c r="AO120" s="304"/>
    </row>
    <row r="121" s="131" customFormat="1" ht="24" spans="1:41">
      <c r="A121" s="1" t="s">
        <v>202</v>
      </c>
      <c r="B121" s="1" t="s">
        <v>203</v>
      </c>
      <c r="C121" s="1" t="s">
        <v>360</v>
      </c>
      <c r="D121" s="1" t="s">
        <v>361</v>
      </c>
      <c r="E121" s="565">
        <f t="shared" si="16"/>
        <v>126.61028</v>
      </c>
      <c r="F121" s="566">
        <f t="shared" si="30"/>
        <v>95.62</v>
      </c>
      <c r="G121" s="566">
        <f t="shared" si="18"/>
        <v>89.32</v>
      </c>
      <c r="H121" s="566">
        <v>39.23</v>
      </c>
      <c r="I121" s="566">
        <v>23.08</v>
      </c>
      <c r="J121" s="566">
        <v>3.55</v>
      </c>
      <c r="K121" s="566"/>
      <c r="L121" s="566"/>
      <c r="M121" s="566">
        <v>23.46</v>
      </c>
      <c r="N121" s="565">
        <f t="shared" si="19"/>
        <v>6.3</v>
      </c>
      <c r="O121" s="566"/>
      <c r="P121" s="566"/>
      <c r="Q121" s="566">
        <v>3.3</v>
      </c>
      <c r="R121" s="566">
        <v>3</v>
      </c>
      <c r="S121" s="565">
        <f t="shared" si="20"/>
        <v>0</v>
      </c>
      <c r="T121" s="566">
        <f t="shared" si="21"/>
        <v>0</v>
      </c>
      <c r="U121" s="566"/>
      <c r="V121" s="566"/>
      <c r="W121" s="566"/>
      <c r="X121" s="566"/>
      <c r="Y121" s="566"/>
      <c r="Z121" s="566"/>
      <c r="AA121" s="565">
        <f t="shared" si="22"/>
        <v>0</v>
      </c>
      <c r="AB121" s="566"/>
      <c r="AC121" s="566"/>
      <c r="AD121" s="566"/>
      <c r="AE121" s="566"/>
      <c r="AF121" s="566"/>
      <c r="AG121" s="565">
        <f t="shared" si="23"/>
        <v>30.99028</v>
      </c>
      <c r="AH121" s="566">
        <f t="shared" si="24"/>
        <v>14.2912</v>
      </c>
      <c r="AI121" s="566">
        <f t="shared" si="25"/>
        <v>4.9848</v>
      </c>
      <c r="AJ121" s="566">
        <f t="shared" si="26"/>
        <v>3.7386</v>
      </c>
      <c r="AK121" s="566">
        <f t="shared" si="27"/>
        <v>0.12462</v>
      </c>
      <c r="AL121" s="566">
        <f t="shared" si="28"/>
        <v>0.37386</v>
      </c>
      <c r="AM121" s="566">
        <f t="shared" si="29"/>
        <v>7.4772</v>
      </c>
      <c r="AN121" s="566"/>
      <c r="AO121" s="304"/>
    </row>
    <row r="122" s="131" customFormat="1" ht="27" spans="1:41">
      <c r="A122" s="1" t="s">
        <v>202</v>
      </c>
      <c r="B122" s="1" t="s">
        <v>206</v>
      </c>
      <c r="C122" s="1" t="s">
        <v>725</v>
      </c>
      <c r="D122" s="1" t="s">
        <v>363</v>
      </c>
      <c r="E122" s="565">
        <f t="shared" si="16"/>
        <v>39.70704</v>
      </c>
      <c r="F122" s="566">
        <f t="shared" si="30"/>
        <v>0</v>
      </c>
      <c r="G122" s="566">
        <f t="shared" si="18"/>
        <v>0</v>
      </c>
      <c r="H122" s="566"/>
      <c r="I122" s="566"/>
      <c r="J122" s="566"/>
      <c r="K122" s="566"/>
      <c r="L122" s="566"/>
      <c r="M122" s="566"/>
      <c r="N122" s="565">
        <f t="shared" si="19"/>
        <v>0</v>
      </c>
      <c r="O122" s="566"/>
      <c r="P122" s="566"/>
      <c r="Q122" s="566"/>
      <c r="R122" s="566"/>
      <c r="S122" s="565">
        <f t="shared" si="20"/>
        <v>30</v>
      </c>
      <c r="T122" s="566">
        <f t="shared" si="21"/>
        <v>24.6</v>
      </c>
      <c r="U122" s="566">
        <v>13.61</v>
      </c>
      <c r="V122" s="566"/>
      <c r="W122" s="566">
        <v>5.67</v>
      </c>
      <c r="X122" s="566"/>
      <c r="Y122" s="566"/>
      <c r="Z122" s="566">
        <v>5.32</v>
      </c>
      <c r="AA122" s="565">
        <f t="shared" si="22"/>
        <v>5.4</v>
      </c>
      <c r="AB122" s="566">
        <v>3.4</v>
      </c>
      <c r="AC122" s="566"/>
      <c r="AD122" s="566"/>
      <c r="AE122" s="566"/>
      <c r="AF122" s="566">
        <v>2</v>
      </c>
      <c r="AG122" s="565">
        <f t="shared" si="23"/>
        <v>9.70704</v>
      </c>
      <c r="AH122" s="566">
        <f t="shared" si="24"/>
        <v>3.6288</v>
      </c>
      <c r="AI122" s="566">
        <f t="shared" si="25"/>
        <v>1.8144</v>
      </c>
      <c r="AJ122" s="566">
        <f t="shared" si="26"/>
        <v>1.3608</v>
      </c>
      <c r="AK122" s="566">
        <f t="shared" si="27"/>
        <v>0.04536</v>
      </c>
      <c r="AL122" s="566">
        <f t="shared" si="28"/>
        <v>0.13608</v>
      </c>
      <c r="AM122" s="566">
        <f t="shared" si="29"/>
        <v>2.7216</v>
      </c>
      <c r="AN122" s="566"/>
      <c r="AO122" s="304"/>
    </row>
    <row r="123" s="131" customFormat="1" ht="24" spans="1:41">
      <c r="A123" s="1" t="s">
        <v>202</v>
      </c>
      <c r="B123" s="1" t="s">
        <v>203</v>
      </c>
      <c r="C123" s="1" t="s">
        <v>364</v>
      </c>
      <c r="D123" s="1" t="s">
        <v>365</v>
      </c>
      <c r="E123" s="565">
        <f t="shared" si="16"/>
        <v>100.21468</v>
      </c>
      <c r="F123" s="566">
        <f t="shared" si="30"/>
        <v>78.79</v>
      </c>
      <c r="G123" s="566">
        <f t="shared" si="18"/>
        <v>63.37</v>
      </c>
      <c r="H123" s="566">
        <v>26.28</v>
      </c>
      <c r="I123" s="566">
        <v>15.83</v>
      </c>
      <c r="J123" s="566">
        <v>2.19</v>
      </c>
      <c r="K123" s="566"/>
      <c r="L123" s="566"/>
      <c r="M123" s="566">
        <v>19.07</v>
      </c>
      <c r="N123" s="565">
        <f t="shared" si="19"/>
        <v>15.42</v>
      </c>
      <c r="O123" s="566">
        <v>10.17</v>
      </c>
      <c r="P123" s="566"/>
      <c r="Q123" s="566">
        <v>2.75</v>
      </c>
      <c r="R123" s="566">
        <v>2.5</v>
      </c>
      <c r="S123" s="565">
        <f t="shared" si="20"/>
        <v>0</v>
      </c>
      <c r="T123" s="566">
        <f t="shared" si="21"/>
        <v>0</v>
      </c>
      <c r="U123" s="566"/>
      <c r="V123" s="566"/>
      <c r="W123" s="566"/>
      <c r="X123" s="566"/>
      <c r="Y123" s="566"/>
      <c r="Z123" s="566"/>
      <c r="AA123" s="565">
        <f t="shared" si="22"/>
        <v>0</v>
      </c>
      <c r="AB123" s="566"/>
      <c r="AC123" s="566"/>
      <c r="AD123" s="566"/>
      <c r="AE123" s="566"/>
      <c r="AF123" s="566"/>
      <c r="AG123" s="565">
        <f t="shared" si="23"/>
        <v>21.42468</v>
      </c>
      <c r="AH123" s="566">
        <f t="shared" si="24"/>
        <v>10.1392</v>
      </c>
      <c r="AI123" s="566">
        <f t="shared" si="25"/>
        <v>3.3688</v>
      </c>
      <c r="AJ123" s="566">
        <f t="shared" si="26"/>
        <v>2.5266</v>
      </c>
      <c r="AK123" s="566">
        <f t="shared" si="27"/>
        <v>0.08422</v>
      </c>
      <c r="AL123" s="566">
        <f t="shared" si="28"/>
        <v>0.25266</v>
      </c>
      <c r="AM123" s="566">
        <f t="shared" si="29"/>
        <v>5.0532</v>
      </c>
      <c r="AN123" s="566"/>
      <c r="AO123" s="304"/>
    </row>
    <row r="124" s="131" customFormat="1" ht="24" spans="1:41">
      <c r="A124" s="1" t="s">
        <v>202</v>
      </c>
      <c r="B124" s="1" t="s">
        <v>203</v>
      </c>
      <c r="C124" s="1" t="s">
        <v>366</v>
      </c>
      <c r="D124" s="1" t="s">
        <v>365</v>
      </c>
      <c r="E124" s="565">
        <f t="shared" si="16"/>
        <v>30.61244</v>
      </c>
      <c r="F124" s="566">
        <f t="shared" si="30"/>
        <v>24.23</v>
      </c>
      <c r="G124" s="566">
        <f t="shared" si="18"/>
        <v>21.08</v>
      </c>
      <c r="H124" s="566">
        <v>6.56</v>
      </c>
      <c r="I124" s="566">
        <v>4.67</v>
      </c>
      <c r="J124" s="566">
        <v>0.55</v>
      </c>
      <c r="K124" s="566"/>
      <c r="L124" s="566"/>
      <c r="M124" s="566">
        <v>9.3</v>
      </c>
      <c r="N124" s="565">
        <f t="shared" si="19"/>
        <v>3.15</v>
      </c>
      <c r="O124" s="566"/>
      <c r="P124" s="566"/>
      <c r="Q124" s="566">
        <v>1.65</v>
      </c>
      <c r="R124" s="566">
        <v>1.5</v>
      </c>
      <c r="S124" s="565">
        <f t="shared" si="20"/>
        <v>0</v>
      </c>
      <c r="T124" s="566">
        <f t="shared" si="21"/>
        <v>0</v>
      </c>
      <c r="U124" s="566"/>
      <c r="V124" s="566"/>
      <c r="W124" s="566"/>
      <c r="X124" s="566"/>
      <c r="Y124" s="566"/>
      <c r="Z124" s="566"/>
      <c r="AA124" s="565">
        <f t="shared" si="22"/>
        <v>0</v>
      </c>
      <c r="AB124" s="566"/>
      <c r="AC124" s="566"/>
      <c r="AD124" s="566"/>
      <c r="AE124" s="566"/>
      <c r="AF124" s="566"/>
      <c r="AG124" s="565">
        <f t="shared" si="23"/>
        <v>6.38244</v>
      </c>
      <c r="AH124" s="566">
        <f t="shared" si="24"/>
        <v>3.3728</v>
      </c>
      <c r="AI124" s="566">
        <f t="shared" si="25"/>
        <v>0.8984</v>
      </c>
      <c r="AJ124" s="566">
        <f t="shared" si="26"/>
        <v>0.6738</v>
      </c>
      <c r="AK124" s="566">
        <f t="shared" si="27"/>
        <v>0.02246</v>
      </c>
      <c r="AL124" s="566">
        <f t="shared" si="28"/>
        <v>0.06738</v>
      </c>
      <c r="AM124" s="566">
        <f t="shared" si="29"/>
        <v>1.3476</v>
      </c>
      <c r="AN124" s="566"/>
      <c r="AO124" s="304"/>
    </row>
    <row r="125" s="131" customFormat="1" ht="24" spans="1:41">
      <c r="A125" s="1" t="s">
        <v>202</v>
      </c>
      <c r="B125" s="1" t="s">
        <v>203</v>
      </c>
      <c r="C125" s="1" t="s">
        <v>367</v>
      </c>
      <c r="D125" s="1" t="s">
        <v>365</v>
      </c>
      <c r="E125" s="565">
        <f t="shared" si="16"/>
        <v>152.36792</v>
      </c>
      <c r="F125" s="566">
        <f t="shared" si="30"/>
        <v>117.73</v>
      </c>
      <c r="G125" s="566">
        <f t="shared" si="18"/>
        <v>103.19</v>
      </c>
      <c r="H125" s="566">
        <v>41.55</v>
      </c>
      <c r="I125" s="566">
        <v>26.09</v>
      </c>
      <c r="J125" s="566">
        <v>3.46</v>
      </c>
      <c r="K125" s="566"/>
      <c r="L125" s="566"/>
      <c r="M125" s="566">
        <v>32.09</v>
      </c>
      <c r="N125" s="565">
        <f t="shared" si="19"/>
        <v>14.54</v>
      </c>
      <c r="O125" s="566">
        <v>5.09</v>
      </c>
      <c r="P125" s="566"/>
      <c r="Q125" s="566">
        <v>4.95</v>
      </c>
      <c r="R125" s="566">
        <v>4.5</v>
      </c>
      <c r="S125" s="565">
        <f t="shared" si="20"/>
        <v>0</v>
      </c>
      <c r="T125" s="566">
        <f t="shared" si="21"/>
        <v>0</v>
      </c>
      <c r="U125" s="566"/>
      <c r="V125" s="566"/>
      <c r="W125" s="566"/>
      <c r="X125" s="566"/>
      <c r="Y125" s="566"/>
      <c r="Z125" s="566"/>
      <c r="AA125" s="565">
        <f t="shared" si="22"/>
        <v>0</v>
      </c>
      <c r="AB125" s="566"/>
      <c r="AC125" s="566"/>
      <c r="AD125" s="566"/>
      <c r="AE125" s="566"/>
      <c r="AF125" s="566"/>
      <c r="AG125" s="565">
        <f t="shared" si="23"/>
        <v>34.63792</v>
      </c>
      <c r="AH125" s="566">
        <f t="shared" si="24"/>
        <v>16.5104</v>
      </c>
      <c r="AI125" s="566">
        <f t="shared" si="25"/>
        <v>5.4112</v>
      </c>
      <c r="AJ125" s="566">
        <f t="shared" si="26"/>
        <v>4.0584</v>
      </c>
      <c r="AK125" s="566">
        <f t="shared" si="27"/>
        <v>0.13528</v>
      </c>
      <c r="AL125" s="566">
        <f t="shared" si="28"/>
        <v>0.40584</v>
      </c>
      <c r="AM125" s="566">
        <f t="shared" si="29"/>
        <v>8.1168</v>
      </c>
      <c r="AN125" s="566"/>
      <c r="AO125" s="304"/>
    </row>
    <row r="126" s="131" customFormat="1" ht="24" spans="1:41">
      <c r="A126" s="1" t="s">
        <v>202</v>
      </c>
      <c r="B126" s="1" t="s">
        <v>203</v>
      </c>
      <c r="C126" s="1" t="s">
        <v>368</v>
      </c>
      <c r="D126" s="1" t="s">
        <v>365</v>
      </c>
      <c r="E126" s="565">
        <f t="shared" si="16"/>
        <v>155.48676</v>
      </c>
      <c r="F126" s="566">
        <f t="shared" si="30"/>
        <v>119.3</v>
      </c>
      <c r="G126" s="566">
        <f t="shared" si="18"/>
        <v>108.8</v>
      </c>
      <c r="H126" s="566">
        <v>42.41</v>
      </c>
      <c r="I126" s="566">
        <v>27.66</v>
      </c>
      <c r="J126" s="566">
        <v>3.79</v>
      </c>
      <c r="K126" s="566"/>
      <c r="L126" s="566"/>
      <c r="M126" s="566">
        <v>34.94</v>
      </c>
      <c r="N126" s="565">
        <f t="shared" si="19"/>
        <v>10.5</v>
      </c>
      <c r="O126" s="566"/>
      <c r="P126" s="566"/>
      <c r="Q126" s="566">
        <v>5.5</v>
      </c>
      <c r="R126" s="566">
        <v>5</v>
      </c>
      <c r="S126" s="565">
        <f t="shared" si="20"/>
        <v>0</v>
      </c>
      <c r="T126" s="566">
        <f t="shared" si="21"/>
        <v>0</v>
      </c>
      <c r="U126" s="566"/>
      <c r="V126" s="566"/>
      <c r="W126" s="566"/>
      <c r="X126" s="566"/>
      <c r="Y126" s="566"/>
      <c r="Z126" s="566"/>
      <c r="AA126" s="565">
        <f t="shared" si="22"/>
        <v>0</v>
      </c>
      <c r="AB126" s="566"/>
      <c r="AC126" s="566"/>
      <c r="AD126" s="566"/>
      <c r="AE126" s="566"/>
      <c r="AF126" s="566"/>
      <c r="AG126" s="565">
        <f t="shared" si="23"/>
        <v>36.18676</v>
      </c>
      <c r="AH126" s="566">
        <f t="shared" si="24"/>
        <v>17.408</v>
      </c>
      <c r="AI126" s="566">
        <f t="shared" si="25"/>
        <v>5.6056</v>
      </c>
      <c r="AJ126" s="566">
        <f t="shared" si="26"/>
        <v>4.2042</v>
      </c>
      <c r="AK126" s="566">
        <f t="shared" si="27"/>
        <v>0.14014</v>
      </c>
      <c r="AL126" s="566">
        <f t="shared" si="28"/>
        <v>0.42042</v>
      </c>
      <c r="AM126" s="566">
        <f t="shared" si="29"/>
        <v>8.4084</v>
      </c>
      <c r="AN126" s="566"/>
      <c r="AO126" s="304"/>
    </row>
    <row r="127" s="131" customFormat="1" ht="24" spans="1:41">
      <c r="A127" s="1" t="s">
        <v>202</v>
      </c>
      <c r="B127" s="1" t="s">
        <v>203</v>
      </c>
      <c r="C127" s="1" t="s">
        <v>369</v>
      </c>
      <c r="D127" s="1" t="s">
        <v>370</v>
      </c>
      <c r="E127" s="565">
        <f t="shared" si="16"/>
        <v>12.39464</v>
      </c>
      <c r="F127" s="566">
        <f t="shared" si="30"/>
        <v>9.61</v>
      </c>
      <c r="G127" s="566">
        <f t="shared" si="18"/>
        <v>8.56</v>
      </c>
      <c r="H127" s="566">
        <v>2.92</v>
      </c>
      <c r="I127" s="566">
        <v>2.36</v>
      </c>
      <c r="J127" s="566">
        <v>0.24</v>
      </c>
      <c r="K127" s="566"/>
      <c r="L127" s="566"/>
      <c r="M127" s="566">
        <v>3.04</v>
      </c>
      <c r="N127" s="565">
        <f t="shared" si="19"/>
        <v>1.05</v>
      </c>
      <c r="O127" s="566"/>
      <c r="P127" s="566"/>
      <c r="Q127" s="566">
        <v>0.55</v>
      </c>
      <c r="R127" s="566">
        <v>0.5</v>
      </c>
      <c r="S127" s="565">
        <f t="shared" si="20"/>
        <v>0</v>
      </c>
      <c r="T127" s="566">
        <f t="shared" si="21"/>
        <v>0</v>
      </c>
      <c r="U127" s="566"/>
      <c r="V127" s="566"/>
      <c r="W127" s="566"/>
      <c r="X127" s="566"/>
      <c r="Y127" s="566"/>
      <c r="Z127" s="566"/>
      <c r="AA127" s="565">
        <f t="shared" si="22"/>
        <v>0</v>
      </c>
      <c r="AB127" s="566"/>
      <c r="AC127" s="566"/>
      <c r="AD127" s="566"/>
      <c r="AE127" s="566"/>
      <c r="AF127" s="566"/>
      <c r="AG127" s="565">
        <f t="shared" si="23"/>
        <v>2.78464</v>
      </c>
      <c r="AH127" s="566">
        <f t="shared" si="24"/>
        <v>1.3696</v>
      </c>
      <c r="AI127" s="566">
        <f t="shared" si="25"/>
        <v>0.4224</v>
      </c>
      <c r="AJ127" s="566">
        <f t="shared" si="26"/>
        <v>0.3168</v>
      </c>
      <c r="AK127" s="566">
        <f t="shared" si="27"/>
        <v>0.01056</v>
      </c>
      <c r="AL127" s="566">
        <f t="shared" si="28"/>
        <v>0.03168</v>
      </c>
      <c r="AM127" s="566">
        <f t="shared" si="29"/>
        <v>0.6336</v>
      </c>
      <c r="AN127" s="566"/>
      <c r="AO127" s="304"/>
    </row>
    <row r="128" s="131" customFormat="1" ht="24" spans="1:41">
      <c r="A128" s="1" t="s">
        <v>202</v>
      </c>
      <c r="B128" s="1" t="s">
        <v>206</v>
      </c>
      <c r="C128" s="1" t="s">
        <v>371</v>
      </c>
      <c r="D128" s="1" t="s">
        <v>372</v>
      </c>
      <c r="E128" s="565">
        <f t="shared" si="16"/>
        <v>22.56488</v>
      </c>
      <c r="F128" s="566">
        <f t="shared" si="30"/>
        <v>0</v>
      </c>
      <c r="G128" s="566">
        <f t="shared" si="18"/>
        <v>0</v>
      </c>
      <c r="H128" s="566"/>
      <c r="I128" s="566"/>
      <c r="J128" s="566"/>
      <c r="K128" s="566"/>
      <c r="L128" s="566"/>
      <c r="M128" s="566"/>
      <c r="N128" s="565">
        <f t="shared" si="19"/>
        <v>0</v>
      </c>
      <c r="O128" s="566"/>
      <c r="P128" s="566"/>
      <c r="Q128" s="566"/>
      <c r="R128" s="566"/>
      <c r="S128" s="565">
        <f t="shared" si="20"/>
        <v>17.66</v>
      </c>
      <c r="T128" s="566">
        <f t="shared" si="21"/>
        <v>12.38</v>
      </c>
      <c r="U128" s="566">
        <v>6.81</v>
      </c>
      <c r="V128" s="566"/>
      <c r="W128" s="566">
        <v>2.91</v>
      </c>
      <c r="X128" s="566"/>
      <c r="Y128" s="566"/>
      <c r="Z128" s="566">
        <v>2.66</v>
      </c>
      <c r="AA128" s="565">
        <f t="shared" si="22"/>
        <v>5.28</v>
      </c>
      <c r="AB128" s="566">
        <v>1.74</v>
      </c>
      <c r="AC128" s="566"/>
      <c r="AD128" s="566">
        <v>2.54</v>
      </c>
      <c r="AE128" s="566"/>
      <c r="AF128" s="566">
        <v>1</v>
      </c>
      <c r="AG128" s="565">
        <f t="shared" si="23"/>
        <v>4.90488</v>
      </c>
      <c r="AH128" s="566">
        <f t="shared" si="24"/>
        <v>1.8336</v>
      </c>
      <c r="AI128" s="566">
        <f t="shared" si="25"/>
        <v>0.9168</v>
      </c>
      <c r="AJ128" s="566">
        <f t="shared" si="26"/>
        <v>0.6876</v>
      </c>
      <c r="AK128" s="566">
        <f t="shared" si="27"/>
        <v>0.02292</v>
      </c>
      <c r="AL128" s="566">
        <f t="shared" si="28"/>
        <v>0.06876</v>
      </c>
      <c r="AM128" s="566">
        <f t="shared" si="29"/>
        <v>1.3752</v>
      </c>
      <c r="AN128" s="566"/>
      <c r="AO128" s="304"/>
    </row>
    <row r="129" s="131" customFormat="1" ht="24" spans="1:41">
      <c r="A129" s="1" t="s">
        <v>202</v>
      </c>
      <c r="B129" s="1" t="s">
        <v>206</v>
      </c>
      <c r="C129" s="1" t="s">
        <v>373</v>
      </c>
      <c r="D129" s="1" t="s">
        <v>372</v>
      </c>
      <c r="E129" s="565">
        <f t="shared" si="16"/>
        <v>31.99368</v>
      </c>
      <c r="F129" s="566">
        <f t="shared" si="30"/>
        <v>0</v>
      </c>
      <c r="G129" s="566">
        <f t="shared" si="18"/>
        <v>0</v>
      </c>
      <c r="H129" s="566"/>
      <c r="I129" s="566"/>
      <c r="J129" s="566"/>
      <c r="K129" s="566"/>
      <c r="L129" s="566"/>
      <c r="M129" s="566"/>
      <c r="N129" s="565">
        <f t="shared" si="19"/>
        <v>0</v>
      </c>
      <c r="O129" s="566"/>
      <c r="P129" s="566"/>
      <c r="Q129" s="566"/>
      <c r="R129" s="566"/>
      <c r="S129" s="565">
        <f t="shared" si="20"/>
        <v>24.05</v>
      </c>
      <c r="T129" s="566">
        <f t="shared" si="21"/>
        <v>19.94</v>
      </c>
      <c r="U129" s="566">
        <v>11.6</v>
      </c>
      <c r="V129" s="566"/>
      <c r="W129" s="566">
        <v>4.35</v>
      </c>
      <c r="X129" s="566"/>
      <c r="Y129" s="566"/>
      <c r="Z129" s="566">
        <v>3.99</v>
      </c>
      <c r="AA129" s="565">
        <f t="shared" si="22"/>
        <v>4.11</v>
      </c>
      <c r="AB129" s="566">
        <v>2.61</v>
      </c>
      <c r="AC129" s="566"/>
      <c r="AD129" s="566"/>
      <c r="AE129" s="566"/>
      <c r="AF129" s="566">
        <v>1.5</v>
      </c>
      <c r="AG129" s="565">
        <f t="shared" si="23"/>
        <v>7.94368</v>
      </c>
      <c r="AH129" s="566">
        <f t="shared" si="24"/>
        <v>2.9696</v>
      </c>
      <c r="AI129" s="566">
        <f t="shared" si="25"/>
        <v>1.4848</v>
      </c>
      <c r="AJ129" s="566">
        <f t="shared" si="26"/>
        <v>1.1136</v>
      </c>
      <c r="AK129" s="566">
        <f t="shared" si="27"/>
        <v>0.03712</v>
      </c>
      <c r="AL129" s="566">
        <f t="shared" si="28"/>
        <v>0.11136</v>
      </c>
      <c r="AM129" s="566">
        <f t="shared" si="29"/>
        <v>2.2272</v>
      </c>
      <c r="AN129" s="566"/>
      <c r="AO129" s="304"/>
    </row>
    <row r="130" s="131" customFormat="1" ht="24" spans="1:41">
      <c r="A130" s="1" t="s">
        <v>202</v>
      </c>
      <c r="B130" s="1" t="s">
        <v>206</v>
      </c>
      <c r="C130" s="1" t="s">
        <v>374</v>
      </c>
      <c r="D130" s="1" t="s">
        <v>372</v>
      </c>
      <c r="E130" s="565">
        <f t="shared" si="16"/>
        <v>39.94844</v>
      </c>
      <c r="F130" s="566">
        <f t="shared" si="30"/>
        <v>0</v>
      </c>
      <c r="G130" s="566">
        <f t="shared" si="18"/>
        <v>0</v>
      </c>
      <c r="H130" s="566"/>
      <c r="I130" s="566"/>
      <c r="J130" s="566"/>
      <c r="K130" s="566"/>
      <c r="L130" s="566"/>
      <c r="M130" s="566"/>
      <c r="N130" s="565">
        <f t="shared" si="19"/>
        <v>0</v>
      </c>
      <c r="O130" s="566"/>
      <c r="P130" s="566"/>
      <c r="Q130" s="566"/>
      <c r="R130" s="566"/>
      <c r="S130" s="565">
        <f t="shared" si="20"/>
        <v>30.22</v>
      </c>
      <c r="T130" s="566">
        <f t="shared" si="21"/>
        <v>24.71</v>
      </c>
      <c r="U130" s="566">
        <v>13.36</v>
      </c>
      <c r="V130" s="566"/>
      <c r="W130" s="566">
        <v>5.86</v>
      </c>
      <c r="X130" s="566"/>
      <c r="Y130" s="566"/>
      <c r="Z130" s="566">
        <v>5.49</v>
      </c>
      <c r="AA130" s="565">
        <f t="shared" si="22"/>
        <v>5.51</v>
      </c>
      <c r="AB130" s="566">
        <v>3.51</v>
      </c>
      <c r="AC130" s="566"/>
      <c r="AD130" s="566"/>
      <c r="AE130" s="566"/>
      <c r="AF130" s="566">
        <v>2</v>
      </c>
      <c r="AG130" s="565">
        <f t="shared" si="23"/>
        <v>9.72844</v>
      </c>
      <c r="AH130" s="566">
        <f t="shared" si="24"/>
        <v>3.6368</v>
      </c>
      <c r="AI130" s="566">
        <f t="shared" si="25"/>
        <v>1.8184</v>
      </c>
      <c r="AJ130" s="566">
        <f t="shared" si="26"/>
        <v>1.3638</v>
      </c>
      <c r="AK130" s="566">
        <f t="shared" si="27"/>
        <v>0.04546</v>
      </c>
      <c r="AL130" s="566">
        <f t="shared" si="28"/>
        <v>0.13638</v>
      </c>
      <c r="AM130" s="566">
        <f t="shared" si="29"/>
        <v>2.7276</v>
      </c>
      <c r="AN130" s="566"/>
      <c r="AO130" s="304"/>
    </row>
    <row r="131" s="130" customFormat="1" ht="24" spans="1:41">
      <c r="A131" s="1" t="s">
        <v>202</v>
      </c>
      <c r="B131" s="1" t="s">
        <v>203</v>
      </c>
      <c r="C131" s="1" t="s">
        <v>375</v>
      </c>
      <c r="D131" s="1" t="s">
        <v>376</v>
      </c>
      <c r="E131" s="563">
        <f t="shared" si="16"/>
        <v>1123.963</v>
      </c>
      <c r="F131" s="564">
        <f t="shared" si="30"/>
        <v>867.94</v>
      </c>
      <c r="G131" s="564">
        <f t="shared" si="18"/>
        <v>770.5</v>
      </c>
      <c r="H131" s="564">
        <v>306.8</v>
      </c>
      <c r="I131" s="564">
        <v>192.45</v>
      </c>
      <c r="J131" s="564">
        <v>25.57</v>
      </c>
      <c r="K131" s="564">
        <v>6.6</v>
      </c>
      <c r="L131" s="564"/>
      <c r="M131" s="564">
        <v>239.08</v>
      </c>
      <c r="N131" s="563">
        <f t="shared" si="19"/>
        <v>97.44</v>
      </c>
      <c r="O131" s="564">
        <v>22.89</v>
      </c>
      <c r="P131" s="564"/>
      <c r="Q131" s="564">
        <v>39.05</v>
      </c>
      <c r="R131" s="564">
        <v>35.5</v>
      </c>
      <c r="S131" s="563">
        <f t="shared" si="20"/>
        <v>0</v>
      </c>
      <c r="T131" s="564">
        <f t="shared" si="21"/>
        <v>0</v>
      </c>
      <c r="U131" s="564"/>
      <c r="V131" s="564"/>
      <c r="W131" s="564"/>
      <c r="X131" s="564"/>
      <c r="Y131" s="564"/>
      <c r="Z131" s="564"/>
      <c r="AA131" s="563">
        <f t="shared" si="22"/>
        <v>0</v>
      </c>
      <c r="AB131" s="564"/>
      <c r="AC131" s="564"/>
      <c r="AD131" s="564"/>
      <c r="AE131" s="564"/>
      <c r="AF131" s="564"/>
      <c r="AG131" s="563">
        <f t="shared" si="23"/>
        <v>256.023</v>
      </c>
      <c r="AH131" s="564">
        <f t="shared" si="24"/>
        <v>122.224</v>
      </c>
      <c r="AI131" s="564">
        <f t="shared" si="25"/>
        <v>39.94</v>
      </c>
      <c r="AJ131" s="564">
        <f t="shared" si="26"/>
        <v>29.955</v>
      </c>
      <c r="AK131" s="564">
        <f t="shared" si="27"/>
        <v>0.9985</v>
      </c>
      <c r="AL131" s="564">
        <f t="shared" si="28"/>
        <v>2.9955</v>
      </c>
      <c r="AM131" s="564">
        <f t="shared" si="29"/>
        <v>59.91</v>
      </c>
      <c r="AN131" s="564"/>
      <c r="AO131" s="304"/>
    </row>
    <row r="132" s="130" customFormat="1" ht="24" spans="1:41">
      <c r="A132" s="1" t="s">
        <v>202</v>
      </c>
      <c r="B132" s="1" t="s">
        <v>206</v>
      </c>
      <c r="C132" s="1" t="s">
        <v>377</v>
      </c>
      <c r="D132" s="1" t="s">
        <v>378</v>
      </c>
      <c r="E132" s="563">
        <f t="shared" si="16"/>
        <v>98.658</v>
      </c>
      <c r="F132" s="564">
        <f t="shared" si="30"/>
        <v>0</v>
      </c>
      <c r="G132" s="564">
        <f t="shared" si="18"/>
        <v>0</v>
      </c>
      <c r="H132" s="564"/>
      <c r="I132" s="564"/>
      <c r="J132" s="564"/>
      <c r="K132" s="564"/>
      <c r="L132" s="564"/>
      <c r="M132" s="564"/>
      <c r="N132" s="563">
        <f t="shared" si="19"/>
        <v>0</v>
      </c>
      <c r="O132" s="564"/>
      <c r="P132" s="564"/>
      <c r="Q132" s="564"/>
      <c r="R132" s="564"/>
      <c r="S132" s="563">
        <f t="shared" si="20"/>
        <v>74.69</v>
      </c>
      <c r="T132" s="564">
        <f t="shared" si="21"/>
        <v>61.46</v>
      </c>
      <c r="U132" s="564">
        <v>34.05</v>
      </c>
      <c r="V132" s="564"/>
      <c r="W132" s="564">
        <v>13.72</v>
      </c>
      <c r="X132" s="564"/>
      <c r="Y132" s="564"/>
      <c r="Z132" s="564">
        <v>13.69</v>
      </c>
      <c r="AA132" s="563">
        <f t="shared" si="22"/>
        <v>13.23</v>
      </c>
      <c r="AB132" s="564">
        <v>8.23</v>
      </c>
      <c r="AC132" s="564"/>
      <c r="AD132" s="564"/>
      <c r="AE132" s="564"/>
      <c r="AF132" s="564">
        <v>5</v>
      </c>
      <c r="AG132" s="563">
        <f t="shared" si="23"/>
        <v>23.968</v>
      </c>
      <c r="AH132" s="564">
        <f t="shared" si="24"/>
        <v>8.96</v>
      </c>
      <c r="AI132" s="564">
        <f t="shared" si="25"/>
        <v>4.48</v>
      </c>
      <c r="AJ132" s="564">
        <f t="shared" si="26"/>
        <v>3.36</v>
      </c>
      <c r="AK132" s="564">
        <f t="shared" si="27"/>
        <v>0.112</v>
      </c>
      <c r="AL132" s="564">
        <f t="shared" si="28"/>
        <v>0.336</v>
      </c>
      <c r="AM132" s="564">
        <f t="shared" si="29"/>
        <v>6.72</v>
      </c>
      <c r="AN132" s="564"/>
      <c r="AO132" s="304"/>
    </row>
    <row r="133" s="130" customFormat="1" ht="24" spans="1:41">
      <c r="A133" s="1" t="s">
        <v>202</v>
      </c>
      <c r="B133" s="1" t="s">
        <v>206</v>
      </c>
      <c r="C133" s="1" t="s">
        <v>379</v>
      </c>
      <c r="D133" s="1" t="s">
        <v>378</v>
      </c>
      <c r="E133" s="563">
        <f t="shared" si="16"/>
        <v>33.35468</v>
      </c>
      <c r="F133" s="564">
        <f t="shared" si="30"/>
        <v>0</v>
      </c>
      <c r="G133" s="564">
        <f t="shared" si="18"/>
        <v>0</v>
      </c>
      <c r="H133" s="564"/>
      <c r="I133" s="564"/>
      <c r="J133" s="564"/>
      <c r="K133" s="564"/>
      <c r="L133" s="564"/>
      <c r="M133" s="564"/>
      <c r="N133" s="563">
        <f t="shared" si="19"/>
        <v>0</v>
      </c>
      <c r="O133" s="564"/>
      <c r="P133" s="564"/>
      <c r="Q133" s="564"/>
      <c r="R133" s="564"/>
      <c r="S133" s="563">
        <f t="shared" si="20"/>
        <v>25.09</v>
      </c>
      <c r="T133" s="564">
        <f t="shared" si="21"/>
        <v>21.07</v>
      </c>
      <c r="U133" s="564">
        <v>12.59</v>
      </c>
      <c r="V133" s="564"/>
      <c r="W133" s="564">
        <v>4.2</v>
      </c>
      <c r="X133" s="564"/>
      <c r="Y133" s="564"/>
      <c r="Z133" s="564">
        <v>4.28</v>
      </c>
      <c r="AA133" s="563">
        <f t="shared" si="22"/>
        <v>4.02</v>
      </c>
      <c r="AB133" s="564">
        <v>2.52</v>
      </c>
      <c r="AC133" s="564"/>
      <c r="AD133" s="564"/>
      <c r="AE133" s="564"/>
      <c r="AF133" s="564">
        <v>1.5</v>
      </c>
      <c r="AG133" s="563">
        <f t="shared" si="23"/>
        <v>8.26468</v>
      </c>
      <c r="AH133" s="564">
        <f t="shared" si="24"/>
        <v>3.0896</v>
      </c>
      <c r="AI133" s="564">
        <f t="shared" si="25"/>
        <v>1.5448</v>
      </c>
      <c r="AJ133" s="564">
        <f t="shared" si="26"/>
        <v>1.1586</v>
      </c>
      <c r="AK133" s="564">
        <f t="shared" si="27"/>
        <v>0.03862</v>
      </c>
      <c r="AL133" s="564">
        <f t="shared" si="28"/>
        <v>0.11586</v>
      </c>
      <c r="AM133" s="564">
        <f t="shared" si="29"/>
        <v>2.3172</v>
      </c>
      <c r="AN133" s="564"/>
      <c r="AO133" s="304"/>
    </row>
    <row r="134" s="130" customFormat="1" ht="24" spans="1:41">
      <c r="A134" s="1" t="s">
        <v>202</v>
      </c>
      <c r="B134" s="1" t="s">
        <v>206</v>
      </c>
      <c r="C134" s="1" t="s">
        <v>380</v>
      </c>
      <c r="D134" s="1" t="s">
        <v>378</v>
      </c>
      <c r="E134" s="563">
        <f t="shared" si="16"/>
        <v>264.41496</v>
      </c>
      <c r="F134" s="564">
        <f t="shared" si="30"/>
        <v>0</v>
      </c>
      <c r="G134" s="564">
        <f t="shared" si="18"/>
        <v>0</v>
      </c>
      <c r="H134" s="564"/>
      <c r="I134" s="564"/>
      <c r="J134" s="564"/>
      <c r="K134" s="564"/>
      <c r="L134" s="564"/>
      <c r="M134" s="564"/>
      <c r="N134" s="563">
        <f t="shared" si="19"/>
        <v>0</v>
      </c>
      <c r="O134" s="564"/>
      <c r="P134" s="564"/>
      <c r="Q134" s="564"/>
      <c r="R134" s="564"/>
      <c r="S134" s="563">
        <f t="shared" si="20"/>
        <v>199.65</v>
      </c>
      <c r="T134" s="564">
        <f t="shared" si="21"/>
        <v>165.56</v>
      </c>
      <c r="U134" s="564">
        <v>93.75</v>
      </c>
      <c r="V134" s="564"/>
      <c r="W134" s="564">
        <v>35.98</v>
      </c>
      <c r="X134" s="564"/>
      <c r="Y134" s="564"/>
      <c r="Z134" s="564">
        <v>35.83</v>
      </c>
      <c r="AA134" s="563">
        <f t="shared" si="22"/>
        <v>34.09</v>
      </c>
      <c r="AB134" s="564">
        <v>21.59</v>
      </c>
      <c r="AC134" s="564"/>
      <c r="AD134" s="564"/>
      <c r="AE134" s="564"/>
      <c r="AF134" s="564">
        <v>12.5</v>
      </c>
      <c r="AG134" s="563">
        <f t="shared" si="23"/>
        <v>64.76496</v>
      </c>
      <c r="AH134" s="564">
        <f t="shared" si="24"/>
        <v>24.2112</v>
      </c>
      <c r="AI134" s="564">
        <f t="shared" si="25"/>
        <v>12.1056</v>
      </c>
      <c r="AJ134" s="564">
        <f t="shared" si="26"/>
        <v>9.0792</v>
      </c>
      <c r="AK134" s="564">
        <f t="shared" si="27"/>
        <v>0.30264</v>
      </c>
      <c r="AL134" s="564">
        <f t="shared" si="28"/>
        <v>0.90792</v>
      </c>
      <c r="AM134" s="564">
        <f t="shared" si="29"/>
        <v>18.1584</v>
      </c>
      <c r="AN134" s="564"/>
      <c r="AO134" s="304"/>
    </row>
    <row r="135" s="547" customFormat="1" ht="21" customHeight="1" spans="1:42">
      <c r="A135" s="525"/>
      <c r="B135" s="525"/>
      <c r="C135" s="525" t="s">
        <v>128</v>
      </c>
      <c r="D135" s="526">
        <v>204</v>
      </c>
      <c r="E135" s="574">
        <f t="shared" ref="E135:AN135" si="31">SUM(E136:E144)</f>
        <v>8692.39716</v>
      </c>
      <c r="F135" s="574">
        <f t="shared" si="31"/>
        <v>6584.22</v>
      </c>
      <c r="G135" s="574">
        <f t="shared" si="31"/>
        <v>4991.78</v>
      </c>
      <c r="H135" s="574">
        <f t="shared" si="31"/>
        <v>1642.44</v>
      </c>
      <c r="I135" s="574">
        <f t="shared" si="31"/>
        <v>1775.91</v>
      </c>
      <c r="J135" s="574">
        <f t="shared" si="31"/>
        <v>137.32</v>
      </c>
      <c r="K135" s="574">
        <f t="shared" si="31"/>
        <v>8.28</v>
      </c>
      <c r="L135" s="574">
        <f t="shared" si="31"/>
        <v>91.58</v>
      </c>
      <c r="M135" s="574">
        <f t="shared" si="31"/>
        <v>1336.25</v>
      </c>
      <c r="N135" s="574">
        <f t="shared" si="31"/>
        <v>1592.44</v>
      </c>
      <c r="O135" s="574">
        <f t="shared" si="31"/>
        <v>1208.19</v>
      </c>
      <c r="P135" s="574">
        <f t="shared" si="31"/>
        <v>3.6</v>
      </c>
      <c r="Q135" s="574">
        <f t="shared" si="31"/>
        <v>199.15</v>
      </c>
      <c r="R135" s="574">
        <f t="shared" si="31"/>
        <v>181.5</v>
      </c>
      <c r="S135" s="574">
        <f t="shared" si="31"/>
        <v>312.53</v>
      </c>
      <c r="T135" s="574">
        <f t="shared" si="31"/>
        <v>248.44</v>
      </c>
      <c r="U135" s="574">
        <f t="shared" si="31"/>
        <v>137.74</v>
      </c>
      <c r="V135" s="574">
        <f t="shared" si="31"/>
        <v>0.24</v>
      </c>
      <c r="W135" s="574">
        <f t="shared" si="31"/>
        <v>55.15</v>
      </c>
      <c r="X135" s="574">
        <f t="shared" si="31"/>
        <v>0</v>
      </c>
      <c r="Y135" s="574">
        <f t="shared" si="31"/>
        <v>0</v>
      </c>
      <c r="Z135" s="574">
        <f t="shared" si="31"/>
        <v>55.31</v>
      </c>
      <c r="AA135" s="574">
        <f t="shared" si="31"/>
        <v>64.09</v>
      </c>
      <c r="AB135" s="574">
        <f t="shared" si="31"/>
        <v>33.09</v>
      </c>
      <c r="AC135" s="574">
        <f t="shared" si="31"/>
        <v>0</v>
      </c>
      <c r="AD135" s="574">
        <f t="shared" si="31"/>
        <v>10</v>
      </c>
      <c r="AE135" s="574">
        <f t="shared" si="31"/>
        <v>0</v>
      </c>
      <c r="AF135" s="574">
        <f t="shared" si="31"/>
        <v>21</v>
      </c>
      <c r="AG135" s="574">
        <f t="shared" si="31"/>
        <v>1795.64716</v>
      </c>
      <c r="AH135" s="574">
        <f t="shared" si="31"/>
        <v>818.9024</v>
      </c>
      <c r="AI135" s="574">
        <f t="shared" si="31"/>
        <v>291.5656</v>
      </c>
      <c r="AJ135" s="574">
        <f t="shared" si="31"/>
        <v>218.6742</v>
      </c>
      <c r="AK135" s="574">
        <f t="shared" si="31"/>
        <v>7.28914</v>
      </c>
      <c r="AL135" s="574">
        <f t="shared" si="31"/>
        <v>21.86742</v>
      </c>
      <c r="AM135" s="574">
        <f t="shared" si="31"/>
        <v>437.3484</v>
      </c>
      <c r="AN135" s="574">
        <f t="shared" si="31"/>
        <v>0</v>
      </c>
      <c r="AO135" s="334"/>
      <c r="AP135" s="579"/>
    </row>
    <row r="136" s="130" customFormat="1" ht="24" spans="1:41">
      <c r="A136" s="1" t="s">
        <v>202</v>
      </c>
      <c r="B136" s="1" t="s">
        <v>203</v>
      </c>
      <c r="C136" s="1" t="s">
        <v>381</v>
      </c>
      <c r="D136" s="1" t="s">
        <v>382</v>
      </c>
      <c r="E136" s="563">
        <f t="shared" ref="E136:E144" si="32">F136+S136+AG136</f>
        <v>6466.60932</v>
      </c>
      <c r="F136" s="564">
        <f t="shared" ref="F136:F144" si="33">G136+N136</f>
        <v>5061.71</v>
      </c>
      <c r="G136" s="564">
        <f t="shared" ref="G136:G144" si="34">SUM(H136:M136)</f>
        <v>4019.45</v>
      </c>
      <c r="H136" s="564">
        <v>1279.9</v>
      </c>
      <c r="I136" s="564">
        <v>1562.59</v>
      </c>
      <c r="J136" s="564">
        <v>106.66</v>
      </c>
      <c r="K136" s="564"/>
      <c r="L136" s="564"/>
      <c r="M136" s="564">
        <v>1070.3</v>
      </c>
      <c r="N136" s="563">
        <f t="shared" ref="N136:N144" si="35">SUM(O136:R136)</f>
        <v>1042.26</v>
      </c>
      <c r="O136" s="564">
        <v>741.96</v>
      </c>
      <c r="P136" s="577"/>
      <c r="Q136" s="564">
        <v>157.3</v>
      </c>
      <c r="R136" s="564">
        <v>143</v>
      </c>
      <c r="S136" s="563">
        <f t="shared" ref="S136:S144" si="36">T136+AA136</f>
        <v>0</v>
      </c>
      <c r="T136" s="564">
        <f t="shared" ref="T136:T144" si="37">SUM(U136:Z136)</f>
        <v>0</v>
      </c>
      <c r="U136" s="564"/>
      <c r="V136" s="564"/>
      <c r="W136" s="564"/>
      <c r="X136" s="564"/>
      <c r="Y136" s="564"/>
      <c r="Z136" s="564"/>
      <c r="AA136" s="563">
        <f t="shared" ref="AA136:AA144" si="38">SUM(AB136:AF136)</f>
        <v>0</v>
      </c>
      <c r="AB136" s="564"/>
      <c r="AC136" s="564"/>
      <c r="AD136" s="564"/>
      <c r="AE136" s="564"/>
      <c r="AF136" s="564"/>
      <c r="AG136" s="563">
        <f t="shared" ref="AG136:AG144" si="39">SUM(AH136:AN136)</f>
        <v>1404.89932</v>
      </c>
      <c r="AH136" s="564">
        <f t="shared" ref="AH136:AH144" si="40">(H136+I136+J136+U136+V136+W136+AB136+M136)*0.16</f>
        <v>643.112</v>
      </c>
      <c r="AI136" s="564">
        <f t="shared" ref="AI136:AI144" si="41">(H136+I136+U136+V136+W136+AB136)*0.08</f>
        <v>227.3992</v>
      </c>
      <c r="AJ136" s="564">
        <f t="shared" ref="AJ136:AJ144" si="42">(H136+I136+U136+V136+W136+AB136)*0.06</f>
        <v>170.5494</v>
      </c>
      <c r="AK136" s="564">
        <f t="shared" ref="AK136:AK144" si="43">(H136+I136+U136+V136+W136+AB136)*0.002</f>
        <v>5.68498</v>
      </c>
      <c r="AL136" s="564">
        <f t="shared" ref="AL136:AL144" si="44">(H136+I136+U136+V136+W136+AB136)*0.006</f>
        <v>17.05494</v>
      </c>
      <c r="AM136" s="564">
        <f t="shared" ref="AM136:AM144" si="45">(H136+I136+U136+V136+W136+AB136)*0.12</f>
        <v>341.0988</v>
      </c>
      <c r="AN136" s="564"/>
      <c r="AO136" s="304"/>
    </row>
    <row r="137" s="130" customFormat="1" ht="24" spans="1:41">
      <c r="A137" s="1" t="s">
        <v>202</v>
      </c>
      <c r="B137" s="1" t="s">
        <v>203</v>
      </c>
      <c r="C137" s="1" t="s">
        <v>383</v>
      </c>
      <c r="D137" s="1" t="s">
        <v>382</v>
      </c>
      <c r="E137" s="563">
        <f t="shared" si="32"/>
        <v>820.11068</v>
      </c>
      <c r="F137" s="564">
        <f t="shared" si="33"/>
        <v>710.43</v>
      </c>
      <c r="G137" s="564">
        <f t="shared" si="34"/>
        <v>345.8</v>
      </c>
      <c r="H137" s="564">
        <v>146.12</v>
      </c>
      <c r="I137" s="564">
        <v>72.39</v>
      </c>
      <c r="J137" s="564">
        <v>12.18</v>
      </c>
      <c r="K137" s="564">
        <v>0.96</v>
      </c>
      <c r="L137" s="564">
        <v>25.34</v>
      </c>
      <c r="M137" s="564">
        <v>88.81</v>
      </c>
      <c r="N137" s="563">
        <f t="shared" si="35"/>
        <v>364.63</v>
      </c>
      <c r="O137" s="564">
        <v>336.88</v>
      </c>
      <c r="P137" s="564">
        <v>3.6</v>
      </c>
      <c r="Q137" s="564">
        <v>12.65</v>
      </c>
      <c r="R137" s="564">
        <v>11.5</v>
      </c>
      <c r="S137" s="563">
        <f t="shared" si="36"/>
        <v>0</v>
      </c>
      <c r="T137" s="564">
        <f t="shared" si="37"/>
        <v>0</v>
      </c>
      <c r="U137" s="564"/>
      <c r="V137" s="564"/>
      <c r="W137" s="564"/>
      <c r="X137" s="564"/>
      <c r="Y137" s="564"/>
      <c r="Z137" s="564"/>
      <c r="AA137" s="563">
        <f t="shared" si="38"/>
        <v>0</v>
      </c>
      <c r="AB137" s="564"/>
      <c r="AC137" s="564"/>
      <c r="AD137" s="564"/>
      <c r="AE137" s="564"/>
      <c r="AF137" s="564"/>
      <c r="AG137" s="563">
        <f t="shared" si="39"/>
        <v>109.68068</v>
      </c>
      <c r="AH137" s="564">
        <f t="shared" si="40"/>
        <v>51.12</v>
      </c>
      <c r="AI137" s="564">
        <f t="shared" si="41"/>
        <v>17.4808</v>
      </c>
      <c r="AJ137" s="564">
        <f t="shared" si="42"/>
        <v>13.1106</v>
      </c>
      <c r="AK137" s="564">
        <f t="shared" si="43"/>
        <v>0.43702</v>
      </c>
      <c r="AL137" s="564">
        <f t="shared" si="44"/>
        <v>1.31106</v>
      </c>
      <c r="AM137" s="564">
        <f t="shared" si="45"/>
        <v>26.2212</v>
      </c>
      <c r="AN137" s="564"/>
      <c r="AO137" s="304"/>
    </row>
    <row r="138" s="130" customFormat="1" ht="24" spans="1:41">
      <c r="A138" s="1" t="s">
        <v>202</v>
      </c>
      <c r="B138" s="1" t="s">
        <v>203</v>
      </c>
      <c r="C138" s="1" t="s">
        <v>384</v>
      </c>
      <c r="D138" s="1" t="s">
        <v>382</v>
      </c>
      <c r="E138" s="563">
        <f t="shared" si="32"/>
        <v>59.67</v>
      </c>
      <c r="F138" s="564">
        <f t="shared" si="33"/>
        <v>59.67</v>
      </c>
      <c r="G138" s="564">
        <f t="shared" si="34"/>
        <v>0</v>
      </c>
      <c r="H138" s="564"/>
      <c r="I138" s="564"/>
      <c r="J138" s="564"/>
      <c r="K138" s="564"/>
      <c r="L138" s="564"/>
      <c r="M138" s="564"/>
      <c r="N138" s="563">
        <f t="shared" si="35"/>
        <v>59.67</v>
      </c>
      <c r="O138" s="564">
        <v>59.67</v>
      </c>
      <c r="P138" s="564"/>
      <c r="Q138" s="564"/>
      <c r="R138" s="564"/>
      <c r="S138" s="563">
        <f t="shared" si="36"/>
        <v>0</v>
      </c>
      <c r="T138" s="564">
        <f t="shared" si="37"/>
        <v>0</v>
      </c>
      <c r="U138" s="564"/>
      <c r="V138" s="564"/>
      <c r="W138" s="564"/>
      <c r="X138" s="564"/>
      <c r="Y138" s="564"/>
      <c r="Z138" s="564"/>
      <c r="AA138" s="563">
        <f t="shared" si="38"/>
        <v>0</v>
      </c>
      <c r="AB138" s="564"/>
      <c r="AC138" s="564"/>
      <c r="AD138" s="564"/>
      <c r="AE138" s="564"/>
      <c r="AF138" s="564"/>
      <c r="AG138" s="563">
        <f t="shared" si="39"/>
        <v>0</v>
      </c>
      <c r="AH138" s="564">
        <f t="shared" si="40"/>
        <v>0</v>
      </c>
      <c r="AI138" s="564">
        <f t="shared" si="41"/>
        <v>0</v>
      </c>
      <c r="AJ138" s="564">
        <f t="shared" si="42"/>
        <v>0</v>
      </c>
      <c r="AK138" s="564">
        <f t="shared" si="43"/>
        <v>0</v>
      </c>
      <c r="AL138" s="564">
        <f t="shared" si="44"/>
        <v>0</v>
      </c>
      <c r="AM138" s="564">
        <f t="shared" si="45"/>
        <v>0</v>
      </c>
      <c r="AN138" s="564"/>
      <c r="AO138" s="304"/>
    </row>
    <row r="139" s="130" customFormat="1" ht="24" spans="1:41">
      <c r="A139" s="1" t="s">
        <v>202</v>
      </c>
      <c r="B139" s="1" t="s">
        <v>206</v>
      </c>
      <c r="C139" s="1" t="s">
        <v>385</v>
      </c>
      <c r="D139" s="1" t="s">
        <v>386</v>
      </c>
      <c r="E139" s="563">
        <f t="shared" si="32"/>
        <v>329.238</v>
      </c>
      <c r="F139" s="564">
        <f t="shared" si="33"/>
        <v>0</v>
      </c>
      <c r="G139" s="564">
        <f t="shared" si="34"/>
        <v>0</v>
      </c>
      <c r="H139" s="564"/>
      <c r="I139" s="564"/>
      <c r="J139" s="564"/>
      <c r="K139" s="564"/>
      <c r="L139" s="564"/>
      <c r="M139" s="564"/>
      <c r="N139" s="563">
        <f t="shared" si="35"/>
        <v>0</v>
      </c>
      <c r="O139" s="564"/>
      <c r="P139" s="564"/>
      <c r="Q139" s="564"/>
      <c r="R139" s="564"/>
      <c r="S139" s="563">
        <f t="shared" si="36"/>
        <v>249.63</v>
      </c>
      <c r="T139" s="564">
        <f t="shared" si="37"/>
        <v>204.77</v>
      </c>
      <c r="U139" s="564">
        <v>112.8</v>
      </c>
      <c r="V139" s="564">
        <v>0.24</v>
      </c>
      <c r="W139" s="564">
        <v>45.6</v>
      </c>
      <c r="X139" s="564"/>
      <c r="Y139" s="564"/>
      <c r="Z139" s="564">
        <v>46.13</v>
      </c>
      <c r="AA139" s="563">
        <f t="shared" si="38"/>
        <v>44.86</v>
      </c>
      <c r="AB139" s="564">
        <v>27.36</v>
      </c>
      <c r="AC139" s="564"/>
      <c r="AD139" s="564"/>
      <c r="AE139" s="564"/>
      <c r="AF139" s="564">
        <v>17.5</v>
      </c>
      <c r="AG139" s="563">
        <f t="shared" si="39"/>
        <v>79.608</v>
      </c>
      <c r="AH139" s="564">
        <f t="shared" si="40"/>
        <v>29.76</v>
      </c>
      <c r="AI139" s="564">
        <f t="shared" si="41"/>
        <v>14.88</v>
      </c>
      <c r="AJ139" s="564">
        <f t="shared" si="42"/>
        <v>11.16</v>
      </c>
      <c r="AK139" s="564">
        <f t="shared" si="43"/>
        <v>0.372</v>
      </c>
      <c r="AL139" s="564">
        <f t="shared" si="44"/>
        <v>1.116</v>
      </c>
      <c r="AM139" s="564">
        <f t="shared" si="45"/>
        <v>22.32</v>
      </c>
      <c r="AN139" s="564"/>
      <c r="AO139" s="304"/>
    </row>
    <row r="140" s="130" customFormat="1" ht="24" spans="1:41">
      <c r="A140" s="1" t="s">
        <v>202</v>
      </c>
      <c r="B140" s="1" t="s">
        <v>203</v>
      </c>
      <c r="C140" s="1" t="s">
        <v>389</v>
      </c>
      <c r="D140" s="1" t="s">
        <v>390</v>
      </c>
      <c r="E140" s="563">
        <f t="shared" si="32"/>
        <v>853.23084</v>
      </c>
      <c r="F140" s="564">
        <f t="shared" si="33"/>
        <v>688.8</v>
      </c>
      <c r="G140" s="564">
        <f t="shared" si="34"/>
        <v>568.72</v>
      </c>
      <c r="H140" s="564">
        <v>191.73</v>
      </c>
      <c r="I140" s="564">
        <v>126.2</v>
      </c>
      <c r="J140" s="564">
        <v>16.42</v>
      </c>
      <c r="K140" s="564">
        <v>7.32</v>
      </c>
      <c r="L140" s="564">
        <v>66.24</v>
      </c>
      <c r="M140" s="564">
        <v>160.81</v>
      </c>
      <c r="N140" s="563">
        <f t="shared" si="35"/>
        <v>120.08</v>
      </c>
      <c r="O140" s="564">
        <v>69.68</v>
      </c>
      <c r="P140" s="566"/>
      <c r="Q140" s="564">
        <v>26.4</v>
      </c>
      <c r="R140" s="564">
        <v>24</v>
      </c>
      <c r="S140" s="563">
        <f t="shared" si="36"/>
        <v>0</v>
      </c>
      <c r="T140" s="564">
        <f t="shared" si="37"/>
        <v>0</v>
      </c>
      <c r="U140" s="564"/>
      <c r="V140" s="564"/>
      <c r="W140" s="564"/>
      <c r="X140" s="564"/>
      <c r="Y140" s="564"/>
      <c r="Z140" s="564"/>
      <c r="AA140" s="563">
        <f t="shared" si="38"/>
        <v>0</v>
      </c>
      <c r="AB140" s="564"/>
      <c r="AC140" s="564"/>
      <c r="AD140" s="564"/>
      <c r="AE140" s="564"/>
      <c r="AF140" s="564"/>
      <c r="AG140" s="563">
        <f t="shared" si="39"/>
        <v>164.43084</v>
      </c>
      <c r="AH140" s="564">
        <f t="shared" si="40"/>
        <v>79.2256</v>
      </c>
      <c r="AI140" s="564">
        <f t="shared" si="41"/>
        <v>25.4344</v>
      </c>
      <c r="AJ140" s="564">
        <f t="shared" si="42"/>
        <v>19.0758</v>
      </c>
      <c r="AK140" s="564">
        <f t="shared" si="43"/>
        <v>0.63586</v>
      </c>
      <c r="AL140" s="564">
        <f t="shared" si="44"/>
        <v>1.90758</v>
      </c>
      <c r="AM140" s="564">
        <f t="shared" si="45"/>
        <v>38.1516</v>
      </c>
      <c r="AN140" s="564"/>
      <c r="AO140" s="304"/>
    </row>
    <row r="141" s="130" customFormat="1" ht="24" spans="1:41">
      <c r="A141" s="1" t="s">
        <v>202</v>
      </c>
      <c r="B141" s="1" t="s">
        <v>391</v>
      </c>
      <c r="C141" s="1" t="s">
        <v>392</v>
      </c>
      <c r="D141" s="1" t="s">
        <v>393</v>
      </c>
      <c r="E141" s="563">
        <f t="shared" si="32"/>
        <v>10</v>
      </c>
      <c r="F141" s="564">
        <f t="shared" si="33"/>
        <v>0</v>
      </c>
      <c r="G141" s="564">
        <f t="shared" si="34"/>
        <v>0</v>
      </c>
      <c r="H141" s="564"/>
      <c r="I141" s="564"/>
      <c r="J141" s="564"/>
      <c r="K141" s="564"/>
      <c r="L141" s="564"/>
      <c r="M141" s="564"/>
      <c r="N141" s="563">
        <f t="shared" si="35"/>
        <v>0</v>
      </c>
      <c r="O141" s="564"/>
      <c r="P141" s="564"/>
      <c r="Q141" s="564"/>
      <c r="R141" s="564"/>
      <c r="S141" s="563">
        <f t="shared" si="36"/>
        <v>10</v>
      </c>
      <c r="T141" s="564">
        <f t="shared" si="37"/>
        <v>0</v>
      </c>
      <c r="U141" s="564"/>
      <c r="V141" s="564"/>
      <c r="W141" s="564"/>
      <c r="X141" s="564"/>
      <c r="Y141" s="564"/>
      <c r="Z141" s="564"/>
      <c r="AA141" s="563">
        <f t="shared" si="38"/>
        <v>10</v>
      </c>
      <c r="AB141" s="564"/>
      <c r="AC141" s="564"/>
      <c r="AD141" s="564">
        <v>10</v>
      </c>
      <c r="AE141" s="564"/>
      <c r="AF141" s="564"/>
      <c r="AG141" s="563">
        <f t="shared" si="39"/>
        <v>0</v>
      </c>
      <c r="AH141" s="564">
        <f t="shared" si="40"/>
        <v>0</v>
      </c>
      <c r="AI141" s="564">
        <f t="shared" si="41"/>
        <v>0</v>
      </c>
      <c r="AJ141" s="564">
        <f t="shared" si="42"/>
        <v>0</v>
      </c>
      <c r="AK141" s="564">
        <f t="shared" si="43"/>
        <v>0</v>
      </c>
      <c r="AL141" s="564">
        <f t="shared" si="44"/>
        <v>0</v>
      </c>
      <c r="AM141" s="564">
        <f t="shared" si="45"/>
        <v>0</v>
      </c>
      <c r="AN141" s="564"/>
      <c r="AO141" s="304"/>
    </row>
    <row r="142" s="130" customFormat="1" ht="24" spans="1:41">
      <c r="A142" s="1" t="s">
        <v>202</v>
      </c>
      <c r="B142" s="1" t="s">
        <v>206</v>
      </c>
      <c r="C142" s="1" t="s">
        <v>394</v>
      </c>
      <c r="D142" s="1" t="s">
        <v>393</v>
      </c>
      <c r="E142" s="563">
        <f t="shared" si="32"/>
        <v>49.40816</v>
      </c>
      <c r="F142" s="564">
        <f t="shared" si="33"/>
        <v>0</v>
      </c>
      <c r="G142" s="564">
        <f t="shared" si="34"/>
        <v>0</v>
      </c>
      <c r="H142" s="564"/>
      <c r="I142" s="564"/>
      <c r="J142" s="564"/>
      <c r="K142" s="564"/>
      <c r="L142" s="564"/>
      <c r="M142" s="564"/>
      <c r="N142" s="563">
        <f t="shared" si="35"/>
        <v>0</v>
      </c>
      <c r="O142" s="564"/>
      <c r="P142" s="564"/>
      <c r="Q142" s="564"/>
      <c r="R142" s="564"/>
      <c r="S142" s="563">
        <f t="shared" si="36"/>
        <v>38.4</v>
      </c>
      <c r="T142" s="564">
        <f t="shared" si="37"/>
        <v>31.42</v>
      </c>
      <c r="U142" s="564">
        <v>16.44</v>
      </c>
      <c r="V142" s="564"/>
      <c r="W142" s="564">
        <v>5.8</v>
      </c>
      <c r="X142" s="564"/>
      <c r="Y142" s="564"/>
      <c r="Z142" s="564">
        <v>9.18</v>
      </c>
      <c r="AA142" s="563">
        <f t="shared" si="38"/>
        <v>6.98</v>
      </c>
      <c r="AB142" s="564">
        <v>3.48</v>
      </c>
      <c r="AC142" s="564"/>
      <c r="AD142" s="564"/>
      <c r="AE142" s="564"/>
      <c r="AF142" s="564">
        <v>3.5</v>
      </c>
      <c r="AG142" s="563">
        <f t="shared" si="39"/>
        <v>11.00816</v>
      </c>
      <c r="AH142" s="564">
        <f t="shared" si="40"/>
        <v>4.1152</v>
      </c>
      <c r="AI142" s="564">
        <f t="shared" si="41"/>
        <v>2.0576</v>
      </c>
      <c r="AJ142" s="564">
        <f t="shared" si="42"/>
        <v>1.5432</v>
      </c>
      <c r="AK142" s="564">
        <f t="shared" si="43"/>
        <v>0.05144</v>
      </c>
      <c r="AL142" s="564">
        <f t="shared" si="44"/>
        <v>0.15432</v>
      </c>
      <c r="AM142" s="564">
        <f t="shared" si="45"/>
        <v>3.0864</v>
      </c>
      <c r="AN142" s="564"/>
      <c r="AO142" s="304"/>
    </row>
    <row r="143" s="130" customFormat="1" ht="24" spans="1:41">
      <c r="A143" s="1" t="s">
        <v>202</v>
      </c>
      <c r="B143" s="1" t="s">
        <v>206</v>
      </c>
      <c r="C143" s="1" t="s">
        <v>395</v>
      </c>
      <c r="D143" s="1" t="s">
        <v>393</v>
      </c>
      <c r="E143" s="563">
        <f t="shared" si="32"/>
        <v>20.706</v>
      </c>
      <c r="F143" s="564">
        <f t="shared" si="33"/>
        <v>0</v>
      </c>
      <c r="G143" s="564">
        <f t="shared" si="34"/>
        <v>0</v>
      </c>
      <c r="H143" s="564"/>
      <c r="I143" s="564"/>
      <c r="J143" s="564"/>
      <c r="K143" s="564"/>
      <c r="L143" s="564"/>
      <c r="M143" s="564"/>
      <c r="N143" s="563">
        <f t="shared" si="35"/>
        <v>0</v>
      </c>
      <c r="O143" s="564"/>
      <c r="P143" s="564"/>
      <c r="Q143" s="564"/>
      <c r="R143" s="564"/>
      <c r="S143" s="563">
        <f t="shared" si="36"/>
        <v>14.5</v>
      </c>
      <c r="T143" s="564">
        <f t="shared" si="37"/>
        <v>12.25</v>
      </c>
      <c r="U143" s="564">
        <v>8.5</v>
      </c>
      <c r="V143" s="564"/>
      <c r="W143" s="564">
        <v>3.75</v>
      </c>
      <c r="X143" s="564"/>
      <c r="Y143" s="564"/>
      <c r="Z143" s="564"/>
      <c r="AA143" s="563">
        <f t="shared" si="38"/>
        <v>2.25</v>
      </c>
      <c r="AB143" s="564">
        <v>2.25</v>
      </c>
      <c r="AC143" s="564"/>
      <c r="AD143" s="564"/>
      <c r="AE143" s="564"/>
      <c r="AF143" s="564"/>
      <c r="AG143" s="563">
        <f t="shared" si="39"/>
        <v>6.206</v>
      </c>
      <c r="AH143" s="564">
        <f t="shared" si="40"/>
        <v>2.32</v>
      </c>
      <c r="AI143" s="564">
        <f t="shared" si="41"/>
        <v>1.16</v>
      </c>
      <c r="AJ143" s="564">
        <f t="shared" si="42"/>
        <v>0.87</v>
      </c>
      <c r="AK143" s="564">
        <f t="shared" si="43"/>
        <v>0.029</v>
      </c>
      <c r="AL143" s="564">
        <f t="shared" si="44"/>
        <v>0.087</v>
      </c>
      <c r="AM143" s="564">
        <f t="shared" si="45"/>
        <v>1.74</v>
      </c>
      <c r="AN143" s="564"/>
      <c r="AO143" s="304"/>
    </row>
    <row r="144" s="130" customFormat="1" ht="24" spans="1:41">
      <c r="A144" s="1" t="s">
        <v>202</v>
      </c>
      <c r="B144" s="1" t="s">
        <v>203</v>
      </c>
      <c r="C144" s="1" t="s">
        <v>396</v>
      </c>
      <c r="D144" s="1" t="s">
        <v>397</v>
      </c>
      <c r="E144" s="563">
        <f t="shared" si="32"/>
        <v>83.42416</v>
      </c>
      <c r="F144" s="564">
        <f t="shared" si="33"/>
        <v>63.61</v>
      </c>
      <c r="G144" s="564">
        <f t="shared" si="34"/>
        <v>57.81</v>
      </c>
      <c r="H144" s="564">
        <v>24.69</v>
      </c>
      <c r="I144" s="564">
        <v>14.73</v>
      </c>
      <c r="J144" s="564">
        <v>2.06</v>
      </c>
      <c r="K144" s="564"/>
      <c r="L144" s="564"/>
      <c r="M144" s="564">
        <v>16.33</v>
      </c>
      <c r="N144" s="563">
        <f t="shared" si="35"/>
        <v>5.8</v>
      </c>
      <c r="O144" s="564"/>
      <c r="P144" s="564"/>
      <c r="Q144" s="564">
        <v>2.8</v>
      </c>
      <c r="R144" s="564">
        <v>3</v>
      </c>
      <c r="S144" s="563">
        <f t="shared" si="36"/>
        <v>0</v>
      </c>
      <c r="T144" s="564">
        <f t="shared" si="37"/>
        <v>0</v>
      </c>
      <c r="U144" s="564"/>
      <c r="V144" s="564"/>
      <c r="W144" s="564"/>
      <c r="X144" s="564"/>
      <c r="Y144" s="564"/>
      <c r="Z144" s="564"/>
      <c r="AA144" s="563">
        <f t="shared" si="38"/>
        <v>0</v>
      </c>
      <c r="AB144" s="564"/>
      <c r="AC144" s="564"/>
      <c r="AD144" s="564"/>
      <c r="AE144" s="564"/>
      <c r="AF144" s="564"/>
      <c r="AG144" s="563">
        <f t="shared" si="39"/>
        <v>19.81416</v>
      </c>
      <c r="AH144" s="564">
        <f t="shared" si="40"/>
        <v>9.2496</v>
      </c>
      <c r="AI144" s="564">
        <f t="shared" si="41"/>
        <v>3.1536</v>
      </c>
      <c r="AJ144" s="564">
        <f t="shared" si="42"/>
        <v>2.3652</v>
      </c>
      <c r="AK144" s="564">
        <f t="shared" si="43"/>
        <v>0.07884</v>
      </c>
      <c r="AL144" s="564">
        <f t="shared" si="44"/>
        <v>0.23652</v>
      </c>
      <c r="AM144" s="564">
        <f t="shared" si="45"/>
        <v>4.7304</v>
      </c>
      <c r="AN144" s="564"/>
      <c r="AO144" s="304"/>
    </row>
    <row r="145" s="508" customFormat="1" ht="21" customHeight="1" spans="1:42">
      <c r="A145" s="525"/>
      <c r="B145" s="525"/>
      <c r="C145" s="525" t="s">
        <v>129</v>
      </c>
      <c r="D145" s="526">
        <v>205</v>
      </c>
      <c r="E145" s="561">
        <f t="shared" ref="E145:AN145" si="46">SUM(E146:E206)</f>
        <v>60637.9184516</v>
      </c>
      <c r="F145" s="561">
        <f t="shared" si="46"/>
        <v>97.64</v>
      </c>
      <c r="G145" s="561">
        <f t="shared" si="46"/>
        <v>91.19</v>
      </c>
      <c r="H145" s="561">
        <f t="shared" si="46"/>
        <v>47.74</v>
      </c>
      <c r="I145" s="561">
        <f t="shared" si="46"/>
        <v>28.05</v>
      </c>
      <c r="J145" s="561">
        <f t="shared" si="46"/>
        <v>4.41</v>
      </c>
      <c r="K145" s="561">
        <f t="shared" si="46"/>
        <v>0</v>
      </c>
      <c r="L145" s="561">
        <f t="shared" si="46"/>
        <v>0</v>
      </c>
      <c r="M145" s="561">
        <f t="shared" si="46"/>
        <v>10.99</v>
      </c>
      <c r="N145" s="561">
        <f t="shared" si="46"/>
        <v>6.45</v>
      </c>
      <c r="O145" s="561">
        <f t="shared" si="46"/>
        <v>0</v>
      </c>
      <c r="P145" s="561">
        <f t="shared" si="46"/>
        <v>0</v>
      </c>
      <c r="Q145" s="561">
        <f t="shared" si="46"/>
        <v>4.95</v>
      </c>
      <c r="R145" s="561">
        <f t="shared" si="46"/>
        <v>1.5</v>
      </c>
      <c r="S145" s="561">
        <f t="shared" si="46"/>
        <v>47398.8737</v>
      </c>
      <c r="T145" s="561">
        <f t="shared" si="46"/>
        <v>39823.948</v>
      </c>
      <c r="U145" s="561">
        <f t="shared" si="46"/>
        <v>20709.6528</v>
      </c>
      <c r="V145" s="561">
        <f t="shared" si="46"/>
        <v>57.4492</v>
      </c>
      <c r="W145" s="561">
        <f t="shared" si="46"/>
        <v>6159.526</v>
      </c>
      <c r="X145" s="561">
        <f t="shared" si="46"/>
        <v>570.47</v>
      </c>
      <c r="Y145" s="561">
        <f t="shared" si="46"/>
        <v>0</v>
      </c>
      <c r="Z145" s="561">
        <f t="shared" si="46"/>
        <v>12326.85</v>
      </c>
      <c r="AA145" s="561">
        <f t="shared" si="46"/>
        <v>7574.9257</v>
      </c>
      <c r="AB145" s="561">
        <f t="shared" si="46"/>
        <v>3696.0417</v>
      </c>
      <c r="AC145" s="561">
        <f t="shared" si="46"/>
        <v>0</v>
      </c>
      <c r="AD145" s="561">
        <f t="shared" si="46"/>
        <v>0</v>
      </c>
      <c r="AE145" s="561">
        <f t="shared" si="46"/>
        <v>2126.634</v>
      </c>
      <c r="AF145" s="561">
        <f t="shared" si="46"/>
        <v>1752.25</v>
      </c>
      <c r="AG145" s="561">
        <f t="shared" si="46"/>
        <v>13141.4047516</v>
      </c>
      <c r="AH145" s="561">
        <f t="shared" si="46"/>
        <v>4914.217552</v>
      </c>
      <c r="AI145" s="561">
        <f t="shared" si="46"/>
        <v>2455.876776</v>
      </c>
      <c r="AJ145" s="561">
        <f t="shared" si="46"/>
        <v>1841.907582</v>
      </c>
      <c r="AK145" s="561">
        <f t="shared" si="46"/>
        <v>61.3969194</v>
      </c>
      <c r="AL145" s="561">
        <f t="shared" si="46"/>
        <v>184.1907582</v>
      </c>
      <c r="AM145" s="561">
        <f t="shared" si="46"/>
        <v>3683.815164</v>
      </c>
      <c r="AN145" s="561">
        <f t="shared" si="46"/>
        <v>0</v>
      </c>
      <c r="AO145" s="334"/>
      <c r="AP145" s="580"/>
    </row>
    <row r="146" s="130" customFormat="1" ht="95" customHeight="1" spans="1:41">
      <c r="A146" s="1" t="s">
        <v>202</v>
      </c>
      <c r="B146" s="1" t="s">
        <v>203</v>
      </c>
      <c r="C146" s="1" t="s">
        <v>398</v>
      </c>
      <c r="D146" s="1" t="s">
        <v>399</v>
      </c>
      <c r="E146" s="563">
        <f t="shared" ref="E146:E206" si="47">F146+S146+AG146</f>
        <v>16227.46348</v>
      </c>
      <c r="F146" s="564">
        <f t="shared" ref="F146:F206" si="48">G146+N146</f>
        <v>59.75</v>
      </c>
      <c r="G146" s="564">
        <f t="shared" ref="G146:G206" si="49">SUM(H146:M146)</f>
        <v>56.45</v>
      </c>
      <c r="H146" s="564">
        <v>34.08</v>
      </c>
      <c r="I146" s="564">
        <v>19.53</v>
      </c>
      <c r="J146" s="564">
        <v>2.84</v>
      </c>
      <c r="K146" s="564"/>
      <c r="L146" s="564"/>
      <c r="M146" s="577"/>
      <c r="N146" s="563">
        <f t="shared" ref="N146:N206" si="50">SUM(O146:R146)</f>
        <v>3.3</v>
      </c>
      <c r="O146" s="564"/>
      <c r="P146" s="564"/>
      <c r="Q146" s="564">
        <v>3.3</v>
      </c>
      <c r="R146" s="564"/>
      <c r="S146" s="563">
        <f t="shared" ref="S146:S206" si="51">T146+AA146</f>
        <v>16144.314</v>
      </c>
      <c r="T146" s="564">
        <f t="shared" ref="T146:T206" si="52">SUM(U146:Z146)</f>
        <v>12290.6</v>
      </c>
      <c r="U146" s="578"/>
      <c r="V146" s="578"/>
      <c r="W146" s="578"/>
      <c r="X146" s="564"/>
      <c r="Y146" s="564"/>
      <c r="Z146" s="564">
        <v>12290.6</v>
      </c>
      <c r="AA146" s="563">
        <f t="shared" ref="AA146:AA206" si="53">SUM(AB146:AF146)</f>
        <v>3853.714</v>
      </c>
      <c r="AB146" s="564"/>
      <c r="AC146" s="564"/>
      <c r="AD146" s="564"/>
      <c r="AE146" s="578">
        <f>5963.89+149.574-4000</f>
        <v>2113.464</v>
      </c>
      <c r="AF146" s="564">
        <v>1740.25</v>
      </c>
      <c r="AG146" s="563">
        <f t="shared" ref="AG146:AG206" si="54">SUM(AH146:AN146)</f>
        <v>23.39948</v>
      </c>
      <c r="AH146" s="564">
        <f t="shared" ref="AH146:AH206" si="55">(H146+I146+J146+U146+V146+W146+AB146+M146)*0.16</f>
        <v>9.032</v>
      </c>
      <c r="AI146" s="564">
        <f t="shared" ref="AI146:AI206" si="56">(H146+I146+U146+V146+W146+AB146)*0.08</f>
        <v>4.2888</v>
      </c>
      <c r="AJ146" s="564">
        <f t="shared" ref="AJ146:AJ206" si="57">(H146+I146+U146+V146+W146+AB146)*0.06</f>
        <v>3.2166</v>
      </c>
      <c r="AK146" s="564">
        <f t="shared" ref="AK146:AK206" si="58">(H146+I146+U146+V146+W146+AB146)*0.002</f>
        <v>0.10722</v>
      </c>
      <c r="AL146" s="564">
        <f t="shared" ref="AL146:AL206" si="59">(H146+I146+U146+V146+W146+AB146)*0.006</f>
        <v>0.32166</v>
      </c>
      <c r="AM146" s="564">
        <f t="shared" ref="AM146:AM206" si="60">(H146+I146+U146+V146+W146+AB146)*0.12</f>
        <v>6.4332</v>
      </c>
      <c r="AN146" s="564"/>
      <c r="AO146" s="528" t="s">
        <v>726</v>
      </c>
    </row>
    <row r="147" s="130" customFormat="1" ht="24" spans="1:41">
      <c r="A147" s="1" t="s">
        <v>202</v>
      </c>
      <c r="B147" s="1" t="s">
        <v>400</v>
      </c>
      <c r="C147" s="1" t="s">
        <v>401</v>
      </c>
      <c r="D147" s="1" t="s">
        <v>402</v>
      </c>
      <c r="E147" s="563">
        <f t="shared" si="47"/>
        <v>3186.21072</v>
      </c>
      <c r="F147" s="564">
        <f t="shared" si="48"/>
        <v>0</v>
      </c>
      <c r="G147" s="564">
        <f t="shared" si="49"/>
        <v>0</v>
      </c>
      <c r="H147" s="564"/>
      <c r="I147" s="564"/>
      <c r="J147" s="564"/>
      <c r="K147" s="564"/>
      <c r="L147" s="564"/>
      <c r="M147" s="564"/>
      <c r="N147" s="563">
        <f t="shared" si="50"/>
        <v>0</v>
      </c>
      <c r="O147" s="564"/>
      <c r="P147" s="564"/>
      <c r="Q147" s="564"/>
      <c r="R147" s="564"/>
      <c r="S147" s="563">
        <f t="shared" si="51"/>
        <v>2231.24</v>
      </c>
      <c r="T147" s="564">
        <f t="shared" si="52"/>
        <v>1968.29</v>
      </c>
      <c r="U147" s="564">
        <v>1527.24</v>
      </c>
      <c r="V147" s="564">
        <v>2.8</v>
      </c>
      <c r="W147" s="564">
        <v>438.25</v>
      </c>
      <c r="X147" s="564"/>
      <c r="Y147" s="564"/>
      <c r="Z147" s="564"/>
      <c r="AA147" s="563">
        <f t="shared" si="53"/>
        <v>262.95</v>
      </c>
      <c r="AB147" s="564">
        <v>262.95</v>
      </c>
      <c r="AC147" s="564"/>
      <c r="AD147" s="564"/>
      <c r="AE147" s="564"/>
      <c r="AF147" s="564"/>
      <c r="AG147" s="563">
        <f t="shared" si="54"/>
        <v>954.97072</v>
      </c>
      <c r="AH147" s="564">
        <f t="shared" si="55"/>
        <v>356.9984</v>
      </c>
      <c r="AI147" s="564">
        <f t="shared" si="56"/>
        <v>178.4992</v>
      </c>
      <c r="AJ147" s="564">
        <f t="shared" si="57"/>
        <v>133.8744</v>
      </c>
      <c r="AK147" s="564">
        <f t="shared" si="58"/>
        <v>4.46248</v>
      </c>
      <c r="AL147" s="564">
        <f t="shared" si="59"/>
        <v>13.38744</v>
      </c>
      <c r="AM147" s="564">
        <f t="shared" si="60"/>
        <v>267.7488</v>
      </c>
      <c r="AN147" s="564"/>
      <c r="AO147" s="304"/>
    </row>
    <row r="148" s="130" customFormat="1" ht="24" spans="1:41">
      <c r="A148" s="1" t="s">
        <v>202</v>
      </c>
      <c r="B148" s="1" t="s">
        <v>400</v>
      </c>
      <c r="C148" s="1" t="s">
        <v>403</v>
      </c>
      <c r="D148" s="1" t="s">
        <v>402</v>
      </c>
      <c r="E148" s="563">
        <f t="shared" si="47"/>
        <v>2306.47704</v>
      </c>
      <c r="F148" s="564">
        <f t="shared" si="48"/>
        <v>0</v>
      </c>
      <c r="G148" s="564">
        <f t="shared" si="49"/>
        <v>0</v>
      </c>
      <c r="H148" s="564"/>
      <c r="I148" s="564"/>
      <c r="J148" s="564"/>
      <c r="K148" s="564"/>
      <c r="L148" s="564"/>
      <c r="M148" s="564"/>
      <c r="N148" s="563">
        <f t="shared" si="50"/>
        <v>0</v>
      </c>
      <c r="O148" s="564"/>
      <c r="P148" s="564"/>
      <c r="Q148" s="564"/>
      <c r="R148" s="564"/>
      <c r="S148" s="563">
        <f t="shared" si="51"/>
        <v>1615.18</v>
      </c>
      <c r="T148" s="564">
        <f t="shared" si="52"/>
        <v>1424.78</v>
      </c>
      <c r="U148" s="564">
        <v>1105.56</v>
      </c>
      <c r="V148" s="564">
        <v>1.89</v>
      </c>
      <c r="W148" s="564">
        <v>317.33</v>
      </c>
      <c r="X148" s="564"/>
      <c r="Y148" s="564"/>
      <c r="Z148" s="564"/>
      <c r="AA148" s="563">
        <f t="shared" si="53"/>
        <v>190.4</v>
      </c>
      <c r="AB148" s="564">
        <v>190.4</v>
      </c>
      <c r="AC148" s="564"/>
      <c r="AD148" s="564"/>
      <c r="AE148" s="564"/>
      <c r="AF148" s="564"/>
      <c r="AG148" s="563">
        <f t="shared" si="54"/>
        <v>691.29704</v>
      </c>
      <c r="AH148" s="564">
        <f t="shared" si="55"/>
        <v>258.4288</v>
      </c>
      <c r="AI148" s="564">
        <f t="shared" si="56"/>
        <v>129.2144</v>
      </c>
      <c r="AJ148" s="564">
        <f t="shared" si="57"/>
        <v>96.9108</v>
      </c>
      <c r="AK148" s="564">
        <f t="shared" si="58"/>
        <v>3.23036</v>
      </c>
      <c r="AL148" s="564">
        <f t="shared" si="59"/>
        <v>9.69108</v>
      </c>
      <c r="AM148" s="564">
        <f t="shared" si="60"/>
        <v>193.8216</v>
      </c>
      <c r="AN148" s="564"/>
      <c r="AO148" s="304"/>
    </row>
    <row r="149" s="130" customFormat="1" ht="24" spans="1:41">
      <c r="A149" s="1" t="s">
        <v>202</v>
      </c>
      <c r="B149" s="1" t="s">
        <v>404</v>
      </c>
      <c r="C149" s="1" t="s">
        <v>405</v>
      </c>
      <c r="D149" s="1" t="s">
        <v>406</v>
      </c>
      <c r="E149" s="563">
        <f t="shared" si="47"/>
        <v>2093.3756004</v>
      </c>
      <c r="F149" s="564">
        <f t="shared" si="48"/>
        <v>0</v>
      </c>
      <c r="G149" s="564">
        <f t="shared" si="49"/>
        <v>0</v>
      </c>
      <c r="H149" s="564"/>
      <c r="I149" s="564"/>
      <c r="J149" s="564"/>
      <c r="K149" s="564"/>
      <c r="L149" s="564"/>
      <c r="M149" s="564"/>
      <c r="N149" s="563">
        <f t="shared" si="50"/>
        <v>0</v>
      </c>
      <c r="O149" s="564"/>
      <c r="P149" s="564"/>
      <c r="Q149" s="564"/>
      <c r="R149" s="564"/>
      <c r="S149" s="563">
        <f t="shared" si="51"/>
        <v>1465.9493</v>
      </c>
      <c r="T149" s="564">
        <f t="shared" si="52"/>
        <v>1287.102</v>
      </c>
      <c r="U149" s="564">
        <v>986.694</v>
      </c>
      <c r="V149" s="564">
        <v>2.3292</v>
      </c>
      <c r="W149" s="564">
        <v>298.0788</v>
      </c>
      <c r="X149" s="564"/>
      <c r="Y149" s="564"/>
      <c r="Z149" s="564"/>
      <c r="AA149" s="563">
        <f t="shared" si="53"/>
        <v>178.8473</v>
      </c>
      <c r="AB149" s="564">
        <v>178.8473</v>
      </c>
      <c r="AC149" s="564"/>
      <c r="AD149" s="564"/>
      <c r="AE149" s="564"/>
      <c r="AF149" s="564"/>
      <c r="AG149" s="563">
        <f t="shared" si="54"/>
        <v>627.4263004</v>
      </c>
      <c r="AH149" s="564">
        <f t="shared" si="55"/>
        <v>234.551888</v>
      </c>
      <c r="AI149" s="564">
        <f t="shared" si="56"/>
        <v>117.275944</v>
      </c>
      <c r="AJ149" s="564">
        <f t="shared" si="57"/>
        <v>87.956958</v>
      </c>
      <c r="AK149" s="564">
        <f t="shared" si="58"/>
        <v>2.9318986</v>
      </c>
      <c r="AL149" s="564">
        <f t="shared" si="59"/>
        <v>8.7956958</v>
      </c>
      <c r="AM149" s="564">
        <f t="shared" si="60"/>
        <v>175.913916</v>
      </c>
      <c r="AN149" s="564"/>
      <c r="AO149" s="304"/>
    </row>
    <row r="150" s="130" customFormat="1" ht="24" spans="1:41">
      <c r="A150" s="1" t="s">
        <v>202</v>
      </c>
      <c r="B150" s="1" t="s">
        <v>404</v>
      </c>
      <c r="C150" s="1" t="s">
        <v>407</v>
      </c>
      <c r="D150" s="1" t="s">
        <v>406</v>
      </c>
      <c r="E150" s="563">
        <f t="shared" si="47"/>
        <v>1189.85244</v>
      </c>
      <c r="F150" s="564">
        <f t="shared" si="48"/>
        <v>0</v>
      </c>
      <c r="G150" s="564">
        <f t="shared" si="49"/>
        <v>0</v>
      </c>
      <c r="H150" s="564"/>
      <c r="I150" s="564"/>
      <c r="J150" s="564"/>
      <c r="K150" s="564"/>
      <c r="L150" s="564"/>
      <c r="M150" s="564"/>
      <c r="N150" s="563">
        <f t="shared" si="50"/>
        <v>0</v>
      </c>
      <c r="O150" s="564"/>
      <c r="P150" s="564"/>
      <c r="Q150" s="564"/>
      <c r="R150" s="564"/>
      <c r="S150" s="563">
        <f t="shared" si="51"/>
        <v>833.23</v>
      </c>
      <c r="T150" s="564">
        <f t="shared" si="52"/>
        <v>734.25</v>
      </c>
      <c r="U150" s="564">
        <v>568.13</v>
      </c>
      <c r="V150" s="564">
        <v>1.15</v>
      </c>
      <c r="W150" s="564">
        <v>164.97</v>
      </c>
      <c r="X150" s="564"/>
      <c r="Y150" s="564"/>
      <c r="Z150" s="564"/>
      <c r="AA150" s="563">
        <f t="shared" si="53"/>
        <v>98.98</v>
      </c>
      <c r="AB150" s="564">
        <v>98.98</v>
      </c>
      <c r="AC150" s="564"/>
      <c r="AD150" s="564"/>
      <c r="AE150" s="564"/>
      <c r="AF150" s="564"/>
      <c r="AG150" s="563">
        <f t="shared" si="54"/>
        <v>356.62244</v>
      </c>
      <c r="AH150" s="564">
        <f t="shared" si="55"/>
        <v>133.3168</v>
      </c>
      <c r="AI150" s="564">
        <f t="shared" si="56"/>
        <v>66.6584</v>
      </c>
      <c r="AJ150" s="564">
        <f t="shared" si="57"/>
        <v>49.9938</v>
      </c>
      <c r="AK150" s="564">
        <f t="shared" si="58"/>
        <v>1.66646</v>
      </c>
      <c r="AL150" s="564">
        <f t="shared" si="59"/>
        <v>4.99938</v>
      </c>
      <c r="AM150" s="564">
        <f t="shared" si="60"/>
        <v>99.9876</v>
      </c>
      <c r="AN150" s="564"/>
      <c r="AO150" s="304"/>
    </row>
    <row r="151" s="130" customFormat="1" ht="24" spans="1:41">
      <c r="A151" s="1" t="s">
        <v>202</v>
      </c>
      <c r="B151" s="1" t="s">
        <v>206</v>
      </c>
      <c r="C151" s="1" t="s">
        <v>408</v>
      </c>
      <c r="D151" s="1" t="s">
        <v>409</v>
      </c>
      <c r="E151" s="563">
        <f t="shared" si="47"/>
        <v>665.33376</v>
      </c>
      <c r="F151" s="564">
        <f t="shared" si="48"/>
        <v>0</v>
      </c>
      <c r="G151" s="564">
        <f t="shared" si="49"/>
        <v>0</v>
      </c>
      <c r="H151" s="564"/>
      <c r="I151" s="564"/>
      <c r="J151" s="564"/>
      <c r="K151" s="564"/>
      <c r="L151" s="564"/>
      <c r="M151" s="564"/>
      <c r="N151" s="563">
        <f t="shared" si="50"/>
        <v>0</v>
      </c>
      <c r="O151" s="564"/>
      <c r="P151" s="564"/>
      <c r="Q151" s="564"/>
      <c r="R151" s="564"/>
      <c r="S151" s="563">
        <f t="shared" si="51"/>
        <v>465.92</v>
      </c>
      <c r="T151" s="564">
        <f t="shared" si="52"/>
        <v>413.22</v>
      </c>
      <c r="U151" s="564">
        <v>324.53</v>
      </c>
      <c r="V151" s="564">
        <v>0.86</v>
      </c>
      <c r="W151" s="564">
        <v>87.83</v>
      </c>
      <c r="X151" s="564"/>
      <c r="Y151" s="564"/>
      <c r="Z151" s="564"/>
      <c r="AA151" s="563">
        <f t="shared" si="53"/>
        <v>52.7</v>
      </c>
      <c r="AB151" s="564">
        <v>52.7</v>
      </c>
      <c r="AC151" s="564"/>
      <c r="AD151" s="564"/>
      <c r="AE151" s="564"/>
      <c r="AF151" s="564"/>
      <c r="AG151" s="563">
        <f t="shared" si="54"/>
        <v>199.41376</v>
      </c>
      <c r="AH151" s="564">
        <f t="shared" si="55"/>
        <v>74.5472</v>
      </c>
      <c r="AI151" s="564">
        <f t="shared" si="56"/>
        <v>37.2736</v>
      </c>
      <c r="AJ151" s="564">
        <f t="shared" si="57"/>
        <v>27.9552</v>
      </c>
      <c r="AK151" s="564">
        <f t="shared" si="58"/>
        <v>0.93184</v>
      </c>
      <c r="AL151" s="564">
        <f t="shared" si="59"/>
        <v>2.79552</v>
      </c>
      <c r="AM151" s="564">
        <f t="shared" si="60"/>
        <v>55.9104</v>
      </c>
      <c r="AN151" s="564"/>
      <c r="AO151" s="304"/>
    </row>
    <row r="152" s="130" customFormat="1" ht="24" spans="1:41">
      <c r="A152" s="1" t="s">
        <v>202</v>
      </c>
      <c r="B152" s="1" t="s">
        <v>400</v>
      </c>
      <c r="C152" s="1" t="s">
        <v>410</v>
      </c>
      <c r="D152" s="1" t="s">
        <v>411</v>
      </c>
      <c r="E152" s="563">
        <f t="shared" si="47"/>
        <v>329.31492</v>
      </c>
      <c r="F152" s="564">
        <f t="shared" si="48"/>
        <v>0</v>
      </c>
      <c r="G152" s="564">
        <f t="shared" si="49"/>
        <v>0</v>
      </c>
      <c r="H152" s="564"/>
      <c r="I152" s="564"/>
      <c r="J152" s="564"/>
      <c r="K152" s="564"/>
      <c r="L152" s="564"/>
      <c r="M152" s="564"/>
      <c r="N152" s="563">
        <f t="shared" si="50"/>
        <v>0</v>
      </c>
      <c r="O152" s="564"/>
      <c r="P152" s="564"/>
      <c r="Q152" s="564"/>
      <c r="R152" s="564"/>
      <c r="S152" s="563">
        <f t="shared" si="51"/>
        <v>234.56</v>
      </c>
      <c r="T152" s="564">
        <f t="shared" si="52"/>
        <v>196.7</v>
      </c>
      <c r="U152" s="564">
        <v>135.02</v>
      </c>
      <c r="V152" s="564">
        <v>20.53</v>
      </c>
      <c r="W152" s="564">
        <v>41.15</v>
      </c>
      <c r="X152" s="564"/>
      <c r="Y152" s="564"/>
      <c r="Z152" s="564"/>
      <c r="AA152" s="563">
        <f t="shared" si="53"/>
        <v>37.86</v>
      </c>
      <c r="AB152" s="564">
        <v>24.69</v>
      </c>
      <c r="AC152" s="564"/>
      <c r="AD152" s="564"/>
      <c r="AE152" s="564">
        <v>13.17</v>
      </c>
      <c r="AF152" s="564"/>
      <c r="AG152" s="563">
        <f t="shared" si="54"/>
        <v>94.75492</v>
      </c>
      <c r="AH152" s="564">
        <f t="shared" si="55"/>
        <v>35.4224</v>
      </c>
      <c r="AI152" s="564">
        <f t="shared" si="56"/>
        <v>17.7112</v>
      </c>
      <c r="AJ152" s="564">
        <f t="shared" si="57"/>
        <v>13.2834</v>
      </c>
      <c r="AK152" s="564">
        <f t="shared" si="58"/>
        <v>0.44278</v>
      </c>
      <c r="AL152" s="564">
        <f t="shared" si="59"/>
        <v>1.32834</v>
      </c>
      <c r="AM152" s="564">
        <f t="shared" si="60"/>
        <v>26.5668</v>
      </c>
      <c r="AN152" s="564"/>
      <c r="AO152" s="304" t="s">
        <v>727</v>
      </c>
    </row>
    <row r="153" s="130" customFormat="1" ht="24" spans="1:41">
      <c r="A153" s="1" t="s">
        <v>202</v>
      </c>
      <c r="B153" s="1" t="s">
        <v>404</v>
      </c>
      <c r="C153" s="1" t="s">
        <v>412</v>
      </c>
      <c r="D153" s="1" t="s">
        <v>406</v>
      </c>
      <c r="E153" s="563">
        <f t="shared" si="47"/>
        <v>258.7128</v>
      </c>
      <c r="F153" s="564">
        <f t="shared" si="48"/>
        <v>0</v>
      </c>
      <c r="G153" s="564">
        <f t="shared" si="49"/>
        <v>0</v>
      </c>
      <c r="H153" s="564"/>
      <c r="I153" s="564"/>
      <c r="J153" s="564"/>
      <c r="K153" s="564"/>
      <c r="L153" s="564"/>
      <c r="M153" s="564"/>
      <c r="N153" s="563">
        <f t="shared" si="50"/>
        <v>0</v>
      </c>
      <c r="O153" s="564"/>
      <c r="P153" s="564"/>
      <c r="Q153" s="564"/>
      <c r="R153" s="564"/>
      <c r="S153" s="563">
        <f t="shared" si="51"/>
        <v>184.84</v>
      </c>
      <c r="T153" s="564">
        <f t="shared" si="52"/>
        <v>161.66</v>
      </c>
      <c r="U153" s="564">
        <v>110.64</v>
      </c>
      <c r="V153" s="564">
        <v>0.13</v>
      </c>
      <c r="W153" s="564">
        <v>38.65</v>
      </c>
      <c r="X153" s="564">
        <v>12.24</v>
      </c>
      <c r="Y153" s="564"/>
      <c r="Z153" s="564"/>
      <c r="AA153" s="563">
        <f t="shared" si="53"/>
        <v>23.18</v>
      </c>
      <c r="AB153" s="564">
        <v>23.18</v>
      </c>
      <c r="AC153" s="564"/>
      <c r="AD153" s="564"/>
      <c r="AE153" s="564"/>
      <c r="AF153" s="564"/>
      <c r="AG153" s="563">
        <f t="shared" si="54"/>
        <v>73.8728</v>
      </c>
      <c r="AH153" s="564">
        <f t="shared" si="55"/>
        <v>27.616</v>
      </c>
      <c r="AI153" s="564">
        <f t="shared" si="56"/>
        <v>13.808</v>
      </c>
      <c r="AJ153" s="564">
        <f t="shared" si="57"/>
        <v>10.356</v>
      </c>
      <c r="AK153" s="564">
        <f t="shared" si="58"/>
        <v>0.3452</v>
      </c>
      <c r="AL153" s="564">
        <f t="shared" si="59"/>
        <v>1.0356</v>
      </c>
      <c r="AM153" s="564">
        <f t="shared" si="60"/>
        <v>20.712</v>
      </c>
      <c r="AN153" s="564"/>
      <c r="AO153" s="304"/>
    </row>
    <row r="154" s="130" customFormat="1" ht="24" spans="1:41">
      <c r="A154" s="1" t="s">
        <v>202</v>
      </c>
      <c r="B154" s="1" t="s">
        <v>400</v>
      </c>
      <c r="C154" s="1" t="s">
        <v>413</v>
      </c>
      <c r="D154" s="1" t="s">
        <v>414</v>
      </c>
      <c r="E154" s="563">
        <f t="shared" si="47"/>
        <v>1786.6838976</v>
      </c>
      <c r="F154" s="564">
        <f t="shared" si="48"/>
        <v>0</v>
      </c>
      <c r="G154" s="564">
        <f t="shared" si="49"/>
        <v>0</v>
      </c>
      <c r="H154" s="564"/>
      <c r="I154" s="564"/>
      <c r="J154" s="564"/>
      <c r="K154" s="564"/>
      <c r="L154" s="564"/>
      <c r="M154" s="564"/>
      <c r="N154" s="563">
        <f t="shared" si="50"/>
        <v>0</v>
      </c>
      <c r="O154" s="564"/>
      <c r="P154" s="564"/>
      <c r="Q154" s="564"/>
      <c r="R154" s="564"/>
      <c r="S154" s="563">
        <f t="shared" si="51"/>
        <v>1251.1792</v>
      </c>
      <c r="T154" s="564">
        <f t="shared" si="52"/>
        <v>1103.4192</v>
      </c>
      <c r="U154" s="564">
        <v>855.6408</v>
      </c>
      <c r="V154" s="564">
        <v>1.5084</v>
      </c>
      <c r="W154" s="564">
        <v>246.27</v>
      </c>
      <c r="X154" s="564"/>
      <c r="Y154" s="564"/>
      <c r="Z154" s="564"/>
      <c r="AA154" s="563">
        <f t="shared" si="53"/>
        <v>147.76</v>
      </c>
      <c r="AB154" s="564">
        <v>147.76</v>
      </c>
      <c r="AC154" s="564"/>
      <c r="AD154" s="564"/>
      <c r="AE154" s="564"/>
      <c r="AF154" s="564"/>
      <c r="AG154" s="563">
        <f t="shared" si="54"/>
        <v>535.5046976</v>
      </c>
      <c r="AH154" s="564">
        <f t="shared" si="55"/>
        <v>200.188672</v>
      </c>
      <c r="AI154" s="564">
        <f t="shared" si="56"/>
        <v>100.094336</v>
      </c>
      <c r="AJ154" s="564">
        <f t="shared" si="57"/>
        <v>75.070752</v>
      </c>
      <c r="AK154" s="564">
        <f t="shared" si="58"/>
        <v>2.5023584</v>
      </c>
      <c r="AL154" s="564">
        <f t="shared" si="59"/>
        <v>7.5070752</v>
      </c>
      <c r="AM154" s="564">
        <f t="shared" si="60"/>
        <v>150.141504</v>
      </c>
      <c r="AN154" s="564"/>
      <c r="AO154" s="304"/>
    </row>
    <row r="155" s="130" customFormat="1" ht="24" spans="1:41">
      <c r="A155" s="1" t="s">
        <v>202</v>
      </c>
      <c r="B155" s="1" t="s">
        <v>404</v>
      </c>
      <c r="C155" s="1" t="s">
        <v>415</v>
      </c>
      <c r="D155" s="1" t="s">
        <v>416</v>
      </c>
      <c r="E155" s="563">
        <f t="shared" si="47"/>
        <v>365.22228</v>
      </c>
      <c r="F155" s="564">
        <f t="shared" si="48"/>
        <v>0</v>
      </c>
      <c r="G155" s="564">
        <f t="shared" si="49"/>
        <v>0</v>
      </c>
      <c r="H155" s="564"/>
      <c r="I155" s="564"/>
      <c r="J155" s="564"/>
      <c r="K155" s="564"/>
      <c r="L155" s="564"/>
      <c r="M155" s="564"/>
      <c r="N155" s="563">
        <f t="shared" si="50"/>
        <v>0</v>
      </c>
      <c r="O155" s="564"/>
      <c r="P155" s="564"/>
      <c r="Q155" s="564"/>
      <c r="R155" s="564"/>
      <c r="S155" s="563">
        <f t="shared" si="51"/>
        <v>259.93</v>
      </c>
      <c r="T155" s="564">
        <f t="shared" si="52"/>
        <v>230.4</v>
      </c>
      <c r="U155" s="564">
        <v>166.97</v>
      </c>
      <c r="V155" s="564">
        <v>0.29</v>
      </c>
      <c r="W155" s="564">
        <v>49.22</v>
      </c>
      <c r="X155" s="564">
        <v>13.92</v>
      </c>
      <c r="Y155" s="564"/>
      <c r="Z155" s="564"/>
      <c r="AA155" s="563">
        <f t="shared" si="53"/>
        <v>29.53</v>
      </c>
      <c r="AB155" s="564">
        <v>29.53</v>
      </c>
      <c r="AC155" s="564"/>
      <c r="AD155" s="564"/>
      <c r="AE155" s="564"/>
      <c r="AF155" s="564"/>
      <c r="AG155" s="563">
        <f t="shared" si="54"/>
        <v>105.29228</v>
      </c>
      <c r="AH155" s="564">
        <f t="shared" si="55"/>
        <v>39.3616</v>
      </c>
      <c r="AI155" s="564">
        <f t="shared" si="56"/>
        <v>19.6808</v>
      </c>
      <c r="AJ155" s="564">
        <f t="shared" si="57"/>
        <v>14.7606</v>
      </c>
      <c r="AK155" s="564">
        <f t="shared" si="58"/>
        <v>0.49202</v>
      </c>
      <c r="AL155" s="564">
        <f t="shared" si="59"/>
        <v>1.47606</v>
      </c>
      <c r="AM155" s="564">
        <f t="shared" si="60"/>
        <v>29.5212</v>
      </c>
      <c r="AN155" s="564"/>
      <c r="AO155" s="304"/>
    </row>
    <row r="156" s="130" customFormat="1" ht="24" spans="1:41">
      <c r="A156" s="1" t="s">
        <v>202</v>
      </c>
      <c r="B156" s="1" t="s">
        <v>404</v>
      </c>
      <c r="C156" s="1" t="s">
        <v>417</v>
      </c>
      <c r="D156" s="1" t="s">
        <v>406</v>
      </c>
      <c r="E156" s="563">
        <f t="shared" si="47"/>
        <v>421.86648</v>
      </c>
      <c r="F156" s="564">
        <f t="shared" si="48"/>
        <v>0</v>
      </c>
      <c r="G156" s="564">
        <f t="shared" si="49"/>
        <v>0</v>
      </c>
      <c r="H156" s="564"/>
      <c r="I156" s="564"/>
      <c r="J156" s="564"/>
      <c r="K156" s="564"/>
      <c r="L156" s="564"/>
      <c r="M156" s="564"/>
      <c r="N156" s="563">
        <f t="shared" si="50"/>
        <v>0</v>
      </c>
      <c r="O156" s="564"/>
      <c r="P156" s="564"/>
      <c r="Q156" s="564"/>
      <c r="R156" s="564"/>
      <c r="S156" s="563">
        <f t="shared" si="51"/>
        <v>300.46</v>
      </c>
      <c r="T156" s="564">
        <f t="shared" si="52"/>
        <v>265.82</v>
      </c>
      <c r="U156" s="564">
        <v>190.62</v>
      </c>
      <c r="V156" s="564">
        <v>0.65</v>
      </c>
      <c r="W156" s="564">
        <v>57.75</v>
      </c>
      <c r="X156" s="564">
        <v>16.8</v>
      </c>
      <c r="Y156" s="564"/>
      <c r="Z156" s="564"/>
      <c r="AA156" s="563">
        <f t="shared" si="53"/>
        <v>34.64</v>
      </c>
      <c r="AB156" s="564">
        <v>34.64</v>
      </c>
      <c r="AC156" s="564"/>
      <c r="AD156" s="564"/>
      <c r="AE156" s="564"/>
      <c r="AF156" s="564"/>
      <c r="AG156" s="563">
        <f t="shared" si="54"/>
        <v>121.40648</v>
      </c>
      <c r="AH156" s="564">
        <f t="shared" si="55"/>
        <v>45.3856</v>
      </c>
      <c r="AI156" s="564">
        <f t="shared" si="56"/>
        <v>22.6928</v>
      </c>
      <c r="AJ156" s="564">
        <f t="shared" si="57"/>
        <v>17.0196</v>
      </c>
      <c r="AK156" s="564">
        <f t="shared" si="58"/>
        <v>0.56732</v>
      </c>
      <c r="AL156" s="564">
        <f t="shared" si="59"/>
        <v>1.70196</v>
      </c>
      <c r="AM156" s="564">
        <f t="shared" si="60"/>
        <v>34.0392</v>
      </c>
      <c r="AN156" s="564"/>
      <c r="AO156" s="304"/>
    </row>
    <row r="157" s="130" customFormat="1" ht="24" spans="1:41">
      <c r="A157" s="1" t="s">
        <v>202</v>
      </c>
      <c r="B157" s="1" t="s">
        <v>206</v>
      </c>
      <c r="C157" s="1" t="s">
        <v>418</v>
      </c>
      <c r="D157" s="1" t="s">
        <v>419</v>
      </c>
      <c r="E157" s="563">
        <f t="shared" si="47"/>
        <v>158.95068</v>
      </c>
      <c r="F157" s="564">
        <f t="shared" si="48"/>
        <v>0</v>
      </c>
      <c r="G157" s="564">
        <f t="shared" si="49"/>
        <v>0</v>
      </c>
      <c r="H157" s="564"/>
      <c r="I157" s="564"/>
      <c r="J157" s="564"/>
      <c r="K157" s="564"/>
      <c r="L157" s="564"/>
      <c r="M157" s="564"/>
      <c r="N157" s="563">
        <f t="shared" si="50"/>
        <v>0</v>
      </c>
      <c r="O157" s="564"/>
      <c r="P157" s="564"/>
      <c r="Q157" s="564"/>
      <c r="R157" s="564"/>
      <c r="S157" s="563">
        <f t="shared" si="51"/>
        <v>111.31</v>
      </c>
      <c r="T157" s="564">
        <f t="shared" si="52"/>
        <v>98.68</v>
      </c>
      <c r="U157" s="564">
        <v>77.49</v>
      </c>
      <c r="V157" s="564">
        <v>0.13</v>
      </c>
      <c r="W157" s="564">
        <v>21.06</v>
      </c>
      <c r="X157" s="564"/>
      <c r="Y157" s="564"/>
      <c r="Z157" s="564"/>
      <c r="AA157" s="563">
        <f t="shared" si="53"/>
        <v>12.63</v>
      </c>
      <c r="AB157" s="564">
        <v>12.63</v>
      </c>
      <c r="AC157" s="564"/>
      <c r="AD157" s="564"/>
      <c r="AE157" s="564"/>
      <c r="AF157" s="564"/>
      <c r="AG157" s="563">
        <f t="shared" si="54"/>
        <v>47.64068</v>
      </c>
      <c r="AH157" s="564">
        <f t="shared" si="55"/>
        <v>17.8096</v>
      </c>
      <c r="AI157" s="564">
        <f t="shared" si="56"/>
        <v>8.9048</v>
      </c>
      <c r="AJ157" s="564">
        <f t="shared" si="57"/>
        <v>6.6786</v>
      </c>
      <c r="AK157" s="564">
        <f t="shared" si="58"/>
        <v>0.22262</v>
      </c>
      <c r="AL157" s="564">
        <f t="shared" si="59"/>
        <v>0.66786</v>
      </c>
      <c r="AM157" s="564">
        <f t="shared" si="60"/>
        <v>13.3572</v>
      </c>
      <c r="AN157" s="564"/>
      <c r="AO157" s="304"/>
    </row>
    <row r="158" s="130" customFormat="1" ht="24" spans="1:41">
      <c r="A158" s="1" t="s">
        <v>202</v>
      </c>
      <c r="B158" s="1" t="s">
        <v>404</v>
      </c>
      <c r="C158" s="1" t="s">
        <v>420</v>
      </c>
      <c r="D158" s="1" t="s">
        <v>416</v>
      </c>
      <c r="E158" s="563">
        <f t="shared" si="47"/>
        <v>371.9394</v>
      </c>
      <c r="F158" s="564">
        <f t="shared" si="48"/>
        <v>0</v>
      </c>
      <c r="G158" s="564">
        <f t="shared" si="49"/>
        <v>0</v>
      </c>
      <c r="H158" s="564"/>
      <c r="I158" s="564"/>
      <c r="J158" s="564"/>
      <c r="K158" s="564"/>
      <c r="L158" s="564"/>
      <c r="M158" s="564"/>
      <c r="N158" s="563">
        <f t="shared" si="50"/>
        <v>0</v>
      </c>
      <c r="O158" s="564"/>
      <c r="P158" s="564"/>
      <c r="Q158" s="564"/>
      <c r="R158" s="564"/>
      <c r="S158" s="563">
        <f t="shared" si="51"/>
        <v>264.49</v>
      </c>
      <c r="T158" s="564">
        <f t="shared" si="52"/>
        <v>235.33</v>
      </c>
      <c r="U158" s="564">
        <v>172.99</v>
      </c>
      <c r="V158" s="564">
        <v>0.3</v>
      </c>
      <c r="W158" s="564">
        <v>48.6</v>
      </c>
      <c r="X158" s="564">
        <v>13.44</v>
      </c>
      <c r="Y158" s="564"/>
      <c r="Z158" s="564"/>
      <c r="AA158" s="563">
        <f t="shared" si="53"/>
        <v>29.16</v>
      </c>
      <c r="AB158" s="564">
        <v>29.16</v>
      </c>
      <c r="AC158" s="564"/>
      <c r="AD158" s="564"/>
      <c r="AE158" s="564"/>
      <c r="AF158" s="564"/>
      <c r="AG158" s="563">
        <f t="shared" si="54"/>
        <v>107.4494</v>
      </c>
      <c r="AH158" s="564">
        <f t="shared" si="55"/>
        <v>40.168</v>
      </c>
      <c r="AI158" s="564">
        <f t="shared" si="56"/>
        <v>20.084</v>
      </c>
      <c r="AJ158" s="564">
        <f t="shared" si="57"/>
        <v>15.063</v>
      </c>
      <c r="AK158" s="564">
        <f t="shared" si="58"/>
        <v>0.5021</v>
      </c>
      <c r="AL158" s="564">
        <f t="shared" si="59"/>
        <v>1.5063</v>
      </c>
      <c r="AM158" s="564">
        <f t="shared" si="60"/>
        <v>30.126</v>
      </c>
      <c r="AN158" s="564"/>
      <c r="AO158" s="304"/>
    </row>
    <row r="159" s="130" customFormat="1" ht="24" spans="1:41">
      <c r="A159" s="1" t="s">
        <v>202</v>
      </c>
      <c r="B159" s="1" t="s">
        <v>404</v>
      </c>
      <c r="C159" s="1" t="s">
        <v>421</v>
      </c>
      <c r="D159" s="1" t="s">
        <v>406</v>
      </c>
      <c r="E159" s="563">
        <f t="shared" si="47"/>
        <v>287.658072</v>
      </c>
      <c r="F159" s="564">
        <f t="shared" si="48"/>
        <v>0</v>
      </c>
      <c r="G159" s="564">
        <f t="shared" si="49"/>
        <v>0</v>
      </c>
      <c r="H159" s="564"/>
      <c r="I159" s="564"/>
      <c r="J159" s="564"/>
      <c r="K159" s="564"/>
      <c r="L159" s="564"/>
      <c r="M159" s="564"/>
      <c r="N159" s="563">
        <f t="shared" si="50"/>
        <v>0</v>
      </c>
      <c r="O159" s="564"/>
      <c r="P159" s="564"/>
      <c r="Q159" s="564"/>
      <c r="R159" s="564"/>
      <c r="S159" s="563">
        <f t="shared" si="51"/>
        <v>204.894</v>
      </c>
      <c r="T159" s="564">
        <f t="shared" si="52"/>
        <v>180.744</v>
      </c>
      <c r="U159" s="564">
        <v>128.79</v>
      </c>
      <c r="V159" s="564">
        <v>0.174</v>
      </c>
      <c r="W159" s="564">
        <v>40.26</v>
      </c>
      <c r="X159" s="564">
        <v>11.52</v>
      </c>
      <c r="Y159" s="564"/>
      <c r="Z159" s="564"/>
      <c r="AA159" s="563">
        <f t="shared" si="53"/>
        <v>24.15</v>
      </c>
      <c r="AB159" s="564">
        <v>24.15</v>
      </c>
      <c r="AC159" s="564"/>
      <c r="AD159" s="564"/>
      <c r="AE159" s="577"/>
      <c r="AF159" s="564"/>
      <c r="AG159" s="563">
        <f t="shared" si="54"/>
        <v>82.764072</v>
      </c>
      <c r="AH159" s="564">
        <f t="shared" si="55"/>
        <v>30.93984</v>
      </c>
      <c r="AI159" s="564">
        <f t="shared" si="56"/>
        <v>15.46992</v>
      </c>
      <c r="AJ159" s="564">
        <f t="shared" si="57"/>
        <v>11.60244</v>
      </c>
      <c r="AK159" s="564">
        <f t="shared" si="58"/>
        <v>0.386748</v>
      </c>
      <c r="AL159" s="564">
        <f t="shared" si="59"/>
        <v>1.160244</v>
      </c>
      <c r="AM159" s="564">
        <f t="shared" si="60"/>
        <v>23.20488</v>
      </c>
      <c r="AN159" s="564"/>
      <c r="AO159" s="304"/>
    </row>
    <row r="160" s="130" customFormat="1" ht="24" spans="1:41">
      <c r="A160" s="1" t="s">
        <v>202</v>
      </c>
      <c r="B160" s="1" t="s">
        <v>404</v>
      </c>
      <c r="C160" s="1" t="s">
        <v>422</v>
      </c>
      <c r="D160" s="1" t="s">
        <v>416</v>
      </c>
      <c r="E160" s="563">
        <f t="shared" si="47"/>
        <v>461.33472</v>
      </c>
      <c r="F160" s="564">
        <f t="shared" si="48"/>
        <v>0</v>
      </c>
      <c r="G160" s="564">
        <f t="shared" si="49"/>
        <v>0</v>
      </c>
      <c r="H160" s="564"/>
      <c r="I160" s="564"/>
      <c r="J160" s="564"/>
      <c r="K160" s="564"/>
      <c r="L160" s="564"/>
      <c r="M160" s="564"/>
      <c r="N160" s="563">
        <f t="shared" si="50"/>
        <v>0</v>
      </c>
      <c r="O160" s="564"/>
      <c r="P160" s="564"/>
      <c r="Q160" s="564"/>
      <c r="R160" s="564"/>
      <c r="S160" s="563">
        <f t="shared" si="51"/>
        <v>326.84</v>
      </c>
      <c r="T160" s="564">
        <f t="shared" si="52"/>
        <v>290.37</v>
      </c>
      <c r="U160" s="564">
        <v>216.59</v>
      </c>
      <c r="V160" s="564">
        <v>0.4</v>
      </c>
      <c r="W160" s="564">
        <v>60.78</v>
      </c>
      <c r="X160" s="564">
        <v>12.6</v>
      </c>
      <c r="Y160" s="564"/>
      <c r="Z160" s="564"/>
      <c r="AA160" s="563">
        <f t="shared" si="53"/>
        <v>36.47</v>
      </c>
      <c r="AB160" s="564">
        <v>36.47</v>
      </c>
      <c r="AC160" s="564"/>
      <c r="AD160" s="564"/>
      <c r="AE160" s="564"/>
      <c r="AF160" s="564"/>
      <c r="AG160" s="563">
        <f t="shared" si="54"/>
        <v>134.49472</v>
      </c>
      <c r="AH160" s="564">
        <f t="shared" si="55"/>
        <v>50.2784</v>
      </c>
      <c r="AI160" s="564">
        <f t="shared" si="56"/>
        <v>25.1392</v>
      </c>
      <c r="AJ160" s="564">
        <f t="shared" si="57"/>
        <v>18.8544</v>
      </c>
      <c r="AK160" s="564">
        <f t="shared" si="58"/>
        <v>0.62848</v>
      </c>
      <c r="AL160" s="564">
        <f t="shared" si="59"/>
        <v>1.88544</v>
      </c>
      <c r="AM160" s="564">
        <f t="shared" si="60"/>
        <v>37.7088</v>
      </c>
      <c r="AN160" s="564"/>
      <c r="AO160" s="304"/>
    </row>
    <row r="161" s="130" customFormat="1" ht="24" spans="1:41">
      <c r="A161" s="1" t="s">
        <v>202</v>
      </c>
      <c r="B161" s="1" t="s">
        <v>404</v>
      </c>
      <c r="C161" s="1" t="s">
        <v>423</v>
      </c>
      <c r="D161" s="1" t="s">
        <v>416</v>
      </c>
      <c r="E161" s="563">
        <f t="shared" si="47"/>
        <v>312.49176</v>
      </c>
      <c r="F161" s="564">
        <f t="shared" si="48"/>
        <v>0</v>
      </c>
      <c r="G161" s="564">
        <f t="shared" si="49"/>
        <v>0</v>
      </c>
      <c r="H161" s="564"/>
      <c r="I161" s="564"/>
      <c r="J161" s="564"/>
      <c r="K161" s="564"/>
      <c r="L161" s="564"/>
      <c r="M161" s="564"/>
      <c r="N161" s="563">
        <f t="shared" si="50"/>
        <v>0</v>
      </c>
      <c r="O161" s="564"/>
      <c r="P161" s="564"/>
      <c r="Q161" s="564"/>
      <c r="R161" s="564"/>
      <c r="S161" s="563">
        <f t="shared" si="51"/>
        <v>222.86</v>
      </c>
      <c r="T161" s="564">
        <f t="shared" si="52"/>
        <v>195.6</v>
      </c>
      <c r="U161" s="564">
        <v>136.56</v>
      </c>
      <c r="V161" s="564">
        <v>0.17</v>
      </c>
      <c r="W161" s="564">
        <v>45.43</v>
      </c>
      <c r="X161" s="564">
        <v>13.44</v>
      </c>
      <c r="Y161" s="564"/>
      <c r="Z161" s="564"/>
      <c r="AA161" s="563">
        <f t="shared" si="53"/>
        <v>27.26</v>
      </c>
      <c r="AB161" s="564">
        <v>27.26</v>
      </c>
      <c r="AC161" s="564"/>
      <c r="AD161" s="564"/>
      <c r="AE161" s="564"/>
      <c r="AF161" s="564"/>
      <c r="AG161" s="563">
        <f t="shared" si="54"/>
        <v>89.63176</v>
      </c>
      <c r="AH161" s="564">
        <f t="shared" si="55"/>
        <v>33.5072</v>
      </c>
      <c r="AI161" s="564">
        <f t="shared" si="56"/>
        <v>16.7536</v>
      </c>
      <c r="AJ161" s="564">
        <f t="shared" si="57"/>
        <v>12.5652</v>
      </c>
      <c r="AK161" s="564">
        <f t="shared" si="58"/>
        <v>0.41884</v>
      </c>
      <c r="AL161" s="564">
        <f t="shared" si="59"/>
        <v>1.25652</v>
      </c>
      <c r="AM161" s="564">
        <f t="shared" si="60"/>
        <v>25.1304</v>
      </c>
      <c r="AN161" s="564"/>
      <c r="AO161" s="304"/>
    </row>
    <row r="162" s="130" customFormat="1" ht="24" spans="1:41">
      <c r="A162" s="1" t="s">
        <v>202</v>
      </c>
      <c r="B162" s="1" t="s">
        <v>404</v>
      </c>
      <c r="C162" s="1" t="s">
        <v>424</v>
      </c>
      <c r="D162" s="1" t="s">
        <v>406</v>
      </c>
      <c r="E162" s="563">
        <f t="shared" si="47"/>
        <v>260.07444</v>
      </c>
      <c r="F162" s="564">
        <f t="shared" si="48"/>
        <v>0</v>
      </c>
      <c r="G162" s="564">
        <f t="shared" si="49"/>
        <v>0</v>
      </c>
      <c r="H162" s="564"/>
      <c r="I162" s="564"/>
      <c r="J162" s="564"/>
      <c r="K162" s="564"/>
      <c r="L162" s="564"/>
      <c r="M162" s="564"/>
      <c r="N162" s="563">
        <f t="shared" si="50"/>
        <v>0</v>
      </c>
      <c r="O162" s="564"/>
      <c r="P162" s="564"/>
      <c r="Q162" s="564"/>
      <c r="R162" s="564"/>
      <c r="S162" s="563">
        <f t="shared" si="51"/>
        <v>185.29</v>
      </c>
      <c r="T162" s="564">
        <f t="shared" si="52"/>
        <v>163.22</v>
      </c>
      <c r="U162" s="564">
        <v>115.74</v>
      </c>
      <c r="V162" s="564">
        <v>0.14</v>
      </c>
      <c r="W162" s="564">
        <v>36.78</v>
      </c>
      <c r="X162" s="564">
        <v>10.56</v>
      </c>
      <c r="Y162" s="564"/>
      <c r="Z162" s="564"/>
      <c r="AA162" s="563">
        <f t="shared" si="53"/>
        <v>22.07</v>
      </c>
      <c r="AB162" s="564">
        <v>22.07</v>
      </c>
      <c r="AC162" s="564"/>
      <c r="AD162" s="564"/>
      <c r="AE162" s="564"/>
      <c r="AF162" s="564"/>
      <c r="AG162" s="563">
        <f t="shared" si="54"/>
        <v>74.78444</v>
      </c>
      <c r="AH162" s="564">
        <f t="shared" si="55"/>
        <v>27.9568</v>
      </c>
      <c r="AI162" s="564">
        <f t="shared" si="56"/>
        <v>13.9784</v>
      </c>
      <c r="AJ162" s="564">
        <f t="shared" si="57"/>
        <v>10.4838</v>
      </c>
      <c r="AK162" s="564">
        <f t="shared" si="58"/>
        <v>0.34946</v>
      </c>
      <c r="AL162" s="564">
        <f t="shared" si="59"/>
        <v>1.04838</v>
      </c>
      <c r="AM162" s="564">
        <f t="shared" si="60"/>
        <v>20.9676</v>
      </c>
      <c r="AN162" s="564"/>
      <c r="AO162" s="304"/>
    </row>
    <row r="163" s="130" customFormat="1" ht="24" spans="1:41">
      <c r="A163" s="1" t="s">
        <v>202</v>
      </c>
      <c r="B163" s="1" t="s">
        <v>404</v>
      </c>
      <c r="C163" s="1" t="s">
        <v>425</v>
      </c>
      <c r="D163" s="1" t="s">
        <v>406</v>
      </c>
      <c r="E163" s="563">
        <f t="shared" si="47"/>
        <v>880.01952</v>
      </c>
      <c r="F163" s="564">
        <f t="shared" si="48"/>
        <v>0</v>
      </c>
      <c r="G163" s="564">
        <f t="shared" si="49"/>
        <v>0</v>
      </c>
      <c r="H163" s="564"/>
      <c r="I163" s="564"/>
      <c r="J163" s="564"/>
      <c r="K163" s="564"/>
      <c r="L163" s="564"/>
      <c r="M163" s="564"/>
      <c r="N163" s="563">
        <f t="shared" si="50"/>
        <v>0</v>
      </c>
      <c r="O163" s="564"/>
      <c r="P163" s="564"/>
      <c r="Q163" s="564"/>
      <c r="R163" s="564"/>
      <c r="S163" s="563">
        <f t="shared" si="51"/>
        <v>625</v>
      </c>
      <c r="T163" s="564">
        <f t="shared" si="52"/>
        <v>549.5</v>
      </c>
      <c r="U163" s="564">
        <v>393.9</v>
      </c>
      <c r="V163" s="564">
        <v>0.5</v>
      </c>
      <c r="W163" s="564">
        <v>125.94</v>
      </c>
      <c r="X163" s="564">
        <v>29.16</v>
      </c>
      <c r="Y163" s="564"/>
      <c r="Z163" s="564"/>
      <c r="AA163" s="563">
        <f t="shared" si="53"/>
        <v>75.5</v>
      </c>
      <c r="AB163" s="564">
        <v>75.5</v>
      </c>
      <c r="AC163" s="564"/>
      <c r="AD163" s="564"/>
      <c r="AE163" s="564"/>
      <c r="AF163" s="564"/>
      <c r="AG163" s="563">
        <f t="shared" si="54"/>
        <v>255.01952</v>
      </c>
      <c r="AH163" s="564">
        <f t="shared" si="55"/>
        <v>95.3344</v>
      </c>
      <c r="AI163" s="564">
        <f t="shared" si="56"/>
        <v>47.6672</v>
      </c>
      <c r="AJ163" s="564">
        <f t="shared" si="57"/>
        <v>35.7504</v>
      </c>
      <c r="AK163" s="564">
        <f t="shared" si="58"/>
        <v>1.19168</v>
      </c>
      <c r="AL163" s="564">
        <f t="shared" si="59"/>
        <v>3.57504</v>
      </c>
      <c r="AM163" s="564">
        <f t="shared" si="60"/>
        <v>71.5008</v>
      </c>
      <c r="AN163" s="564"/>
      <c r="AO163" s="304"/>
    </row>
    <row r="164" s="130" customFormat="1" ht="24" spans="1:41">
      <c r="A164" s="1" t="s">
        <v>202</v>
      </c>
      <c r="B164" s="1" t="s">
        <v>404</v>
      </c>
      <c r="C164" s="1" t="s">
        <v>426</v>
      </c>
      <c r="D164" s="1" t="s">
        <v>406</v>
      </c>
      <c r="E164" s="563">
        <f t="shared" si="47"/>
        <v>1544.42352</v>
      </c>
      <c r="F164" s="564">
        <f t="shared" si="48"/>
        <v>0</v>
      </c>
      <c r="G164" s="564">
        <f t="shared" si="49"/>
        <v>0</v>
      </c>
      <c r="H164" s="564"/>
      <c r="I164" s="564"/>
      <c r="J164" s="564"/>
      <c r="K164" s="564"/>
      <c r="L164" s="564"/>
      <c r="M164" s="564"/>
      <c r="N164" s="563">
        <f t="shared" si="50"/>
        <v>0</v>
      </c>
      <c r="O164" s="564"/>
      <c r="P164" s="564"/>
      <c r="Q164" s="564"/>
      <c r="R164" s="564"/>
      <c r="S164" s="563">
        <f t="shared" si="51"/>
        <v>1091.24</v>
      </c>
      <c r="T164" s="564">
        <f t="shared" si="52"/>
        <v>962.49</v>
      </c>
      <c r="U164" s="564">
        <v>714.42</v>
      </c>
      <c r="V164" s="564">
        <v>1.09</v>
      </c>
      <c r="W164" s="564">
        <v>214.58</v>
      </c>
      <c r="X164" s="564">
        <v>32.4</v>
      </c>
      <c r="Y164" s="564"/>
      <c r="Z164" s="564"/>
      <c r="AA164" s="563">
        <f t="shared" si="53"/>
        <v>128.75</v>
      </c>
      <c r="AB164" s="564">
        <v>128.75</v>
      </c>
      <c r="AC164" s="564"/>
      <c r="AD164" s="564"/>
      <c r="AE164" s="564"/>
      <c r="AF164" s="564"/>
      <c r="AG164" s="563">
        <f t="shared" si="54"/>
        <v>453.18352</v>
      </c>
      <c r="AH164" s="564">
        <f t="shared" si="55"/>
        <v>169.4144</v>
      </c>
      <c r="AI164" s="564">
        <f t="shared" si="56"/>
        <v>84.7072</v>
      </c>
      <c r="AJ164" s="564">
        <f t="shared" si="57"/>
        <v>63.5304</v>
      </c>
      <c r="AK164" s="564">
        <f t="shared" si="58"/>
        <v>2.11768</v>
      </c>
      <c r="AL164" s="564">
        <f t="shared" si="59"/>
        <v>6.35304</v>
      </c>
      <c r="AM164" s="564">
        <f t="shared" si="60"/>
        <v>127.0608</v>
      </c>
      <c r="AN164" s="564"/>
      <c r="AO164" s="304"/>
    </row>
    <row r="165" s="130" customFormat="1" ht="24" spans="1:41">
      <c r="A165" s="1" t="s">
        <v>202</v>
      </c>
      <c r="B165" s="1" t="s">
        <v>404</v>
      </c>
      <c r="C165" s="1" t="s">
        <v>427</v>
      </c>
      <c r="D165" s="1" t="s">
        <v>416</v>
      </c>
      <c r="E165" s="563">
        <f t="shared" si="47"/>
        <v>1516.42176</v>
      </c>
      <c r="F165" s="564">
        <f t="shared" si="48"/>
        <v>0</v>
      </c>
      <c r="G165" s="564">
        <f t="shared" si="49"/>
        <v>0</v>
      </c>
      <c r="H165" s="564"/>
      <c r="I165" s="564"/>
      <c r="J165" s="564"/>
      <c r="K165" s="564"/>
      <c r="L165" s="564"/>
      <c r="M165" s="564"/>
      <c r="N165" s="563">
        <f t="shared" si="50"/>
        <v>0</v>
      </c>
      <c r="O165" s="564"/>
      <c r="P165" s="564"/>
      <c r="Q165" s="564"/>
      <c r="R165" s="564"/>
      <c r="S165" s="563">
        <f t="shared" si="51"/>
        <v>1070.48</v>
      </c>
      <c r="T165" s="564">
        <f t="shared" si="52"/>
        <v>948.37</v>
      </c>
      <c r="U165" s="564">
        <v>714.95</v>
      </c>
      <c r="V165" s="564">
        <v>1.34</v>
      </c>
      <c r="W165" s="564">
        <v>203.52</v>
      </c>
      <c r="X165" s="564">
        <v>28.56</v>
      </c>
      <c r="Y165" s="564"/>
      <c r="Z165" s="564"/>
      <c r="AA165" s="563">
        <f t="shared" si="53"/>
        <v>122.11</v>
      </c>
      <c r="AB165" s="564">
        <v>122.11</v>
      </c>
      <c r="AC165" s="564"/>
      <c r="AD165" s="564"/>
      <c r="AE165" s="577"/>
      <c r="AF165" s="564"/>
      <c r="AG165" s="563">
        <f t="shared" si="54"/>
        <v>445.94176</v>
      </c>
      <c r="AH165" s="564">
        <f t="shared" si="55"/>
        <v>166.7072</v>
      </c>
      <c r="AI165" s="564">
        <f t="shared" si="56"/>
        <v>83.3536</v>
      </c>
      <c r="AJ165" s="564">
        <f t="shared" si="57"/>
        <v>62.5152</v>
      </c>
      <c r="AK165" s="564">
        <f t="shared" si="58"/>
        <v>2.08384</v>
      </c>
      <c r="AL165" s="564">
        <f t="shared" si="59"/>
        <v>6.25152</v>
      </c>
      <c r="AM165" s="564">
        <f t="shared" si="60"/>
        <v>125.0304</v>
      </c>
      <c r="AN165" s="564"/>
      <c r="AO165" s="304"/>
    </row>
    <row r="166" s="130" customFormat="1" ht="24" spans="1:41">
      <c r="A166" s="1" t="s">
        <v>202</v>
      </c>
      <c r="B166" s="1" t="s">
        <v>404</v>
      </c>
      <c r="C166" s="1" t="s">
        <v>428</v>
      </c>
      <c r="D166" s="1" t="s">
        <v>416</v>
      </c>
      <c r="E166" s="563">
        <f t="shared" si="47"/>
        <v>815.70216</v>
      </c>
      <c r="F166" s="564">
        <f t="shared" si="48"/>
        <v>0</v>
      </c>
      <c r="G166" s="564">
        <f t="shared" si="49"/>
        <v>0</v>
      </c>
      <c r="H166" s="564"/>
      <c r="I166" s="564"/>
      <c r="J166" s="564"/>
      <c r="K166" s="564"/>
      <c r="L166" s="564"/>
      <c r="M166" s="564"/>
      <c r="N166" s="563">
        <f t="shared" si="50"/>
        <v>0</v>
      </c>
      <c r="O166" s="564"/>
      <c r="P166" s="564"/>
      <c r="Q166" s="564"/>
      <c r="R166" s="564"/>
      <c r="S166" s="563">
        <f t="shared" si="51"/>
        <v>571.22</v>
      </c>
      <c r="T166" s="564">
        <f t="shared" si="52"/>
        <v>504.02</v>
      </c>
      <c r="U166" s="564">
        <v>391.28</v>
      </c>
      <c r="V166" s="564">
        <v>0.74</v>
      </c>
      <c r="W166" s="564">
        <v>112</v>
      </c>
      <c r="X166" s="564"/>
      <c r="Y166" s="564"/>
      <c r="Z166" s="564"/>
      <c r="AA166" s="563">
        <f t="shared" si="53"/>
        <v>67.2</v>
      </c>
      <c r="AB166" s="564">
        <v>67.2</v>
      </c>
      <c r="AC166" s="564"/>
      <c r="AD166" s="564"/>
      <c r="AE166" s="564"/>
      <c r="AF166" s="564"/>
      <c r="AG166" s="563">
        <f t="shared" si="54"/>
        <v>244.48216</v>
      </c>
      <c r="AH166" s="564">
        <f t="shared" si="55"/>
        <v>91.3952</v>
      </c>
      <c r="AI166" s="564">
        <f t="shared" si="56"/>
        <v>45.6976</v>
      </c>
      <c r="AJ166" s="564">
        <f t="shared" si="57"/>
        <v>34.2732</v>
      </c>
      <c r="AK166" s="564">
        <f t="shared" si="58"/>
        <v>1.14244</v>
      </c>
      <c r="AL166" s="564">
        <f t="shared" si="59"/>
        <v>3.42732</v>
      </c>
      <c r="AM166" s="564">
        <f t="shared" si="60"/>
        <v>68.5464</v>
      </c>
      <c r="AN166" s="564"/>
      <c r="AO166" s="304"/>
    </row>
    <row r="167" s="130" customFormat="1" ht="24" spans="1:41">
      <c r="A167" s="1" t="s">
        <v>202</v>
      </c>
      <c r="B167" s="1" t="s">
        <v>404</v>
      </c>
      <c r="C167" s="1" t="s">
        <v>429</v>
      </c>
      <c r="D167" s="1" t="s">
        <v>416</v>
      </c>
      <c r="E167" s="563">
        <f t="shared" si="47"/>
        <v>1007.75388</v>
      </c>
      <c r="F167" s="564">
        <f t="shared" si="48"/>
        <v>0</v>
      </c>
      <c r="G167" s="564">
        <f t="shared" si="49"/>
        <v>0</v>
      </c>
      <c r="H167" s="564"/>
      <c r="I167" s="564"/>
      <c r="J167" s="564"/>
      <c r="K167" s="564"/>
      <c r="L167" s="564"/>
      <c r="M167" s="564"/>
      <c r="N167" s="563">
        <f t="shared" si="50"/>
        <v>0</v>
      </c>
      <c r="O167" s="564"/>
      <c r="P167" s="564"/>
      <c r="Q167" s="564"/>
      <c r="R167" s="564"/>
      <c r="S167" s="563">
        <f t="shared" si="51"/>
        <v>705.71</v>
      </c>
      <c r="T167" s="564">
        <f t="shared" si="52"/>
        <v>622.96</v>
      </c>
      <c r="U167" s="564">
        <v>484.17</v>
      </c>
      <c r="V167" s="564">
        <v>0.88</v>
      </c>
      <c r="W167" s="564">
        <v>137.91</v>
      </c>
      <c r="X167" s="564"/>
      <c r="Y167" s="564"/>
      <c r="Z167" s="564"/>
      <c r="AA167" s="563">
        <f t="shared" si="53"/>
        <v>82.75</v>
      </c>
      <c r="AB167" s="564">
        <v>82.75</v>
      </c>
      <c r="AC167" s="564"/>
      <c r="AD167" s="564"/>
      <c r="AE167" s="564"/>
      <c r="AF167" s="564"/>
      <c r="AG167" s="563">
        <f t="shared" si="54"/>
        <v>302.04388</v>
      </c>
      <c r="AH167" s="564">
        <f t="shared" si="55"/>
        <v>112.9136</v>
      </c>
      <c r="AI167" s="564">
        <f t="shared" si="56"/>
        <v>56.4568</v>
      </c>
      <c r="AJ167" s="564">
        <f t="shared" si="57"/>
        <v>42.3426</v>
      </c>
      <c r="AK167" s="564">
        <f t="shared" si="58"/>
        <v>1.41142</v>
      </c>
      <c r="AL167" s="564">
        <f t="shared" si="59"/>
        <v>4.23426</v>
      </c>
      <c r="AM167" s="564">
        <f t="shared" si="60"/>
        <v>84.6852</v>
      </c>
      <c r="AN167" s="564"/>
      <c r="AO167" s="304"/>
    </row>
    <row r="168" s="130" customFormat="1" ht="24" spans="1:41">
      <c r="A168" s="1" t="s">
        <v>202</v>
      </c>
      <c r="B168" s="1" t="s">
        <v>404</v>
      </c>
      <c r="C168" s="1" t="s">
        <v>430</v>
      </c>
      <c r="D168" s="1" t="s">
        <v>406</v>
      </c>
      <c r="E168" s="563">
        <f t="shared" si="47"/>
        <v>955.01604</v>
      </c>
      <c r="F168" s="564">
        <f t="shared" si="48"/>
        <v>0</v>
      </c>
      <c r="G168" s="564">
        <f t="shared" si="49"/>
        <v>0</v>
      </c>
      <c r="H168" s="564"/>
      <c r="I168" s="564"/>
      <c r="J168" s="564"/>
      <c r="K168" s="564"/>
      <c r="L168" s="564"/>
      <c r="M168" s="564"/>
      <c r="N168" s="563">
        <f t="shared" si="50"/>
        <v>0</v>
      </c>
      <c r="O168" s="564"/>
      <c r="P168" s="564"/>
      <c r="Q168" s="564"/>
      <c r="R168" s="564"/>
      <c r="S168" s="563">
        <f t="shared" si="51"/>
        <v>678.13</v>
      </c>
      <c r="T168" s="564">
        <f t="shared" si="52"/>
        <v>597.66</v>
      </c>
      <c r="U168" s="564">
        <v>431.71</v>
      </c>
      <c r="V168" s="564">
        <v>0.64</v>
      </c>
      <c r="W168" s="564">
        <v>134.11</v>
      </c>
      <c r="X168" s="564">
        <v>31.2</v>
      </c>
      <c r="Y168" s="564"/>
      <c r="Z168" s="564"/>
      <c r="AA168" s="563">
        <f t="shared" si="53"/>
        <v>80.47</v>
      </c>
      <c r="AB168" s="564">
        <v>80.47</v>
      </c>
      <c r="AC168" s="564"/>
      <c r="AD168" s="564"/>
      <c r="AE168" s="564"/>
      <c r="AF168" s="564"/>
      <c r="AG168" s="563">
        <f t="shared" si="54"/>
        <v>276.88604</v>
      </c>
      <c r="AH168" s="564">
        <f t="shared" si="55"/>
        <v>103.5088</v>
      </c>
      <c r="AI168" s="564">
        <f t="shared" si="56"/>
        <v>51.7544</v>
      </c>
      <c r="AJ168" s="564">
        <f t="shared" si="57"/>
        <v>38.8158</v>
      </c>
      <c r="AK168" s="564">
        <f t="shared" si="58"/>
        <v>1.29386</v>
      </c>
      <c r="AL168" s="564">
        <f t="shared" si="59"/>
        <v>3.88158</v>
      </c>
      <c r="AM168" s="564">
        <f t="shared" si="60"/>
        <v>77.6316</v>
      </c>
      <c r="AN168" s="564"/>
      <c r="AO168" s="304"/>
    </row>
    <row r="169" s="130" customFormat="1" ht="24" spans="1:41">
      <c r="A169" s="1" t="s">
        <v>202</v>
      </c>
      <c r="B169" s="1" t="s">
        <v>404</v>
      </c>
      <c r="C169" s="1" t="s">
        <v>431</v>
      </c>
      <c r="D169" s="1" t="s">
        <v>416</v>
      </c>
      <c r="E169" s="563">
        <f t="shared" si="47"/>
        <v>744.16752</v>
      </c>
      <c r="F169" s="564">
        <f t="shared" si="48"/>
        <v>0</v>
      </c>
      <c r="G169" s="564">
        <f t="shared" si="49"/>
        <v>0</v>
      </c>
      <c r="H169" s="564"/>
      <c r="I169" s="564"/>
      <c r="J169" s="564"/>
      <c r="K169" s="564"/>
      <c r="L169" s="564"/>
      <c r="M169" s="564"/>
      <c r="N169" s="563">
        <f t="shared" si="50"/>
        <v>0</v>
      </c>
      <c r="O169" s="564"/>
      <c r="P169" s="564"/>
      <c r="Q169" s="564"/>
      <c r="R169" s="564"/>
      <c r="S169" s="563">
        <f t="shared" si="51"/>
        <v>527.24</v>
      </c>
      <c r="T169" s="564">
        <f t="shared" si="52"/>
        <v>467.7</v>
      </c>
      <c r="U169" s="564">
        <v>347.42</v>
      </c>
      <c r="V169" s="564">
        <v>0.64</v>
      </c>
      <c r="W169" s="564">
        <v>99.24</v>
      </c>
      <c r="X169" s="564">
        <v>20.4</v>
      </c>
      <c r="Y169" s="564"/>
      <c r="Z169" s="564"/>
      <c r="AA169" s="563">
        <f t="shared" si="53"/>
        <v>59.54</v>
      </c>
      <c r="AB169" s="564">
        <v>59.54</v>
      </c>
      <c r="AC169" s="564"/>
      <c r="AD169" s="564"/>
      <c r="AE169" s="564"/>
      <c r="AF169" s="564"/>
      <c r="AG169" s="563">
        <f t="shared" si="54"/>
        <v>216.92752</v>
      </c>
      <c r="AH169" s="564">
        <f t="shared" si="55"/>
        <v>81.0944</v>
      </c>
      <c r="AI169" s="564">
        <f t="shared" si="56"/>
        <v>40.5472</v>
      </c>
      <c r="AJ169" s="564">
        <f t="shared" si="57"/>
        <v>30.4104</v>
      </c>
      <c r="AK169" s="564">
        <f t="shared" si="58"/>
        <v>1.01368</v>
      </c>
      <c r="AL169" s="564">
        <f t="shared" si="59"/>
        <v>3.04104</v>
      </c>
      <c r="AM169" s="564">
        <f t="shared" si="60"/>
        <v>60.8208</v>
      </c>
      <c r="AN169" s="564"/>
      <c r="AO169" s="304"/>
    </row>
    <row r="170" s="130" customFormat="1" ht="24" spans="1:41">
      <c r="A170" s="1" t="s">
        <v>202</v>
      </c>
      <c r="B170" s="1" t="s">
        <v>404</v>
      </c>
      <c r="C170" s="1" t="s">
        <v>432</v>
      </c>
      <c r="D170" s="1" t="s">
        <v>416</v>
      </c>
      <c r="E170" s="563">
        <f t="shared" si="47"/>
        <v>583.62408</v>
      </c>
      <c r="F170" s="564">
        <f t="shared" si="48"/>
        <v>0</v>
      </c>
      <c r="G170" s="564">
        <f t="shared" si="49"/>
        <v>0</v>
      </c>
      <c r="H170" s="564"/>
      <c r="I170" s="564"/>
      <c r="J170" s="564"/>
      <c r="K170" s="564"/>
      <c r="L170" s="564"/>
      <c r="M170" s="564"/>
      <c r="N170" s="563">
        <f t="shared" si="50"/>
        <v>0</v>
      </c>
      <c r="O170" s="564"/>
      <c r="P170" s="564"/>
      <c r="Q170" s="564"/>
      <c r="R170" s="564"/>
      <c r="S170" s="563">
        <f t="shared" si="51"/>
        <v>413.34</v>
      </c>
      <c r="T170" s="564">
        <f t="shared" si="52"/>
        <v>366.35</v>
      </c>
      <c r="U170" s="564">
        <v>272.04</v>
      </c>
      <c r="V170" s="564">
        <v>0.52</v>
      </c>
      <c r="W170" s="564">
        <v>78.31</v>
      </c>
      <c r="X170" s="564">
        <v>15.48</v>
      </c>
      <c r="Y170" s="564"/>
      <c r="Z170" s="564"/>
      <c r="AA170" s="563">
        <f t="shared" si="53"/>
        <v>46.99</v>
      </c>
      <c r="AB170" s="564">
        <v>46.99</v>
      </c>
      <c r="AC170" s="564"/>
      <c r="AD170" s="564"/>
      <c r="AE170" s="564"/>
      <c r="AF170" s="564"/>
      <c r="AG170" s="563">
        <f t="shared" si="54"/>
        <v>170.28408</v>
      </c>
      <c r="AH170" s="564">
        <f t="shared" si="55"/>
        <v>63.6576</v>
      </c>
      <c r="AI170" s="564">
        <f t="shared" si="56"/>
        <v>31.8288</v>
      </c>
      <c r="AJ170" s="564">
        <f t="shared" si="57"/>
        <v>23.8716</v>
      </c>
      <c r="AK170" s="564">
        <f t="shared" si="58"/>
        <v>0.79572</v>
      </c>
      <c r="AL170" s="564">
        <f t="shared" si="59"/>
        <v>2.38716</v>
      </c>
      <c r="AM170" s="564">
        <f t="shared" si="60"/>
        <v>47.7432</v>
      </c>
      <c r="AN170" s="564"/>
      <c r="AO170" s="304"/>
    </row>
    <row r="171" s="130" customFormat="1" ht="24" spans="1:41">
      <c r="A171" s="1" t="s">
        <v>202</v>
      </c>
      <c r="B171" s="1" t="s">
        <v>404</v>
      </c>
      <c r="C171" s="1" t="s">
        <v>433</v>
      </c>
      <c r="D171" s="1" t="s">
        <v>406</v>
      </c>
      <c r="E171" s="563">
        <f t="shared" si="47"/>
        <v>754.75872</v>
      </c>
      <c r="F171" s="564">
        <f t="shared" si="48"/>
        <v>0</v>
      </c>
      <c r="G171" s="564">
        <f t="shared" si="49"/>
        <v>0</v>
      </c>
      <c r="H171" s="564"/>
      <c r="I171" s="564"/>
      <c r="J171" s="564"/>
      <c r="K171" s="564"/>
      <c r="L171" s="564"/>
      <c r="M171" s="564"/>
      <c r="N171" s="563">
        <f t="shared" si="50"/>
        <v>0</v>
      </c>
      <c r="O171" s="564"/>
      <c r="P171" s="564"/>
      <c r="Q171" s="564"/>
      <c r="R171" s="564"/>
      <c r="S171" s="563">
        <f t="shared" si="51"/>
        <v>535.52</v>
      </c>
      <c r="T171" s="564">
        <f t="shared" si="52"/>
        <v>475.05</v>
      </c>
      <c r="U171" s="564">
        <v>350.43</v>
      </c>
      <c r="V171" s="564">
        <v>0.56</v>
      </c>
      <c r="W171" s="564">
        <v>100.78</v>
      </c>
      <c r="X171" s="564">
        <v>23.28</v>
      </c>
      <c r="Y171" s="564"/>
      <c r="Z171" s="564"/>
      <c r="AA171" s="563">
        <f t="shared" si="53"/>
        <v>60.47</v>
      </c>
      <c r="AB171" s="564">
        <v>60.47</v>
      </c>
      <c r="AC171" s="564"/>
      <c r="AD171" s="564"/>
      <c r="AE171" s="564"/>
      <c r="AF171" s="564"/>
      <c r="AG171" s="563">
        <f t="shared" si="54"/>
        <v>219.23872</v>
      </c>
      <c r="AH171" s="564">
        <f t="shared" si="55"/>
        <v>81.9584</v>
      </c>
      <c r="AI171" s="564">
        <f t="shared" si="56"/>
        <v>40.9792</v>
      </c>
      <c r="AJ171" s="564">
        <f t="shared" si="57"/>
        <v>30.7344</v>
      </c>
      <c r="AK171" s="564">
        <f t="shared" si="58"/>
        <v>1.02448</v>
      </c>
      <c r="AL171" s="564">
        <f t="shared" si="59"/>
        <v>3.07344</v>
      </c>
      <c r="AM171" s="564">
        <f t="shared" si="60"/>
        <v>61.4688</v>
      </c>
      <c r="AN171" s="564"/>
      <c r="AO171" s="304"/>
    </row>
    <row r="172" s="130" customFormat="1" ht="24" spans="1:41">
      <c r="A172" s="1" t="s">
        <v>202</v>
      </c>
      <c r="B172" s="1" t="s">
        <v>404</v>
      </c>
      <c r="C172" s="1" t="s">
        <v>434</v>
      </c>
      <c r="D172" s="1" t="s">
        <v>406</v>
      </c>
      <c r="E172" s="563">
        <f t="shared" si="47"/>
        <v>1122.72804</v>
      </c>
      <c r="F172" s="564">
        <f t="shared" si="48"/>
        <v>0</v>
      </c>
      <c r="G172" s="564">
        <f t="shared" si="49"/>
        <v>0</v>
      </c>
      <c r="H172" s="564"/>
      <c r="I172" s="564"/>
      <c r="J172" s="564"/>
      <c r="K172" s="564"/>
      <c r="L172" s="564"/>
      <c r="M172" s="564"/>
      <c r="N172" s="563">
        <f t="shared" si="50"/>
        <v>0</v>
      </c>
      <c r="O172" s="564"/>
      <c r="P172" s="564"/>
      <c r="Q172" s="564"/>
      <c r="R172" s="564"/>
      <c r="S172" s="563">
        <f t="shared" si="51"/>
        <v>792.77</v>
      </c>
      <c r="T172" s="564">
        <f t="shared" si="52"/>
        <v>702.2</v>
      </c>
      <c r="U172" s="564">
        <v>528</v>
      </c>
      <c r="V172" s="564">
        <v>1.41</v>
      </c>
      <c r="W172" s="564">
        <v>150.95</v>
      </c>
      <c r="X172" s="564">
        <v>21.84</v>
      </c>
      <c r="Y172" s="564"/>
      <c r="Z172" s="564"/>
      <c r="AA172" s="563">
        <f t="shared" si="53"/>
        <v>90.57</v>
      </c>
      <c r="AB172" s="564">
        <v>90.57</v>
      </c>
      <c r="AC172" s="564"/>
      <c r="AD172" s="564"/>
      <c r="AE172" s="564"/>
      <c r="AF172" s="564"/>
      <c r="AG172" s="563">
        <f t="shared" si="54"/>
        <v>329.95804</v>
      </c>
      <c r="AH172" s="564">
        <f t="shared" si="55"/>
        <v>123.3488</v>
      </c>
      <c r="AI172" s="564">
        <f t="shared" si="56"/>
        <v>61.6744</v>
      </c>
      <c r="AJ172" s="564">
        <f t="shared" si="57"/>
        <v>46.2558</v>
      </c>
      <c r="AK172" s="564">
        <f t="shared" si="58"/>
        <v>1.54186</v>
      </c>
      <c r="AL172" s="564">
        <f t="shared" si="59"/>
        <v>4.62558</v>
      </c>
      <c r="AM172" s="564">
        <f t="shared" si="60"/>
        <v>92.5116</v>
      </c>
      <c r="AN172" s="564"/>
      <c r="AO172" s="304"/>
    </row>
    <row r="173" s="130" customFormat="1" ht="24" spans="1:41">
      <c r="A173" s="1" t="s">
        <v>202</v>
      </c>
      <c r="B173" s="1" t="s">
        <v>404</v>
      </c>
      <c r="C173" s="1" t="s">
        <v>435</v>
      </c>
      <c r="D173" s="1" t="s">
        <v>406</v>
      </c>
      <c r="E173" s="563">
        <f t="shared" si="47"/>
        <v>1222.13952</v>
      </c>
      <c r="F173" s="564">
        <f t="shared" si="48"/>
        <v>0</v>
      </c>
      <c r="G173" s="564">
        <f t="shared" si="49"/>
        <v>0</v>
      </c>
      <c r="H173" s="564"/>
      <c r="I173" s="564"/>
      <c r="J173" s="564"/>
      <c r="K173" s="564"/>
      <c r="L173" s="564"/>
      <c r="M173" s="564"/>
      <c r="N173" s="563">
        <f t="shared" si="50"/>
        <v>0</v>
      </c>
      <c r="O173" s="564"/>
      <c r="P173" s="564"/>
      <c r="Q173" s="564"/>
      <c r="R173" s="564"/>
      <c r="S173" s="563">
        <f t="shared" si="51"/>
        <v>855.84</v>
      </c>
      <c r="T173" s="564">
        <f t="shared" si="52"/>
        <v>750.22</v>
      </c>
      <c r="U173" s="564">
        <v>573.08</v>
      </c>
      <c r="V173" s="564">
        <v>1.1</v>
      </c>
      <c r="W173" s="564">
        <v>176.04</v>
      </c>
      <c r="X173" s="564"/>
      <c r="Y173" s="564"/>
      <c r="Z173" s="564"/>
      <c r="AA173" s="563">
        <f t="shared" si="53"/>
        <v>105.62</v>
      </c>
      <c r="AB173" s="564">
        <v>105.62</v>
      </c>
      <c r="AC173" s="564"/>
      <c r="AD173" s="564"/>
      <c r="AE173" s="577"/>
      <c r="AF173" s="564"/>
      <c r="AG173" s="563">
        <f t="shared" si="54"/>
        <v>366.29952</v>
      </c>
      <c r="AH173" s="564">
        <f t="shared" si="55"/>
        <v>136.9344</v>
      </c>
      <c r="AI173" s="564">
        <f t="shared" si="56"/>
        <v>68.4672</v>
      </c>
      <c r="AJ173" s="564">
        <f t="shared" si="57"/>
        <v>51.3504</v>
      </c>
      <c r="AK173" s="564">
        <f t="shared" si="58"/>
        <v>1.71168</v>
      </c>
      <c r="AL173" s="564">
        <f t="shared" si="59"/>
        <v>5.13504</v>
      </c>
      <c r="AM173" s="564">
        <f t="shared" si="60"/>
        <v>102.7008</v>
      </c>
      <c r="AN173" s="564"/>
      <c r="AO173" s="304"/>
    </row>
    <row r="174" s="130" customFormat="1" ht="24" spans="1:41">
      <c r="A174" s="1" t="s">
        <v>202</v>
      </c>
      <c r="B174" s="1" t="s">
        <v>404</v>
      </c>
      <c r="C174" s="1" t="s">
        <v>436</v>
      </c>
      <c r="D174" s="1" t="s">
        <v>416</v>
      </c>
      <c r="E174" s="563">
        <f t="shared" si="47"/>
        <v>456.9956796</v>
      </c>
      <c r="F174" s="564">
        <f t="shared" si="48"/>
        <v>0</v>
      </c>
      <c r="G174" s="564">
        <f t="shared" si="49"/>
        <v>0</v>
      </c>
      <c r="H174" s="564"/>
      <c r="I174" s="564"/>
      <c r="J174" s="564"/>
      <c r="K174" s="564"/>
      <c r="L174" s="564"/>
      <c r="M174" s="564"/>
      <c r="N174" s="563">
        <f t="shared" si="50"/>
        <v>0</v>
      </c>
      <c r="O174" s="564"/>
      <c r="P174" s="564"/>
      <c r="Q174" s="564"/>
      <c r="R174" s="564"/>
      <c r="S174" s="563">
        <f t="shared" si="51"/>
        <v>322.4707</v>
      </c>
      <c r="T174" s="564">
        <f t="shared" si="52"/>
        <v>285.7392</v>
      </c>
      <c r="U174" s="564">
        <v>215.982</v>
      </c>
      <c r="V174" s="564">
        <v>0.378</v>
      </c>
      <c r="W174" s="564">
        <v>61.2192</v>
      </c>
      <c r="X174" s="564">
        <v>8.16</v>
      </c>
      <c r="Y174" s="564"/>
      <c r="Z174" s="564"/>
      <c r="AA174" s="563">
        <f t="shared" si="53"/>
        <v>36.7315</v>
      </c>
      <c r="AB174" s="564">
        <v>36.7315</v>
      </c>
      <c r="AC174" s="564"/>
      <c r="AD174" s="564"/>
      <c r="AE174" s="564"/>
      <c r="AF174" s="564"/>
      <c r="AG174" s="563">
        <f t="shared" si="54"/>
        <v>134.5249796</v>
      </c>
      <c r="AH174" s="564">
        <f t="shared" si="55"/>
        <v>50.289712</v>
      </c>
      <c r="AI174" s="564">
        <f t="shared" si="56"/>
        <v>25.144856</v>
      </c>
      <c r="AJ174" s="564">
        <f t="shared" si="57"/>
        <v>18.858642</v>
      </c>
      <c r="AK174" s="564">
        <f t="shared" si="58"/>
        <v>0.6286214</v>
      </c>
      <c r="AL174" s="564">
        <f t="shared" si="59"/>
        <v>1.8858642</v>
      </c>
      <c r="AM174" s="564">
        <f t="shared" si="60"/>
        <v>37.717284</v>
      </c>
      <c r="AN174" s="564"/>
      <c r="AO174" s="304"/>
    </row>
    <row r="175" s="130" customFormat="1" ht="24" spans="1:41">
      <c r="A175" s="1" t="s">
        <v>202</v>
      </c>
      <c r="B175" s="1" t="s">
        <v>404</v>
      </c>
      <c r="C175" s="1" t="s">
        <v>437</v>
      </c>
      <c r="D175" s="1" t="s">
        <v>406</v>
      </c>
      <c r="E175" s="563">
        <f t="shared" si="47"/>
        <v>625.2864</v>
      </c>
      <c r="F175" s="564">
        <f t="shared" si="48"/>
        <v>0</v>
      </c>
      <c r="G175" s="564">
        <f t="shared" si="49"/>
        <v>0</v>
      </c>
      <c r="H175" s="564"/>
      <c r="I175" s="564"/>
      <c r="J175" s="564"/>
      <c r="K175" s="564"/>
      <c r="L175" s="564"/>
      <c r="M175" s="564"/>
      <c r="N175" s="563">
        <f t="shared" si="50"/>
        <v>0</v>
      </c>
      <c r="O175" s="564"/>
      <c r="P175" s="564"/>
      <c r="Q175" s="564"/>
      <c r="R175" s="564"/>
      <c r="S175" s="563">
        <f t="shared" si="51"/>
        <v>441.76</v>
      </c>
      <c r="T175" s="564">
        <f t="shared" si="52"/>
        <v>390.34</v>
      </c>
      <c r="U175" s="564">
        <v>291.11</v>
      </c>
      <c r="V175" s="564">
        <v>0.56</v>
      </c>
      <c r="W175" s="564">
        <v>85.71</v>
      </c>
      <c r="X175" s="564">
        <v>12.96</v>
      </c>
      <c r="Y175" s="564"/>
      <c r="Z175" s="564"/>
      <c r="AA175" s="563">
        <f t="shared" si="53"/>
        <v>51.42</v>
      </c>
      <c r="AB175" s="564">
        <v>51.42</v>
      </c>
      <c r="AC175" s="564"/>
      <c r="AD175" s="564"/>
      <c r="AE175" s="564"/>
      <c r="AF175" s="564"/>
      <c r="AG175" s="563">
        <f t="shared" si="54"/>
        <v>183.5264</v>
      </c>
      <c r="AH175" s="564">
        <f t="shared" si="55"/>
        <v>68.608</v>
      </c>
      <c r="AI175" s="564">
        <f t="shared" si="56"/>
        <v>34.304</v>
      </c>
      <c r="AJ175" s="564">
        <f t="shared" si="57"/>
        <v>25.728</v>
      </c>
      <c r="AK175" s="564">
        <f t="shared" si="58"/>
        <v>0.8576</v>
      </c>
      <c r="AL175" s="564">
        <f t="shared" si="59"/>
        <v>2.5728</v>
      </c>
      <c r="AM175" s="564">
        <f t="shared" si="60"/>
        <v>51.456</v>
      </c>
      <c r="AN175" s="564"/>
      <c r="AO175" s="304"/>
    </row>
    <row r="176" s="130" customFormat="1" ht="24" spans="1:41">
      <c r="A176" s="1" t="s">
        <v>202</v>
      </c>
      <c r="B176" s="1" t="s">
        <v>404</v>
      </c>
      <c r="C176" s="1" t="s">
        <v>438</v>
      </c>
      <c r="D176" s="1" t="s">
        <v>416</v>
      </c>
      <c r="E176" s="563">
        <f t="shared" si="47"/>
        <v>646.47156</v>
      </c>
      <c r="F176" s="564">
        <f t="shared" si="48"/>
        <v>0</v>
      </c>
      <c r="G176" s="564">
        <f t="shared" si="49"/>
        <v>0</v>
      </c>
      <c r="H176" s="564"/>
      <c r="I176" s="564"/>
      <c r="J176" s="564"/>
      <c r="K176" s="564"/>
      <c r="L176" s="564"/>
      <c r="M176" s="564"/>
      <c r="N176" s="563">
        <f t="shared" si="50"/>
        <v>0</v>
      </c>
      <c r="O176" s="564"/>
      <c r="P176" s="564"/>
      <c r="Q176" s="564"/>
      <c r="R176" s="564"/>
      <c r="S176" s="563">
        <f t="shared" si="51"/>
        <v>458.25</v>
      </c>
      <c r="T176" s="564">
        <f t="shared" si="52"/>
        <v>405.63</v>
      </c>
      <c r="U176" s="564">
        <v>298.88</v>
      </c>
      <c r="V176" s="564">
        <v>0.57</v>
      </c>
      <c r="W176" s="564">
        <v>87.7</v>
      </c>
      <c r="X176" s="564">
        <v>18.48</v>
      </c>
      <c r="Y176" s="564">
        <v>0</v>
      </c>
      <c r="Z176" s="564"/>
      <c r="AA176" s="563">
        <f t="shared" si="53"/>
        <v>52.62</v>
      </c>
      <c r="AB176" s="564">
        <v>52.62</v>
      </c>
      <c r="AC176" s="564"/>
      <c r="AD176" s="564"/>
      <c r="AE176" s="564"/>
      <c r="AF176" s="564"/>
      <c r="AG176" s="563">
        <f t="shared" si="54"/>
        <v>188.22156</v>
      </c>
      <c r="AH176" s="564">
        <f t="shared" si="55"/>
        <v>70.3632</v>
      </c>
      <c r="AI176" s="564">
        <f t="shared" si="56"/>
        <v>35.1816</v>
      </c>
      <c r="AJ176" s="564">
        <f t="shared" si="57"/>
        <v>26.3862</v>
      </c>
      <c r="AK176" s="564">
        <f t="shared" si="58"/>
        <v>0.87954</v>
      </c>
      <c r="AL176" s="564">
        <f t="shared" si="59"/>
        <v>2.63862</v>
      </c>
      <c r="AM176" s="564">
        <f t="shared" si="60"/>
        <v>52.7724</v>
      </c>
      <c r="AN176" s="564"/>
      <c r="AO176" s="304"/>
    </row>
    <row r="177" s="130" customFormat="1" ht="24" spans="1:41">
      <c r="A177" s="1" t="s">
        <v>202</v>
      </c>
      <c r="B177" s="1" t="s">
        <v>404</v>
      </c>
      <c r="C177" s="1" t="s">
        <v>439</v>
      </c>
      <c r="D177" s="1" t="s">
        <v>406</v>
      </c>
      <c r="E177" s="563">
        <f t="shared" si="47"/>
        <v>957.70416</v>
      </c>
      <c r="F177" s="564">
        <f t="shared" si="48"/>
        <v>0</v>
      </c>
      <c r="G177" s="564">
        <f t="shared" si="49"/>
        <v>0</v>
      </c>
      <c r="H177" s="564"/>
      <c r="I177" s="564"/>
      <c r="J177" s="564"/>
      <c r="K177" s="564"/>
      <c r="L177" s="564"/>
      <c r="M177" s="564"/>
      <c r="N177" s="563">
        <f t="shared" si="50"/>
        <v>0</v>
      </c>
      <c r="O177" s="564"/>
      <c r="P177" s="564"/>
      <c r="Q177" s="564"/>
      <c r="R177" s="564"/>
      <c r="S177" s="563">
        <f t="shared" si="51"/>
        <v>680.48</v>
      </c>
      <c r="T177" s="564">
        <f t="shared" si="52"/>
        <v>599.45</v>
      </c>
      <c r="U177" s="564">
        <v>431.09</v>
      </c>
      <c r="V177" s="564">
        <v>0.55</v>
      </c>
      <c r="W177" s="564">
        <v>135.05</v>
      </c>
      <c r="X177" s="564">
        <v>32.76</v>
      </c>
      <c r="Y177" s="564">
        <v>0</v>
      </c>
      <c r="Z177" s="564"/>
      <c r="AA177" s="563">
        <f t="shared" si="53"/>
        <v>81.03</v>
      </c>
      <c r="AB177" s="564">
        <v>81.03</v>
      </c>
      <c r="AC177" s="564"/>
      <c r="AD177" s="564"/>
      <c r="AE177" s="564"/>
      <c r="AF177" s="564"/>
      <c r="AG177" s="563">
        <f t="shared" si="54"/>
        <v>277.22416</v>
      </c>
      <c r="AH177" s="564">
        <f t="shared" si="55"/>
        <v>103.6352</v>
      </c>
      <c r="AI177" s="564">
        <f t="shared" si="56"/>
        <v>51.8176</v>
      </c>
      <c r="AJ177" s="564">
        <f t="shared" si="57"/>
        <v>38.8632</v>
      </c>
      <c r="AK177" s="564">
        <f t="shared" si="58"/>
        <v>1.29544</v>
      </c>
      <c r="AL177" s="564">
        <f t="shared" si="59"/>
        <v>3.88632</v>
      </c>
      <c r="AM177" s="564">
        <f t="shared" si="60"/>
        <v>77.7264</v>
      </c>
      <c r="AN177" s="564"/>
      <c r="AO177" s="304"/>
    </row>
    <row r="178" s="130" customFormat="1" ht="24" spans="1:41">
      <c r="A178" s="1" t="s">
        <v>202</v>
      </c>
      <c r="B178" s="1" t="s">
        <v>400</v>
      </c>
      <c r="C178" s="1" t="s">
        <v>440</v>
      </c>
      <c r="D178" s="1" t="s">
        <v>441</v>
      </c>
      <c r="E178" s="563">
        <f t="shared" si="47"/>
        <v>634.3176</v>
      </c>
      <c r="F178" s="564">
        <f t="shared" si="48"/>
        <v>0</v>
      </c>
      <c r="G178" s="564">
        <f t="shared" si="49"/>
        <v>0</v>
      </c>
      <c r="H178" s="564"/>
      <c r="I178" s="564"/>
      <c r="J178" s="564"/>
      <c r="K178" s="564"/>
      <c r="L178" s="564"/>
      <c r="M178" s="564"/>
      <c r="N178" s="563">
        <f t="shared" si="50"/>
        <v>0</v>
      </c>
      <c r="O178" s="564"/>
      <c r="P178" s="564"/>
      <c r="Q178" s="564"/>
      <c r="R178" s="564"/>
      <c r="S178" s="563">
        <f t="shared" si="51"/>
        <v>444.2</v>
      </c>
      <c r="T178" s="564">
        <f t="shared" si="52"/>
        <v>385.63</v>
      </c>
      <c r="U178" s="564">
        <v>287.56</v>
      </c>
      <c r="V178" s="564">
        <v>0.46</v>
      </c>
      <c r="W178" s="564">
        <v>97.61</v>
      </c>
      <c r="X178" s="564"/>
      <c r="Y178" s="564"/>
      <c r="Z178" s="564"/>
      <c r="AA178" s="563">
        <f t="shared" si="53"/>
        <v>58.57</v>
      </c>
      <c r="AB178" s="564">
        <v>58.57</v>
      </c>
      <c r="AC178" s="564"/>
      <c r="AD178" s="564"/>
      <c r="AE178" s="564"/>
      <c r="AF178" s="564"/>
      <c r="AG178" s="563">
        <f t="shared" si="54"/>
        <v>190.1176</v>
      </c>
      <c r="AH178" s="564">
        <f t="shared" si="55"/>
        <v>71.072</v>
      </c>
      <c r="AI178" s="564">
        <f t="shared" si="56"/>
        <v>35.536</v>
      </c>
      <c r="AJ178" s="564">
        <f t="shared" si="57"/>
        <v>26.652</v>
      </c>
      <c r="AK178" s="564">
        <f t="shared" si="58"/>
        <v>0.8884</v>
      </c>
      <c r="AL178" s="564">
        <f t="shared" si="59"/>
        <v>2.6652</v>
      </c>
      <c r="AM178" s="564">
        <f t="shared" si="60"/>
        <v>53.304</v>
      </c>
      <c r="AN178" s="564"/>
      <c r="AO178" s="304"/>
    </row>
    <row r="179" s="130" customFormat="1" ht="24" spans="1:41">
      <c r="A179" s="1" t="s">
        <v>202</v>
      </c>
      <c r="B179" s="1" t="s">
        <v>404</v>
      </c>
      <c r="C179" s="1" t="s">
        <v>442</v>
      </c>
      <c r="D179" s="1" t="s">
        <v>416</v>
      </c>
      <c r="E179" s="563">
        <f t="shared" si="47"/>
        <v>2177.99988</v>
      </c>
      <c r="F179" s="564">
        <f t="shared" si="48"/>
        <v>0</v>
      </c>
      <c r="G179" s="564">
        <f t="shared" si="49"/>
        <v>0</v>
      </c>
      <c r="H179" s="564"/>
      <c r="I179" s="564"/>
      <c r="J179" s="564"/>
      <c r="K179" s="564"/>
      <c r="L179" s="564"/>
      <c r="M179" s="564"/>
      <c r="N179" s="563">
        <f t="shared" si="50"/>
        <v>0</v>
      </c>
      <c r="O179" s="564"/>
      <c r="P179" s="564"/>
      <c r="Q179" s="564"/>
      <c r="R179" s="564"/>
      <c r="S179" s="563">
        <f t="shared" si="51"/>
        <v>1525.21</v>
      </c>
      <c r="T179" s="564">
        <f t="shared" si="52"/>
        <v>1346.05</v>
      </c>
      <c r="U179" s="564">
        <v>1045.52</v>
      </c>
      <c r="V179" s="564">
        <v>1.93</v>
      </c>
      <c r="W179" s="564">
        <v>298.6</v>
      </c>
      <c r="X179" s="564"/>
      <c r="Y179" s="564"/>
      <c r="Z179" s="564"/>
      <c r="AA179" s="563">
        <f t="shared" si="53"/>
        <v>179.16</v>
      </c>
      <c r="AB179" s="564">
        <v>179.16</v>
      </c>
      <c r="AC179" s="564"/>
      <c r="AD179" s="564"/>
      <c r="AE179" s="564"/>
      <c r="AF179" s="564"/>
      <c r="AG179" s="563">
        <f t="shared" si="54"/>
        <v>652.78988</v>
      </c>
      <c r="AH179" s="564">
        <f t="shared" si="55"/>
        <v>244.0336</v>
      </c>
      <c r="AI179" s="564">
        <f t="shared" si="56"/>
        <v>122.0168</v>
      </c>
      <c r="AJ179" s="564">
        <f t="shared" si="57"/>
        <v>91.5126</v>
      </c>
      <c r="AK179" s="564">
        <f t="shared" si="58"/>
        <v>3.05042</v>
      </c>
      <c r="AL179" s="564">
        <f t="shared" si="59"/>
        <v>9.15126</v>
      </c>
      <c r="AM179" s="564">
        <f t="shared" si="60"/>
        <v>183.0252</v>
      </c>
      <c r="AN179" s="564"/>
      <c r="AO179" s="304"/>
    </row>
    <row r="180" s="130" customFormat="1" ht="24" spans="1:41">
      <c r="A180" s="1" t="s">
        <v>202</v>
      </c>
      <c r="B180" s="1" t="s">
        <v>404</v>
      </c>
      <c r="C180" s="1" t="s">
        <v>443</v>
      </c>
      <c r="D180" s="1" t="s">
        <v>406</v>
      </c>
      <c r="E180" s="563">
        <f t="shared" si="47"/>
        <v>545.0316</v>
      </c>
      <c r="F180" s="564">
        <f t="shared" si="48"/>
        <v>0</v>
      </c>
      <c r="G180" s="564">
        <f t="shared" si="49"/>
        <v>0</v>
      </c>
      <c r="H180" s="564"/>
      <c r="I180" s="564"/>
      <c r="J180" s="564"/>
      <c r="K180" s="564"/>
      <c r="L180" s="564"/>
      <c r="M180" s="564"/>
      <c r="N180" s="563">
        <f t="shared" si="50"/>
        <v>0</v>
      </c>
      <c r="O180" s="564"/>
      <c r="P180" s="564"/>
      <c r="Q180" s="564"/>
      <c r="R180" s="564"/>
      <c r="S180" s="563">
        <f t="shared" si="51"/>
        <v>388.94</v>
      </c>
      <c r="T180" s="564">
        <f t="shared" si="52"/>
        <v>343.09</v>
      </c>
      <c r="U180" s="564">
        <v>242.09</v>
      </c>
      <c r="V180" s="564">
        <v>0.35</v>
      </c>
      <c r="W180" s="564">
        <v>76.41</v>
      </c>
      <c r="X180" s="564">
        <v>24.24</v>
      </c>
      <c r="Y180" s="564"/>
      <c r="Z180" s="564"/>
      <c r="AA180" s="563">
        <f t="shared" si="53"/>
        <v>45.85</v>
      </c>
      <c r="AB180" s="564">
        <v>45.85</v>
      </c>
      <c r="AC180" s="564"/>
      <c r="AD180" s="564"/>
      <c r="AE180" s="577"/>
      <c r="AF180" s="564"/>
      <c r="AG180" s="563">
        <f t="shared" si="54"/>
        <v>156.0916</v>
      </c>
      <c r="AH180" s="564">
        <f t="shared" si="55"/>
        <v>58.352</v>
      </c>
      <c r="AI180" s="564">
        <f t="shared" si="56"/>
        <v>29.176</v>
      </c>
      <c r="AJ180" s="564">
        <f t="shared" si="57"/>
        <v>21.882</v>
      </c>
      <c r="AK180" s="564">
        <f t="shared" si="58"/>
        <v>0.7294</v>
      </c>
      <c r="AL180" s="564">
        <f t="shared" si="59"/>
        <v>2.1882</v>
      </c>
      <c r="AM180" s="564">
        <f t="shared" si="60"/>
        <v>43.764</v>
      </c>
      <c r="AN180" s="564"/>
      <c r="AO180" s="304"/>
    </row>
    <row r="181" s="130" customFormat="1" ht="24" spans="1:41">
      <c r="A181" s="1" t="s">
        <v>202</v>
      </c>
      <c r="B181" s="1" t="s">
        <v>404</v>
      </c>
      <c r="C181" s="1" t="s">
        <v>444</v>
      </c>
      <c r="D181" s="1" t="s">
        <v>406</v>
      </c>
      <c r="E181" s="563">
        <f t="shared" si="47"/>
        <v>708.00276</v>
      </c>
      <c r="F181" s="564">
        <f t="shared" si="48"/>
        <v>0</v>
      </c>
      <c r="G181" s="564">
        <f t="shared" si="49"/>
        <v>0</v>
      </c>
      <c r="H181" s="564"/>
      <c r="I181" s="564"/>
      <c r="J181" s="564"/>
      <c r="K181" s="564"/>
      <c r="L181" s="564"/>
      <c r="M181" s="564"/>
      <c r="N181" s="563">
        <f t="shared" si="50"/>
        <v>0</v>
      </c>
      <c r="O181" s="564"/>
      <c r="P181" s="564"/>
      <c r="Q181" s="564"/>
      <c r="R181" s="564"/>
      <c r="S181" s="563">
        <f t="shared" si="51"/>
        <v>502.49</v>
      </c>
      <c r="T181" s="564">
        <f t="shared" si="52"/>
        <v>445.57</v>
      </c>
      <c r="U181" s="564">
        <v>327.85</v>
      </c>
      <c r="V181" s="564">
        <v>0.53</v>
      </c>
      <c r="W181" s="564">
        <v>94.87</v>
      </c>
      <c r="X181" s="564">
        <v>22.32</v>
      </c>
      <c r="Y181" s="564"/>
      <c r="Z181" s="564"/>
      <c r="AA181" s="563">
        <f t="shared" si="53"/>
        <v>56.92</v>
      </c>
      <c r="AB181" s="564">
        <v>56.92</v>
      </c>
      <c r="AC181" s="564"/>
      <c r="AD181" s="564"/>
      <c r="AE181" s="564"/>
      <c r="AF181" s="564"/>
      <c r="AG181" s="563">
        <f t="shared" si="54"/>
        <v>205.51276</v>
      </c>
      <c r="AH181" s="564">
        <f t="shared" si="55"/>
        <v>76.8272</v>
      </c>
      <c r="AI181" s="564">
        <f t="shared" si="56"/>
        <v>38.4136</v>
      </c>
      <c r="AJ181" s="564">
        <f t="shared" si="57"/>
        <v>28.8102</v>
      </c>
      <c r="AK181" s="564">
        <f t="shared" si="58"/>
        <v>0.96034</v>
      </c>
      <c r="AL181" s="564">
        <f t="shared" si="59"/>
        <v>2.88102</v>
      </c>
      <c r="AM181" s="564">
        <f t="shared" si="60"/>
        <v>57.6204</v>
      </c>
      <c r="AN181" s="564"/>
      <c r="AO181" s="304"/>
    </row>
    <row r="182" s="130" customFormat="1" ht="24" spans="1:41">
      <c r="A182" s="1" t="s">
        <v>202</v>
      </c>
      <c r="B182" s="1" t="s">
        <v>404</v>
      </c>
      <c r="C182" s="1" t="s">
        <v>445</v>
      </c>
      <c r="D182" s="1" t="s">
        <v>416</v>
      </c>
      <c r="E182" s="563">
        <f t="shared" si="47"/>
        <v>357.48684</v>
      </c>
      <c r="F182" s="564">
        <f t="shared" si="48"/>
        <v>0</v>
      </c>
      <c r="G182" s="564">
        <f t="shared" si="49"/>
        <v>0</v>
      </c>
      <c r="H182" s="564"/>
      <c r="I182" s="564"/>
      <c r="J182" s="564"/>
      <c r="K182" s="564"/>
      <c r="L182" s="564"/>
      <c r="M182" s="564"/>
      <c r="N182" s="563">
        <f t="shared" si="50"/>
        <v>0</v>
      </c>
      <c r="O182" s="564"/>
      <c r="P182" s="564"/>
      <c r="Q182" s="564"/>
      <c r="R182" s="564"/>
      <c r="S182" s="563">
        <f t="shared" si="51"/>
        <v>253.47</v>
      </c>
      <c r="T182" s="564">
        <f t="shared" si="52"/>
        <v>222.96</v>
      </c>
      <c r="U182" s="564">
        <v>162.13</v>
      </c>
      <c r="V182" s="564">
        <v>0.3</v>
      </c>
      <c r="W182" s="564">
        <v>50.09</v>
      </c>
      <c r="X182" s="564">
        <v>10.44</v>
      </c>
      <c r="Y182" s="564"/>
      <c r="Z182" s="564"/>
      <c r="AA182" s="563">
        <f t="shared" si="53"/>
        <v>30.51</v>
      </c>
      <c r="AB182" s="564">
        <v>30.51</v>
      </c>
      <c r="AC182" s="564"/>
      <c r="AD182" s="564"/>
      <c r="AE182" s="564"/>
      <c r="AF182" s="564"/>
      <c r="AG182" s="563">
        <f t="shared" si="54"/>
        <v>104.01684</v>
      </c>
      <c r="AH182" s="564">
        <f t="shared" si="55"/>
        <v>38.8848</v>
      </c>
      <c r="AI182" s="564">
        <f t="shared" si="56"/>
        <v>19.4424</v>
      </c>
      <c r="AJ182" s="564">
        <f t="shared" si="57"/>
        <v>14.5818</v>
      </c>
      <c r="AK182" s="564">
        <f t="shared" si="58"/>
        <v>0.48606</v>
      </c>
      <c r="AL182" s="564">
        <f t="shared" si="59"/>
        <v>1.45818</v>
      </c>
      <c r="AM182" s="564">
        <f t="shared" si="60"/>
        <v>29.1636</v>
      </c>
      <c r="AN182" s="564"/>
      <c r="AO182" s="304"/>
    </row>
    <row r="183" s="130" customFormat="1" ht="24" spans="1:41">
      <c r="A183" s="1" t="s">
        <v>202</v>
      </c>
      <c r="B183" s="1" t="s">
        <v>404</v>
      </c>
      <c r="C183" s="1" t="s">
        <v>446</v>
      </c>
      <c r="D183" s="1" t="s">
        <v>416</v>
      </c>
      <c r="E183" s="563">
        <f t="shared" si="47"/>
        <v>637.46076</v>
      </c>
      <c r="F183" s="564">
        <f t="shared" si="48"/>
        <v>0</v>
      </c>
      <c r="G183" s="564">
        <f t="shared" si="49"/>
        <v>0</v>
      </c>
      <c r="H183" s="564"/>
      <c r="I183" s="564"/>
      <c r="J183" s="564"/>
      <c r="K183" s="564"/>
      <c r="L183" s="564"/>
      <c r="M183" s="564"/>
      <c r="N183" s="563">
        <f t="shared" si="50"/>
        <v>0</v>
      </c>
      <c r="O183" s="564"/>
      <c r="P183" s="564"/>
      <c r="Q183" s="564"/>
      <c r="R183" s="564"/>
      <c r="S183" s="563">
        <f t="shared" si="51"/>
        <v>449.71</v>
      </c>
      <c r="T183" s="564">
        <f t="shared" si="52"/>
        <v>399.52</v>
      </c>
      <c r="U183" s="564">
        <v>304.29</v>
      </c>
      <c r="V183" s="564">
        <v>0.54</v>
      </c>
      <c r="W183" s="564">
        <v>83.65</v>
      </c>
      <c r="X183" s="564">
        <v>11.04</v>
      </c>
      <c r="Y183" s="564"/>
      <c r="Z183" s="564"/>
      <c r="AA183" s="563">
        <f t="shared" si="53"/>
        <v>50.19</v>
      </c>
      <c r="AB183" s="564">
        <v>50.19</v>
      </c>
      <c r="AC183" s="564"/>
      <c r="AD183" s="564"/>
      <c r="AE183" s="564"/>
      <c r="AF183" s="564"/>
      <c r="AG183" s="563">
        <f t="shared" si="54"/>
        <v>187.75076</v>
      </c>
      <c r="AH183" s="564">
        <f t="shared" si="55"/>
        <v>70.1872</v>
      </c>
      <c r="AI183" s="564">
        <f t="shared" si="56"/>
        <v>35.0936</v>
      </c>
      <c r="AJ183" s="564">
        <f t="shared" si="57"/>
        <v>26.3202</v>
      </c>
      <c r="AK183" s="564">
        <f t="shared" si="58"/>
        <v>0.87734</v>
      </c>
      <c r="AL183" s="564">
        <f t="shared" si="59"/>
        <v>2.63202</v>
      </c>
      <c r="AM183" s="564">
        <f t="shared" si="60"/>
        <v>52.6404</v>
      </c>
      <c r="AN183" s="564"/>
      <c r="AO183" s="304"/>
    </row>
    <row r="184" s="130" customFormat="1" ht="24" spans="1:41">
      <c r="A184" s="1" t="s">
        <v>202</v>
      </c>
      <c r="B184" s="1" t="s">
        <v>404</v>
      </c>
      <c r="C184" s="1" t="s">
        <v>447</v>
      </c>
      <c r="D184" s="1" t="s">
        <v>406</v>
      </c>
      <c r="E184" s="563">
        <f t="shared" si="47"/>
        <v>748.62648</v>
      </c>
      <c r="F184" s="564">
        <f t="shared" si="48"/>
        <v>0</v>
      </c>
      <c r="G184" s="564">
        <f t="shared" si="49"/>
        <v>0</v>
      </c>
      <c r="H184" s="564"/>
      <c r="I184" s="564"/>
      <c r="J184" s="564"/>
      <c r="K184" s="564"/>
      <c r="L184" s="564"/>
      <c r="M184" s="564"/>
      <c r="N184" s="563">
        <f t="shared" si="50"/>
        <v>0</v>
      </c>
      <c r="O184" s="564"/>
      <c r="P184" s="564"/>
      <c r="Q184" s="564"/>
      <c r="R184" s="564"/>
      <c r="S184" s="563">
        <f t="shared" si="51"/>
        <v>528.78</v>
      </c>
      <c r="T184" s="564">
        <f t="shared" si="52"/>
        <v>468.47</v>
      </c>
      <c r="U184" s="564">
        <v>352.21</v>
      </c>
      <c r="V184" s="564">
        <v>0.62</v>
      </c>
      <c r="W184" s="564">
        <v>100.52</v>
      </c>
      <c r="X184" s="564">
        <v>15.12</v>
      </c>
      <c r="Y184" s="564"/>
      <c r="Z184" s="564"/>
      <c r="AA184" s="563">
        <f t="shared" si="53"/>
        <v>60.31</v>
      </c>
      <c r="AB184" s="564">
        <v>60.31</v>
      </c>
      <c r="AC184" s="564"/>
      <c r="AD184" s="564"/>
      <c r="AE184" s="564"/>
      <c r="AF184" s="564"/>
      <c r="AG184" s="563">
        <f t="shared" si="54"/>
        <v>219.84648</v>
      </c>
      <c r="AH184" s="564">
        <f t="shared" si="55"/>
        <v>82.1856</v>
      </c>
      <c r="AI184" s="564">
        <f t="shared" si="56"/>
        <v>41.0928</v>
      </c>
      <c r="AJ184" s="564">
        <f t="shared" si="57"/>
        <v>30.8196</v>
      </c>
      <c r="AK184" s="564">
        <f t="shared" si="58"/>
        <v>1.02732</v>
      </c>
      <c r="AL184" s="564">
        <f t="shared" si="59"/>
        <v>3.08196</v>
      </c>
      <c r="AM184" s="564">
        <f t="shared" si="60"/>
        <v>61.6392</v>
      </c>
      <c r="AN184" s="564"/>
      <c r="AO184" s="304"/>
    </row>
    <row r="185" s="130" customFormat="1" ht="24" spans="1:41">
      <c r="A185" s="1" t="s">
        <v>202</v>
      </c>
      <c r="B185" s="1" t="s">
        <v>404</v>
      </c>
      <c r="C185" s="1" t="s">
        <v>448</v>
      </c>
      <c r="D185" s="1" t="s">
        <v>416</v>
      </c>
      <c r="E185" s="563">
        <f t="shared" si="47"/>
        <v>435.41052</v>
      </c>
      <c r="F185" s="564">
        <f t="shared" si="48"/>
        <v>0</v>
      </c>
      <c r="G185" s="564">
        <f t="shared" si="49"/>
        <v>0</v>
      </c>
      <c r="H185" s="564"/>
      <c r="I185" s="564"/>
      <c r="J185" s="564"/>
      <c r="K185" s="564"/>
      <c r="L185" s="564"/>
      <c r="M185" s="564"/>
      <c r="N185" s="563">
        <f t="shared" si="50"/>
        <v>0</v>
      </c>
      <c r="O185" s="564"/>
      <c r="P185" s="564"/>
      <c r="Q185" s="564"/>
      <c r="R185" s="564"/>
      <c r="S185" s="563">
        <f t="shared" si="51"/>
        <v>308.47</v>
      </c>
      <c r="T185" s="564">
        <f t="shared" si="52"/>
        <v>273.56</v>
      </c>
      <c r="U185" s="564">
        <v>203.13</v>
      </c>
      <c r="V185" s="564">
        <v>0.37</v>
      </c>
      <c r="W185" s="564">
        <v>58.18</v>
      </c>
      <c r="X185" s="564">
        <v>11.88</v>
      </c>
      <c r="Y185" s="564"/>
      <c r="Z185" s="564"/>
      <c r="AA185" s="563">
        <f t="shared" si="53"/>
        <v>34.91</v>
      </c>
      <c r="AB185" s="564">
        <v>34.91</v>
      </c>
      <c r="AC185" s="564"/>
      <c r="AD185" s="564"/>
      <c r="AE185" s="564"/>
      <c r="AF185" s="564"/>
      <c r="AG185" s="563">
        <f t="shared" si="54"/>
        <v>126.94052</v>
      </c>
      <c r="AH185" s="564">
        <f t="shared" si="55"/>
        <v>47.4544</v>
      </c>
      <c r="AI185" s="564">
        <f t="shared" si="56"/>
        <v>23.7272</v>
      </c>
      <c r="AJ185" s="564">
        <f t="shared" si="57"/>
        <v>17.7954</v>
      </c>
      <c r="AK185" s="564">
        <f t="shared" si="58"/>
        <v>0.59318</v>
      </c>
      <c r="AL185" s="564">
        <f t="shared" si="59"/>
        <v>1.77954</v>
      </c>
      <c r="AM185" s="564">
        <f t="shared" si="60"/>
        <v>35.5908</v>
      </c>
      <c r="AN185" s="564"/>
      <c r="AO185" s="304"/>
    </row>
    <row r="186" s="130" customFormat="1" ht="24" spans="1:41">
      <c r="A186" s="1" t="s">
        <v>202</v>
      </c>
      <c r="B186" s="1" t="s">
        <v>404</v>
      </c>
      <c r="C186" s="1" t="s">
        <v>449</v>
      </c>
      <c r="D186" s="1" t="s">
        <v>406</v>
      </c>
      <c r="E186" s="563">
        <f t="shared" si="47"/>
        <v>723.93048</v>
      </c>
      <c r="F186" s="564">
        <f t="shared" si="48"/>
        <v>0</v>
      </c>
      <c r="G186" s="564">
        <f t="shared" si="49"/>
        <v>0</v>
      </c>
      <c r="H186" s="564"/>
      <c r="I186" s="564"/>
      <c r="J186" s="564"/>
      <c r="K186" s="564"/>
      <c r="L186" s="564"/>
      <c r="M186" s="564"/>
      <c r="N186" s="563">
        <f t="shared" si="50"/>
        <v>0</v>
      </c>
      <c r="O186" s="564"/>
      <c r="P186" s="564"/>
      <c r="Q186" s="564"/>
      <c r="R186" s="564"/>
      <c r="S186" s="563">
        <f t="shared" si="51"/>
        <v>513.5</v>
      </c>
      <c r="T186" s="564">
        <f t="shared" si="52"/>
        <v>454.95</v>
      </c>
      <c r="U186" s="564">
        <v>334.98</v>
      </c>
      <c r="V186" s="564">
        <v>0.55</v>
      </c>
      <c r="W186" s="564">
        <v>97.58</v>
      </c>
      <c r="X186" s="564">
        <v>21.84</v>
      </c>
      <c r="Y186" s="564"/>
      <c r="Z186" s="564"/>
      <c r="AA186" s="563">
        <f t="shared" si="53"/>
        <v>58.55</v>
      </c>
      <c r="AB186" s="564">
        <v>58.55</v>
      </c>
      <c r="AC186" s="564"/>
      <c r="AD186" s="564"/>
      <c r="AE186" s="564"/>
      <c r="AF186" s="564"/>
      <c r="AG186" s="563">
        <f t="shared" si="54"/>
        <v>210.43048</v>
      </c>
      <c r="AH186" s="564">
        <f t="shared" si="55"/>
        <v>78.6656</v>
      </c>
      <c r="AI186" s="564">
        <f t="shared" si="56"/>
        <v>39.3328</v>
      </c>
      <c r="AJ186" s="564">
        <f t="shared" si="57"/>
        <v>29.4996</v>
      </c>
      <c r="AK186" s="564">
        <f t="shared" si="58"/>
        <v>0.98332</v>
      </c>
      <c r="AL186" s="564">
        <f t="shared" si="59"/>
        <v>2.94996</v>
      </c>
      <c r="AM186" s="564">
        <f t="shared" si="60"/>
        <v>58.9992</v>
      </c>
      <c r="AN186" s="564"/>
      <c r="AO186" s="304"/>
    </row>
    <row r="187" s="130" customFormat="1" ht="24" spans="1:41">
      <c r="A187" s="1" t="s">
        <v>202</v>
      </c>
      <c r="B187" s="1" t="s">
        <v>404</v>
      </c>
      <c r="C187" s="1" t="s">
        <v>450</v>
      </c>
      <c r="D187" s="1" t="s">
        <v>416</v>
      </c>
      <c r="E187" s="563">
        <f t="shared" si="47"/>
        <v>1167.98688</v>
      </c>
      <c r="F187" s="564">
        <f t="shared" si="48"/>
        <v>0</v>
      </c>
      <c r="G187" s="564">
        <f t="shared" si="49"/>
        <v>0</v>
      </c>
      <c r="H187" s="564"/>
      <c r="I187" s="564"/>
      <c r="J187" s="564"/>
      <c r="K187" s="564"/>
      <c r="L187" s="564"/>
      <c r="M187" s="564"/>
      <c r="N187" s="563">
        <f t="shared" si="50"/>
        <v>0</v>
      </c>
      <c r="O187" s="564"/>
      <c r="P187" s="564"/>
      <c r="Q187" s="564"/>
      <c r="R187" s="564"/>
      <c r="S187" s="563">
        <f t="shared" si="51"/>
        <v>824.32</v>
      </c>
      <c r="T187" s="564">
        <f t="shared" si="52"/>
        <v>731.41</v>
      </c>
      <c r="U187" s="564">
        <v>554.26</v>
      </c>
      <c r="V187" s="564">
        <v>0.94</v>
      </c>
      <c r="W187" s="564">
        <v>154.85</v>
      </c>
      <c r="X187" s="564">
        <v>21.36</v>
      </c>
      <c r="Y187" s="564"/>
      <c r="Z187" s="564"/>
      <c r="AA187" s="563">
        <f t="shared" si="53"/>
        <v>92.91</v>
      </c>
      <c r="AB187" s="564">
        <v>92.91</v>
      </c>
      <c r="AC187" s="564"/>
      <c r="AD187" s="564"/>
      <c r="AE187" s="564"/>
      <c r="AF187" s="564"/>
      <c r="AG187" s="563">
        <f t="shared" si="54"/>
        <v>343.66688</v>
      </c>
      <c r="AH187" s="564">
        <f t="shared" si="55"/>
        <v>128.4736</v>
      </c>
      <c r="AI187" s="564">
        <f t="shared" si="56"/>
        <v>64.2368</v>
      </c>
      <c r="AJ187" s="564">
        <f t="shared" si="57"/>
        <v>48.1776</v>
      </c>
      <c r="AK187" s="564">
        <f t="shared" si="58"/>
        <v>1.60592</v>
      </c>
      <c r="AL187" s="564">
        <f t="shared" si="59"/>
        <v>4.81776</v>
      </c>
      <c r="AM187" s="564">
        <f t="shared" si="60"/>
        <v>96.3552</v>
      </c>
      <c r="AN187" s="564"/>
      <c r="AO187" s="304"/>
    </row>
    <row r="188" s="130" customFormat="1" ht="24" spans="1:41">
      <c r="A188" s="1" t="s">
        <v>202</v>
      </c>
      <c r="B188" s="1" t="s">
        <v>404</v>
      </c>
      <c r="C188" s="1" t="s">
        <v>451</v>
      </c>
      <c r="D188" s="1" t="s">
        <v>406</v>
      </c>
      <c r="E188" s="563">
        <f t="shared" si="47"/>
        <v>1858.30376</v>
      </c>
      <c r="F188" s="564">
        <f t="shared" si="48"/>
        <v>0</v>
      </c>
      <c r="G188" s="564">
        <f t="shared" si="49"/>
        <v>0</v>
      </c>
      <c r="H188" s="564"/>
      <c r="I188" s="564"/>
      <c r="J188" s="564"/>
      <c r="K188" s="564"/>
      <c r="L188" s="564"/>
      <c r="M188" s="564"/>
      <c r="N188" s="563">
        <f t="shared" si="50"/>
        <v>0</v>
      </c>
      <c r="O188" s="564"/>
      <c r="P188" s="564"/>
      <c r="Q188" s="564"/>
      <c r="R188" s="564"/>
      <c r="S188" s="563">
        <f t="shared" si="51"/>
        <v>1314.35</v>
      </c>
      <c r="T188" s="564">
        <f t="shared" si="52"/>
        <v>1149.65</v>
      </c>
      <c r="U188" s="564">
        <v>830.64</v>
      </c>
      <c r="V188" s="564">
        <v>1.07</v>
      </c>
      <c r="W188" s="564">
        <v>274.51</v>
      </c>
      <c r="X188" s="564">
        <v>43.43</v>
      </c>
      <c r="Y188" s="564"/>
      <c r="Z188" s="564"/>
      <c r="AA188" s="563">
        <f t="shared" si="53"/>
        <v>164.7</v>
      </c>
      <c r="AB188" s="564">
        <v>164.7</v>
      </c>
      <c r="AC188" s="564"/>
      <c r="AD188" s="564"/>
      <c r="AE188" s="564"/>
      <c r="AF188" s="564"/>
      <c r="AG188" s="563">
        <f t="shared" si="54"/>
        <v>543.95376</v>
      </c>
      <c r="AH188" s="564">
        <f t="shared" si="55"/>
        <v>203.3472</v>
      </c>
      <c r="AI188" s="564">
        <f t="shared" si="56"/>
        <v>101.6736</v>
      </c>
      <c r="AJ188" s="564">
        <f t="shared" si="57"/>
        <v>76.2552</v>
      </c>
      <c r="AK188" s="564">
        <f t="shared" si="58"/>
        <v>2.54184</v>
      </c>
      <c r="AL188" s="564">
        <f t="shared" si="59"/>
        <v>7.62552</v>
      </c>
      <c r="AM188" s="564">
        <f t="shared" si="60"/>
        <v>152.5104</v>
      </c>
      <c r="AN188" s="564"/>
      <c r="AO188" s="304"/>
    </row>
    <row r="189" s="130" customFormat="1" ht="24" spans="1:41">
      <c r="A189" s="1" t="s">
        <v>202</v>
      </c>
      <c r="B189" s="1" t="s">
        <v>206</v>
      </c>
      <c r="C189" s="1" t="s">
        <v>452</v>
      </c>
      <c r="D189" s="1" t="s">
        <v>453</v>
      </c>
      <c r="E189" s="563">
        <f t="shared" si="47"/>
        <v>254.931858</v>
      </c>
      <c r="F189" s="564">
        <f t="shared" si="48"/>
        <v>0</v>
      </c>
      <c r="G189" s="564">
        <f t="shared" si="49"/>
        <v>0</v>
      </c>
      <c r="H189" s="564"/>
      <c r="I189" s="564"/>
      <c r="J189" s="564"/>
      <c r="K189" s="564"/>
      <c r="L189" s="564"/>
      <c r="M189" s="564"/>
      <c r="N189" s="563">
        <f t="shared" si="50"/>
        <v>0</v>
      </c>
      <c r="O189" s="564"/>
      <c r="P189" s="564"/>
      <c r="Q189" s="564"/>
      <c r="R189" s="564"/>
      <c r="S189" s="563">
        <f t="shared" si="51"/>
        <v>179.8185</v>
      </c>
      <c r="T189" s="564">
        <f t="shared" si="52"/>
        <v>159.3936</v>
      </c>
      <c r="U189" s="564">
        <v>120.804</v>
      </c>
      <c r="V189" s="564">
        <v>0.228</v>
      </c>
      <c r="W189" s="564">
        <v>34.0416</v>
      </c>
      <c r="X189" s="564">
        <v>4.32</v>
      </c>
      <c r="Y189" s="564"/>
      <c r="Z189" s="564"/>
      <c r="AA189" s="563">
        <f t="shared" si="53"/>
        <v>20.4249</v>
      </c>
      <c r="AB189" s="564">
        <v>20.4249</v>
      </c>
      <c r="AC189" s="564"/>
      <c r="AD189" s="564"/>
      <c r="AE189" s="564"/>
      <c r="AF189" s="564"/>
      <c r="AG189" s="563">
        <f t="shared" si="54"/>
        <v>75.113358</v>
      </c>
      <c r="AH189" s="564">
        <f t="shared" si="55"/>
        <v>28.07976</v>
      </c>
      <c r="AI189" s="564">
        <f t="shared" si="56"/>
        <v>14.03988</v>
      </c>
      <c r="AJ189" s="564">
        <f t="shared" si="57"/>
        <v>10.52991</v>
      </c>
      <c r="AK189" s="564">
        <f t="shared" si="58"/>
        <v>0.350997</v>
      </c>
      <c r="AL189" s="564">
        <f t="shared" si="59"/>
        <v>1.052991</v>
      </c>
      <c r="AM189" s="564">
        <f t="shared" si="60"/>
        <v>21.05982</v>
      </c>
      <c r="AN189" s="564"/>
      <c r="AO189" s="304"/>
    </row>
    <row r="190" s="130" customFormat="1" ht="24" spans="1:41">
      <c r="A190" s="1" t="s">
        <v>202</v>
      </c>
      <c r="B190" s="1" t="s">
        <v>404</v>
      </c>
      <c r="C190" s="1" t="s">
        <v>454</v>
      </c>
      <c r="D190" s="1" t="s">
        <v>416</v>
      </c>
      <c r="E190" s="563">
        <f t="shared" si="47"/>
        <v>1723.9585692</v>
      </c>
      <c r="F190" s="564">
        <f t="shared" si="48"/>
        <v>0</v>
      </c>
      <c r="G190" s="564">
        <f t="shared" si="49"/>
        <v>0</v>
      </c>
      <c r="H190" s="564"/>
      <c r="I190" s="564"/>
      <c r="J190" s="564"/>
      <c r="K190" s="564"/>
      <c r="L190" s="564"/>
      <c r="M190" s="564"/>
      <c r="N190" s="563">
        <f t="shared" si="50"/>
        <v>0</v>
      </c>
      <c r="O190" s="564"/>
      <c r="P190" s="564"/>
      <c r="Q190" s="564"/>
      <c r="R190" s="564"/>
      <c r="S190" s="563">
        <f t="shared" si="51"/>
        <v>1207.2539</v>
      </c>
      <c r="T190" s="564">
        <f t="shared" si="52"/>
        <v>1064.3908</v>
      </c>
      <c r="U190" s="564">
        <v>824.7156</v>
      </c>
      <c r="V190" s="564">
        <v>1.57</v>
      </c>
      <c r="W190" s="564">
        <v>238.1052</v>
      </c>
      <c r="X190" s="564"/>
      <c r="Y190" s="564"/>
      <c r="Z190" s="564"/>
      <c r="AA190" s="563">
        <f t="shared" si="53"/>
        <v>142.8631</v>
      </c>
      <c r="AB190" s="564">
        <v>142.8631</v>
      </c>
      <c r="AC190" s="564"/>
      <c r="AD190" s="564"/>
      <c r="AE190" s="564"/>
      <c r="AF190" s="564"/>
      <c r="AG190" s="563">
        <f t="shared" si="54"/>
        <v>516.7046692</v>
      </c>
      <c r="AH190" s="564">
        <f t="shared" si="55"/>
        <v>193.160624</v>
      </c>
      <c r="AI190" s="564">
        <f t="shared" si="56"/>
        <v>96.580312</v>
      </c>
      <c r="AJ190" s="564">
        <f t="shared" si="57"/>
        <v>72.435234</v>
      </c>
      <c r="AK190" s="564">
        <f t="shared" si="58"/>
        <v>2.4145078</v>
      </c>
      <c r="AL190" s="564">
        <f t="shared" si="59"/>
        <v>7.2435234</v>
      </c>
      <c r="AM190" s="564">
        <f t="shared" si="60"/>
        <v>144.870468</v>
      </c>
      <c r="AN190" s="564"/>
      <c r="AO190" s="304"/>
    </row>
    <row r="191" s="130" customFormat="1" ht="24" spans="1:41">
      <c r="A191" s="1" t="s">
        <v>202</v>
      </c>
      <c r="B191" s="1" t="s">
        <v>400</v>
      </c>
      <c r="C191" s="1" t="s">
        <v>455</v>
      </c>
      <c r="D191" s="1" t="s">
        <v>441</v>
      </c>
      <c r="E191" s="563">
        <f t="shared" si="47"/>
        <v>263.2343784</v>
      </c>
      <c r="F191" s="564">
        <f t="shared" si="48"/>
        <v>0</v>
      </c>
      <c r="G191" s="564">
        <f t="shared" si="49"/>
        <v>0</v>
      </c>
      <c r="H191" s="564"/>
      <c r="I191" s="564"/>
      <c r="J191" s="564"/>
      <c r="K191" s="564"/>
      <c r="L191" s="564"/>
      <c r="M191" s="564"/>
      <c r="N191" s="563">
        <f t="shared" si="50"/>
        <v>0</v>
      </c>
      <c r="O191" s="564"/>
      <c r="P191" s="564"/>
      <c r="Q191" s="564"/>
      <c r="R191" s="564"/>
      <c r="S191" s="563">
        <f t="shared" si="51"/>
        <v>184.3378</v>
      </c>
      <c r="T191" s="564">
        <f t="shared" si="52"/>
        <v>158.9708</v>
      </c>
      <c r="U191" s="564">
        <v>116.532</v>
      </c>
      <c r="V191" s="564">
        <v>0.1608</v>
      </c>
      <c r="W191" s="564">
        <v>42.278</v>
      </c>
      <c r="X191" s="564"/>
      <c r="Y191" s="564"/>
      <c r="Z191" s="564"/>
      <c r="AA191" s="563">
        <f t="shared" si="53"/>
        <v>25.367</v>
      </c>
      <c r="AB191" s="564">
        <v>25.367</v>
      </c>
      <c r="AC191" s="564"/>
      <c r="AD191" s="564"/>
      <c r="AE191" s="564"/>
      <c r="AF191" s="564"/>
      <c r="AG191" s="563">
        <f t="shared" si="54"/>
        <v>78.8965784</v>
      </c>
      <c r="AH191" s="564">
        <f t="shared" si="55"/>
        <v>29.494048</v>
      </c>
      <c r="AI191" s="564">
        <f t="shared" si="56"/>
        <v>14.747024</v>
      </c>
      <c r="AJ191" s="564">
        <f t="shared" si="57"/>
        <v>11.060268</v>
      </c>
      <c r="AK191" s="564">
        <f t="shared" si="58"/>
        <v>0.3686756</v>
      </c>
      <c r="AL191" s="564">
        <f t="shared" si="59"/>
        <v>1.1060268</v>
      </c>
      <c r="AM191" s="564">
        <f t="shared" si="60"/>
        <v>22.120536</v>
      </c>
      <c r="AN191" s="564"/>
      <c r="AO191" s="304"/>
    </row>
    <row r="192" s="130" customFormat="1" ht="24" customHeight="1" spans="1:41">
      <c r="A192" s="1" t="s">
        <v>202</v>
      </c>
      <c r="B192" s="1" t="s">
        <v>400</v>
      </c>
      <c r="C192" s="1" t="s">
        <v>456</v>
      </c>
      <c r="D192" s="1" t="s">
        <v>441</v>
      </c>
      <c r="E192" s="563">
        <f t="shared" si="47"/>
        <v>309.27624</v>
      </c>
      <c r="F192" s="564">
        <f t="shared" si="48"/>
        <v>0</v>
      </c>
      <c r="G192" s="564">
        <f t="shared" si="49"/>
        <v>0</v>
      </c>
      <c r="H192" s="564"/>
      <c r="I192" s="564"/>
      <c r="J192" s="564"/>
      <c r="K192" s="564"/>
      <c r="L192" s="564"/>
      <c r="M192" s="564"/>
      <c r="N192" s="563">
        <f t="shared" si="50"/>
        <v>0</v>
      </c>
      <c r="O192" s="564"/>
      <c r="P192" s="564"/>
      <c r="Q192" s="564"/>
      <c r="R192" s="564"/>
      <c r="S192" s="563">
        <f t="shared" si="51"/>
        <v>216.58</v>
      </c>
      <c r="T192" s="564">
        <f t="shared" si="52"/>
        <v>189</v>
      </c>
      <c r="U192" s="564">
        <v>142.78</v>
      </c>
      <c r="V192" s="564">
        <v>0.25</v>
      </c>
      <c r="W192" s="564">
        <v>45.97</v>
      </c>
      <c r="X192" s="564"/>
      <c r="Y192" s="564"/>
      <c r="Z192" s="564"/>
      <c r="AA192" s="563">
        <f t="shared" si="53"/>
        <v>27.58</v>
      </c>
      <c r="AB192" s="564">
        <v>27.58</v>
      </c>
      <c r="AC192" s="564"/>
      <c r="AD192" s="564"/>
      <c r="AE192" s="564"/>
      <c r="AF192" s="564"/>
      <c r="AG192" s="563">
        <f t="shared" si="54"/>
        <v>92.69624</v>
      </c>
      <c r="AH192" s="564">
        <f t="shared" si="55"/>
        <v>34.6528</v>
      </c>
      <c r="AI192" s="564">
        <f t="shared" si="56"/>
        <v>17.3264</v>
      </c>
      <c r="AJ192" s="564">
        <f t="shared" si="57"/>
        <v>12.9948</v>
      </c>
      <c r="AK192" s="564">
        <f t="shared" si="58"/>
        <v>0.43316</v>
      </c>
      <c r="AL192" s="564">
        <f t="shared" si="59"/>
        <v>1.29948</v>
      </c>
      <c r="AM192" s="564">
        <f t="shared" si="60"/>
        <v>25.9896</v>
      </c>
      <c r="AN192" s="564"/>
      <c r="AO192" s="304"/>
    </row>
    <row r="193" s="130" customFormat="1" ht="24" spans="1:41">
      <c r="A193" s="1" t="s">
        <v>202</v>
      </c>
      <c r="B193" s="1" t="s">
        <v>404</v>
      </c>
      <c r="C193" s="1" t="s">
        <v>457</v>
      </c>
      <c r="D193" s="1" t="s">
        <v>406</v>
      </c>
      <c r="E193" s="563">
        <f t="shared" si="47"/>
        <v>947.49228</v>
      </c>
      <c r="F193" s="564">
        <f t="shared" si="48"/>
        <v>0</v>
      </c>
      <c r="G193" s="564">
        <f t="shared" si="49"/>
        <v>0</v>
      </c>
      <c r="H193" s="564"/>
      <c r="I193" s="564"/>
      <c r="J193" s="564"/>
      <c r="K193" s="564"/>
      <c r="L193" s="564"/>
      <c r="M193" s="564"/>
      <c r="N193" s="563">
        <f t="shared" si="50"/>
        <v>0</v>
      </c>
      <c r="O193" s="564"/>
      <c r="P193" s="564"/>
      <c r="Q193" s="564"/>
      <c r="R193" s="564"/>
      <c r="S193" s="563">
        <f t="shared" si="51"/>
        <v>663.51</v>
      </c>
      <c r="T193" s="564">
        <f t="shared" si="52"/>
        <v>578.39</v>
      </c>
      <c r="U193" s="564">
        <v>435.72</v>
      </c>
      <c r="V193" s="564">
        <v>0.81</v>
      </c>
      <c r="W193" s="564">
        <v>141.86</v>
      </c>
      <c r="X193" s="564"/>
      <c r="Y193" s="564"/>
      <c r="Z193" s="564"/>
      <c r="AA193" s="563">
        <f t="shared" si="53"/>
        <v>85.12</v>
      </c>
      <c r="AB193" s="564">
        <v>85.12</v>
      </c>
      <c r="AC193" s="564"/>
      <c r="AD193" s="564"/>
      <c r="AE193" s="564"/>
      <c r="AF193" s="564"/>
      <c r="AG193" s="563">
        <f t="shared" si="54"/>
        <v>283.98228</v>
      </c>
      <c r="AH193" s="564">
        <f t="shared" si="55"/>
        <v>106.1616</v>
      </c>
      <c r="AI193" s="564">
        <f t="shared" si="56"/>
        <v>53.0808</v>
      </c>
      <c r="AJ193" s="564">
        <f t="shared" si="57"/>
        <v>39.8106</v>
      </c>
      <c r="AK193" s="564">
        <f t="shared" si="58"/>
        <v>1.32702</v>
      </c>
      <c r="AL193" s="564">
        <f t="shared" si="59"/>
        <v>3.98106</v>
      </c>
      <c r="AM193" s="564">
        <f t="shared" si="60"/>
        <v>79.6212</v>
      </c>
      <c r="AN193" s="564"/>
      <c r="AO193" s="304"/>
    </row>
    <row r="194" s="130" customFormat="1" ht="24" spans="1:41">
      <c r="A194" s="1" t="s">
        <v>202</v>
      </c>
      <c r="B194" s="1" t="s">
        <v>400</v>
      </c>
      <c r="C194" s="1" t="s">
        <v>458</v>
      </c>
      <c r="D194" s="1" t="s">
        <v>441</v>
      </c>
      <c r="E194" s="563">
        <f t="shared" si="47"/>
        <v>228.86556</v>
      </c>
      <c r="F194" s="564">
        <f t="shared" si="48"/>
        <v>0</v>
      </c>
      <c r="G194" s="564">
        <f t="shared" si="49"/>
        <v>0</v>
      </c>
      <c r="H194" s="564"/>
      <c r="I194" s="564"/>
      <c r="J194" s="564"/>
      <c r="K194" s="564"/>
      <c r="L194" s="564"/>
      <c r="M194" s="564"/>
      <c r="N194" s="563">
        <f t="shared" si="50"/>
        <v>0</v>
      </c>
      <c r="O194" s="564"/>
      <c r="P194" s="564"/>
      <c r="Q194" s="564"/>
      <c r="R194" s="564"/>
      <c r="S194" s="563">
        <f t="shared" si="51"/>
        <v>160.27</v>
      </c>
      <c r="T194" s="564">
        <f t="shared" si="52"/>
        <v>137.51</v>
      </c>
      <c r="U194" s="564">
        <v>99.45</v>
      </c>
      <c r="V194" s="564">
        <v>0.12</v>
      </c>
      <c r="W194" s="564">
        <v>37.94</v>
      </c>
      <c r="X194" s="564"/>
      <c r="Y194" s="564"/>
      <c r="Z194" s="564"/>
      <c r="AA194" s="563">
        <f t="shared" si="53"/>
        <v>22.76</v>
      </c>
      <c r="AB194" s="564">
        <v>22.76</v>
      </c>
      <c r="AC194" s="564"/>
      <c r="AD194" s="564"/>
      <c r="AE194" s="564"/>
      <c r="AF194" s="564"/>
      <c r="AG194" s="563">
        <f t="shared" si="54"/>
        <v>68.59556</v>
      </c>
      <c r="AH194" s="564">
        <f t="shared" si="55"/>
        <v>25.6432</v>
      </c>
      <c r="AI194" s="564">
        <f t="shared" si="56"/>
        <v>12.8216</v>
      </c>
      <c r="AJ194" s="564">
        <f t="shared" si="57"/>
        <v>9.6162</v>
      </c>
      <c r="AK194" s="564">
        <f t="shared" si="58"/>
        <v>0.32054</v>
      </c>
      <c r="AL194" s="564">
        <f t="shared" si="59"/>
        <v>0.96162</v>
      </c>
      <c r="AM194" s="564">
        <f t="shared" si="60"/>
        <v>19.2324</v>
      </c>
      <c r="AN194" s="564"/>
      <c r="AO194" s="304"/>
    </row>
    <row r="195" s="130" customFormat="1" ht="24" spans="1:41">
      <c r="A195" s="1" t="s">
        <v>202</v>
      </c>
      <c r="B195" s="1" t="s">
        <v>400</v>
      </c>
      <c r="C195" s="1" t="s">
        <v>459</v>
      </c>
      <c r="D195" s="1" t="s">
        <v>441</v>
      </c>
      <c r="E195" s="563">
        <f t="shared" si="47"/>
        <v>234.29196</v>
      </c>
      <c r="F195" s="564">
        <f t="shared" si="48"/>
        <v>0</v>
      </c>
      <c r="G195" s="564">
        <f t="shared" si="49"/>
        <v>0</v>
      </c>
      <c r="H195" s="564"/>
      <c r="I195" s="564"/>
      <c r="J195" s="564"/>
      <c r="K195" s="564"/>
      <c r="L195" s="564"/>
      <c r="M195" s="564"/>
      <c r="N195" s="563">
        <f t="shared" si="50"/>
        <v>0</v>
      </c>
      <c r="O195" s="564"/>
      <c r="P195" s="564"/>
      <c r="Q195" s="564"/>
      <c r="R195" s="564"/>
      <c r="S195" s="563">
        <f t="shared" si="51"/>
        <v>164.07</v>
      </c>
      <c r="T195" s="564">
        <f t="shared" si="52"/>
        <v>140.85</v>
      </c>
      <c r="U195" s="564">
        <v>102.01</v>
      </c>
      <c r="V195" s="564">
        <v>0.14</v>
      </c>
      <c r="W195" s="564">
        <v>38.7</v>
      </c>
      <c r="X195" s="564"/>
      <c r="Y195" s="564"/>
      <c r="Z195" s="564"/>
      <c r="AA195" s="563">
        <f t="shared" si="53"/>
        <v>23.22</v>
      </c>
      <c r="AB195" s="564">
        <v>23.22</v>
      </c>
      <c r="AC195" s="564"/>
      <c r="AD195" s="564"/>
      <c r="AE195" s="564"/>
      <c r="AF195" s="564"/>
      <c r="AG195" s="563">
        <f t="shared" si="54"/>
        <v>70.22196</v>
      </c>
      <c r="AH195" s="564">
        <f t="shared" si="55"/>
        <v>26.2512</v>
      </c>
      <c r="AI195" s="564">
        <f t="shared" si="56"/>
        <v>13.1256</v>
      </c>
      <c r="AJ195" s="564">
        <f t="shared" si="57"/>
        <v>9.8442</v>
      </c>
      <c r="AK195" s="564">
        <f t="shared" si="58"/>
        <v>0.32814</v>
      </c>
      <c r="AL195" s="564">
        <f t="shared" si="59"/>
        <v>0.98442</v>
      </c>
      <c r="AM195" s="564">
        <f t="shared" si="60"/>
        <v>19.6884</v>
      </c>
      <c r="AN195" s="564"/>
      <c r="AO195" s="304"/>
    </row>
    <row r="196" s="130" customFormat="1" ht="24" spans="1:41">
      <c r="A196" s="1" t="s">
        <v>202</v>
      </c>
      <c r="B196" s="1" t="s">
        <v>404</v>
      </c>
      <c r="C196" s="1" t="s">
        <v>460</v>
      </c>
      <c r="D196" s="1" t="s">
        <v>406</v>
      </c>
      <c r="E196" s="563">
        <f t="shared" si="47"/>
        <v>364.76832</v>
      </c>
      <c r="F196" s="564">
        <f t="shared" si="48"/>
        <v>0</v>
      </c>
      <c r="G196" s="564">
        <f t="shared" si="49"/>
        <v>0</v>
      </c>
      <c r="H196" s="564"/>
      <c r="I196" s="564"/>
      <c r="J196" s="564"/>
      <c r="K196" s="564"/>
      <c r="L196" s="564"/>
      <c r="M196" s="564"/>
      <c r="N196" s="563">
        <f t="shared" si="50"/>
        <v>0</v>
      </c>
      <c r="O196" s="564"/>
      <c r="P196" s="564"/>
      <c r="Q196" s="564"/>
      <c r="R196" s="564"/>
      <c r="S196" s="563">
        <f t="shared" si="51"/>
        <v>255.44</v>
      </c>
      <c r="T196" s="564">
        <f t="shared" si="52"/>
        <v>222.41</v>
      </c>
      <c r="U196" s="564">
        <v>167.04</v>
      </c>
      <c r="V196" s="564">
        <v>0.32</v>
      </c>
      <c r="W196" s="564">
        <v>55.05</v>
      </c>
      <c r="X196" s="564"/>
      <c r="Y196" s="564"/>
      <c r="Z196" s="564"/>
      <c r="AA196" s="563">
        <f t="shared" si="53"/>
        <v>33.03</v>
      </c>
      <c r="AB196" s="564">
        <v>33.03</v>
      </c>
      <c r="AC196" s="564"/>
      <c r="AD196" s="564"/>
      <c r="AE196" s="564"/>
      <c r="AF196" s="564"/>
      <c r="AG196" s="563">
        <f t="shared" si="54"/>
        <v>109.32832</v>
      </c>
      <c r="AH196" s="564">
        <f t="shared" si="55"/>
        <v>40.8704</v>
      </c>
      <c r="AI196" s="564">
        <f t="shared" si="56"/>
        <v>20.4352</v>
      </c>
      <c r="AJ196" s="564">
        <f t="shared" si="57"/>
        <v>15.3264</v>
      </c>
      <c r="AK196" s="564">
        <f t="shared" si="58"/>
        <v>0.51088</v>
      </c>
      <c r="AL196" s="564">
        <f t="shared" si="59"/>
        <v>1.53264</v>
      </c>
      <c r="AM196" s="564">
        <f t="shared" si="60"/>
        <v>30.6528</v>
      </c>
      <c r="AN196" s="564"/>
      <c r="AO196" s="304"/>
    </row>
    <row r="197" s="130" customFormat="1" ht="24" spans="1:41">
      <c r="A197" s="1" t="s">
        <v>202</v>
      </c>
      <c r="B197" s="1" t="s">
        <v>400</v>
      </c>
      <c r="C197" s="1" t="s">
        <v>461</v>
      </c>
      <c r="D197" s="1" t="s">
        <v>441</v>
      </c>
      <c r="E197" s="563">
        <f t="shared" si="47"/>
        <v>115.12536</v>
      </c>
      <c r="F197" s="564">
        <f t="shared" si="48"/>
        <v>0</v>
      </c>
      <c r="G197" s="564">
        <f t="shared" si="49"/>
        <v>0</v>
      </c>
      <c r="H197" s="564"/>
      <c r="I197" s="564"/>
      <c r="J197" s="564"/>
      <c r="K197" s="564"/>
      <c r="L197" s="564"/>
      <c r="M197" s="564"/>
      <c r="N197" s="563">
        <f t="shared" si="50"/>
        <v>0</v>
      </c>
      <c r="O197" s="564"/>
      <c r="P197" s="564"/>
      <c r="Q197" s="564"/>
      <c r="R197" s="564"/>
      <c r="S197" s="563">
        <f t="shared" si="51"/>
        <v>80.62</v>
      </c>
      <c r="T197" s="564">
        <f t="shared" si="52"/>
        <v>70.09</v>
      </c>
      <c r="U197" s="564">
        <v>52.45</v>
      </c>
      <c r="V197" s="564">
        <v>0.1</v>
      </c>
      <c r="W197" s="564">
        <v>17.54</v>
      </c>
      <c r="X197" s="564"/>
      <c r="Y197" s="564"/>
      <c r="Z197" s="564"/>
      <c r="AA197" s="563">
        <f t="shared" si="53"/>
        <v>10.53</v>
      </c>
      <c r="AB197" s="564">
        <v>10.53</v>
      </c>
      <c r="AC197" s="564"/>
      <c r="AD197" s="564"/>
      <c r="AE197" s="564"/>
      <c r="AF197" s="564"/>
      <c r="AG197" s="563">
        <f t="shared" si="54"/>
        <v>34.50536</v>
      </c>
      <c r="AH197" s="564">
        <f t="shared" si="55"/>
        <v>12.8992</v>
      </c>
      <c r="AI197" s="564">
        <f t="shared" si="56"/>
        <v>6.4496</v>
      </c>
      <c r="AJ197" s="564">
        <f t="shared" si="57"/>
        <v>4.8372</v>
      </c>
      <c r="AK197" s="564">
        <f t="shared" si="58"/>
        <v>0.16124</v>
      </c>
      <c r="AL197" s="564">
        <f t="shared" si="59"/>
        <v>0.48372</v>
      </c>
      <c r="AM197" s="564">
        <f t="shared" si="60"/>
        <v>9.6744</v>
      </c>
      <c r="AN197" s="564"/>
      <c r="AO197" s="304"/>
    </row>
    <row r="198" s="130" customFormat="1" ht="24" spans="1:41">
      <c r="A198" s="1" t="s">
        <v>202</v>
      </c>
      <c r="B198" s="1" t="s">
        <v>400</v>
      </c>
      <c r="C198" s="1" t="s">
        <v>462</v>
      </c>
      <c r="D198" s="1" t="s">
        <v>441</v>
      </c>
      <c r="E198" s="563">
        <f t="shared" si="47"/>
        <v>74.05608</v>
      </c>
      <c r="F198" s="564">
        <f t="shared" si="48"/>
        <v>0</v>
      </c>
      <c r="G198" s="564">
        <f t="shared" si="49"/>
        <v>0</v>
      </c>
      <c r="H198" s="564"/>
      <c r="I198" s="564"/>
      <c r="J198" s="564"/>
      <c r="K198" s="564"/>
      <c r="L198" s="564"/>
      <c r="M198" s="564"/>
      <c r="N198" s="563">
        <f t="shared" si="50"/>
        <v>0</v>
      </c>
      <c r="O198" s="564"/>
      <c r="P198" s="564"/>
      <c r="Q198" s="564"/>
      <c r="R198" s="564"/>
      <c r="S198" s="563">
        <f t="shared" si="51"/>
        <v>51.86</v>
      </c>
      <c r="T198" s="564">
        <f t="shared" si="52"/>
        <v>44.44</v>
      </c>
      <c r="U198" s="564">
        <v>32.03</v>
      </c>
      <c r="V198" s="564">
        <v>0.04</v>
      </c>
      <c r="W198" s="564">
        <v>12.37</v>
      </c>
      <c r="X198" s="564"/>
      <c r="Y198" s="564"/>
      <c r="Z198" s="564"/>
      <c r="AA198" s="563">
        <f t="shared" si="53"/>
        <v>7.42</v>
      </c>
      <c r="AB198" s="564">
        <v>7.42</v>
      </c>
      <c r="AC198" s="564"/>
      <c r="AD198" s="564"/>
      <c r="AE198" s="564"/>
      <c r="AF198" s="564"/>
      <c r="AG198" s="563">
        <f t="shared" si="54"/>
        <v>22.19608</v>
      </c>
      <c r="AH198" s="564">
        <f t="shared" si="55"/>
        <v>8.2976</v>
      </c>
      <c r="AI198" s="564">
        <f t="shared" si="56"/>
        <v>4.1488</v>
      </c>
      <c r="AJ198" s="564">
        <f t="shared" si="57"/>
        <v>3.1116</v>
      </c>
      <c r="AK198" s="564">
        <f t="shared" si="58"/>
        <v>0.10372</v>
      </c>
      <c r="AL198" s="564">
        <f t="shared" si="59"/>
        <v>0.31116</v>
      </c>
      <c r="AM198" s="564">
        <f t="shared" si="60"/>
        <v>6.2232</v>
      </c>
      <c r="AN198" s="564"/>
      <c r="AO198" s="304"/>
    </row>
    <row r="199" s="130" customFormat="1" ht="24" spans="1:41">
      <c r="A199" s="1" t="s">
        <v>202</v>
      </c>
      <c r="B199" s="1" t="s">
        <v>400</v>
      </c>
      <c r="C199" s="1" t="s">
        <v>463</v>
      </c>
      <c r="D199" s="1" t="s">
        <v>441</v>
      </c>
      <c r="E199" s="563">
        <f t="shared" si="47"/>
        <v>75.1646364</v>
      </c>
      <c r="F199" s="564">
        <f t="shared" si="48"/>
        <v>0</v>
      </c>
      <c r="G199" s="564">
        <f t="shared" si="49"/>
        <v>0</v>
      </c>
      <c r="H199" s="564"/>
      <c r="I199" s="564"/>
      <c r="J199" s="564"/>
      <c r="K199" s="564"/>
      <c r="L199" s="564"/>
      <c r="M199" s="564"/>
      <c r="N199" s="563">
        <f t="shared" si="50"/>
        <v>0</v>
      </c>
      <c r="O199" s="564"/>
      <c r="P199" s="564"/>
      <c r="Q199" s="564"/>
      <c r="R199" s="564"/>
      <c r="S199" s="563">
        <f t="shared" si="51"/>
        <v>52.6363</v>
      </c>
      <c r="T199" s="564">
        <f t="shared" si="52"/>
        <v>45.3384</v>
      </c>
      <c r="U199" s="564">
        <v>33.1344</v>
      </c>
      <c r="V199" s="564">
        <v>0.0408</v>
      </c>
      <c r="W199" s="564">
        <v>12.1632</v>
      </c>
      <c r="X199" s="564"/>
      <c r="Y199" s="564"/>
      <c r="Z199" s="564"/>
      <c r="AA199" s="563">
        <f t="shared" si="53"/>
        <v>7.2979</v>
      </c>
      <c r="AB199" s="564">
        <v>7.2979</v>
      </c>
      <c r="AC199" s="564"/>
      <c r="AD199" s="564"/>
      <c r="AE199" s="564"/>
      <c r="AF199" s="564"/>
      <c r="AG199" s="563">
        <f t="shared" si="54"/>
        <v>22.5283364</v>
      </c>
      <c r="AH199" s="564">
        <f t="shared" si="55"/>
        <v>8.421808</v>
      </c>
      <c r="AI199" s="564">
        <f t="shared" si="56"/>
        <v>4.210904</v>
      </c>
      <c r="AJ199" s="564">
        <f t="shared" si="57"/>
        <v>3.158178</v>
      </c>
      <c r="AK199" s="564">
        <f t="shared" si="58"/>
        <v>0.1052726</v>
      </c>
      <c r="AL199" s="564">
        <f t="shared" si="59"/>
        <v>0.3158178</v>
      </c>
      <c r="AM199" s="564">
        <f t="shared" si="60"/>
        <v>6.316356</v>
      </c>
      <c r="AN199" s="564"/>
      <c r="AO199" s="304"/>
    </row>
    <row r="200" s="130" customFormat="1" ht="24" spans="1:41">
      <c r="A200" s="1" t="s">
        <v>202</v>
      </c>
      <c r="B200" s="1" t="s">
        <v>404</v>
      </c>
      <c r="C200" s="1" t="s">
        <v>464</v>
      </c>
      <c r="D200" s="1" t="s">
        <v>406</v>
      </c>
      <c r="E200" s="563">
        <f t="shared" si="47"/>
        <v>216.78468</v>
      </c>
      <c r="F200" s="564">
        <f t="shared" si="48"/>
        <v>0</v>
      </c>
      <c r="G200" s="564">
        <f t="shared" si="49"/>
        <v>0</v>
      </c>
      <c r="H200" s="564"/>
      <c r="I200" s="564"/>
      <c r="J200" s="564"/>
      <c r="K200" s="564"/>
      <c r="L200" s="564"/>
      <c r="M200" s="564"/>
      <c r="N200" s="563">
        <f t="shared" si="50"/>
        <v>0</v>
      </c>
      <c r="O200" s="564"/>
      <c r="P200" s="564"/>
      <c r="Q200" s="564"/>
      <c r="R200" s="564"/>
      <c r="S200" s="563">
        <f t="shared" si="51"/>
        <v>151.81</v>
      </c>
      <c r="T200" s="564">
        <f t="shared" si="52"/>
        <v>132.41</v>
      </c>
      <c r="U200" s="564">
        <v>99.93</v>
      </c>
      <c r="V200" s="564">
        <v>0.15</v>
      </c>
      <c r="W200" s="564">
        <v>32.33</v>
      </c>
      <c r="X200" s="564"/>
      <c r="Y200" s="564"/>
      <c r="Z200" s="564"/>
      <c r="AA200" s="563">
        <f t="shared" si="53"/>
        <v>19.4</v>
      </c>
      <c r="AB200" s="564">
        <v>19.4</v>
      </c>
      <c r="AC200" s="564"/>
      <c r="AD200" s="564"/>
      <c r="AE200" s="564"/>
      <c r="AF200" s="564"/>
      <c r="AG200" s="563">
        <f t="shared" si="54"/>
        <v>64.97468</v>
      </c>
      <c r="AH200" s="564">
        <f t="shared" si="55"/>
        <v>24.2896</v>
      </c>
      <c r="AI200" s="564">
        <f t="shared" si="56"/>
        <v>12.1448</v>
      </c>
      <c r="AJ200" s="564">
        <f t="shared" si="57"/>
        <v>9.1086</v>
      </c>
      <c r="AK200" s="564">
        <f t="shared" si="58"/>
        <v>0.30362</v>
      </c>
      <c r="AL200" s="564">
        <f t="shared" si="59"/>
        <v>0.91086</v>
      </c>
      <c r="AM200" s="564">
        <f t="shared" si="60"/>
        <v>18.2172</v>
      </c>
      <c r="AN200" s="564"/>
      <c r="AO200" s="304"/>
    </row>
    <row r="201" s="130" customFormat="1" ht="24" spans="1:41">
      <c r="A201" s="1" t="s">
        <v>202</v>
      </c>
      <c r="B201" s="1" t="s">
        <v>400</v>
      </c>
      <c r="C201" s="1" t="s">
        <v>465</v>
      </c>
      <c r="D201" s="1" t="s">
        <v>441</v>
      </c>
      <c r="E201" s="563">
        <f t="shared" si="47"/>
        <v>77.91168</v>
      </c>
      <c r="F201" s="564">
        <f t="shared" si="48"/>
        <v>0</v>
      </c>
      <c r="G201" s="564">
        <f t="shared" si="49"/>
        <v>0</v>
      </c>
      <c r="H201" s="564"/>
      <c r="I201" s="564"/>
      <c r="J201" s="564"/>
      <c r="K201" s="564"/>
      <c r="L201" s="564"/>
      <c r="M201" s="564"/>
      <c r="N201" s="563">
        <f t="shared" si="50"/>
        <v>0</v>
      </c>
      <c r="O201" s="564"/>
      <c r="P201" s="564"/>
      <c r="Q201" s="564"/>
      <c r="R201" s="564"/>
      <c r="S201" s="563">
        <f t="shared" si="51"/>
        <v>54.56</v>
      </c>
      <c r="T201" s="564">
        <f t="shared" si="52"/>
        <v>47.26</v>
      </c>
      <c r="U201" s="564">
        <v>35.03</v>
      </c>
      <c r="V201" s="564">
        <v>0.06</v>
      </c>
      <c r="W201" s="564">
        <v>12.17</v>
      </c>
      <c r="X201" s="564"/>
      <c r="Y201" s="564"/>
      <c r="Z201" s="564"/>
      <c r="AA201" s="563">
        <f t="shared" si="53"/>
        <v>7.3</v>
      </c>
      <c r="AB201" s="564">
        <v>7.3</v>
      </c>
      <c r="AC201" s="564"/>
      <c r="AD201" s="564"/>
      <c r="AE201" s="564"/>
      <c r="AF201" s="564"/>
      <c r="AG201" s="563">
        <f t="shared" si="54"/>
        <v>23.35168</v>
      </c>
      <c r="AH201" s="564">
        <f t="shared" si="55"/>
        <v>8.7296</v>
      </c>
      <c r="AI201" s="564">
        <f t="shared" si="56"/>
        <v>4.3648</v>
      </c>
      <c r="AJ201" s="564">
        <f t="shared" si="57"/>
        <v>3.2736</v>
      </c>
      <c r="AK201" s="564">
        <f t="shared" si="58"/>
        <v>0.10912</v>
      </c>
      <c r="AL201" s="564">
        <f t="shared" si="59"/>
        <v>0.32736</v>
      </c>
      <c r="AM201" s="564">
        <f t="shared" si="60"/>
        <v>6.5472</v>
      </c>
      <c r="AN201" s="564"/>
      <c r="AO201" s="304"/>
    </row>
    <row r="202" s="130" customFormat="1" ht="24" spans="1:41">
      <c r="A202" s="1" t="s">
        <v>202</v>
      </c>
      <c r="B202" s="1" t="s">
        <v>400</v>
      </c>
      <c r="C202" s="1" t="s">
        <v>466</v>
      </c>
      <c r="D202" s="1" t="s">
        <v>441</v>
      </c>
      <c r="E202" s="563">
        <f t="shared" si="47"/>
        <v>233.16024</v>
      </c>
      <c r="F202" s="564">
        <f t="shared" si="48"/>
        <v>0</v>
      </c>
      <c r="G202" s="564">
        <f t="shared" si="49"/>
        <v>0</v>
      </c>
      <c r="H202" s="564"/>
      <c r="I202" s="564"/>
      <c r="J202" s="564"/>
      <c r="K202" s="564"/>
      <c r="L202" s="564"/>
      <c r="M202" s="564"/>
      <c r="N202" s="563">
        <f t="shared" si="50"/>
        <v>0</v>
      </c>
      <c r="O202" s="564"/>
      <c r="P202" s="564"/>
      <c r="Q202" s="564"/>
      <c r="R202" s="564"/>
      <c r="S202" s="563">
        <f t="shared" si="51"/>
        <v>164.86</v>
      </c>
      <c r="T202" s="564">
        <f t="shared" si="52"/>
        <v>144.73</v>
      </c>
      <c r="U202" s="564">
        <v>105.7</v>
      </c>
      <c r="V202" s="564">
        <v>0.21</v>
      </c>
      <c r="W202" s="564">
        <v>33.54</v>
      </c>
      <c r="X202" s="564">
        <v>5.28</v>
      </c>
      <c r="Y202" s="564"/>
      <c r="Z202" s="564"/>
      <c r="AA202" s="563">
        <f t="shared" si="53"/>
        <v>20.13</v>
      </c>
      <c r="AB202" s="564">
        <v>20.13</v>
      </c>
      <c r="AC202" s="564"/>
      <c r="AD202" s="564"/>
      <c r="AE202" s="564"/>
      <c r="AF202" s="564"/>
      <c r="AG202" s="563">
        <f t="shared" si="54"/>
        <v>68.30024</v>
      </c>
      <c r="AH202" s="564">
        <f t="shared" si="55"/>
        <v>25.5328</v>
      </c>
      <c r="AI202" s="564">
        <f t="shared" si="56"/>
        <v>12.7664</v>
      </c>
      <c r="AJ202" s="564">
        <f t="shared" si="57"/>
        <v>9.5748</v>
      </c>
      <c r="AK202" s="564">
        <f t="shared" si="58"/>
        <v>0.31916</v>
      </c>
      <c r="AL202" s="564">
        <f t="shared" si="59"/>
        <v>0.95748</v>
      </c>
      <c r="AM202" s="564">
        <f t="shared" si="60"/>
        <v>19.1496</v>
      </c>
      <c r="AN202" s="564"/>
      <c r="AO202" s="304"/>
    </row>
    <row r="203" s="130" customFormat="1" ht="24" spans="1:41">
      <c r="A203" s="1" t="s">
        <v>202</v>
      </c>
      <c r="B203" s="1" t="s">
        <v>206</v>
      </c>
      <c r="C203" s="1" t="s">
        <v>467</v>
      </c>
      <c r="D203" s="1" t="s">
        <v>468</v>
      </c>
      <c r="E203" s="563">
        <f t="shared" si="47"/>
        <v>369.73776</v>
      </c>
      <c r="F203" s="564">
        <f t="shared" si="48"/>
        <v>0</v>
      </c>
      <c r="G203" s="564">
        <f t="shared" si="49"/>
        <v>0</v>
      </c>
      <c r="H203" s="564"/>
      <c r="I203" s="564"/>
      <c r="J203" s="564"/>
      <c r="K203" s="564"/>
      <c r="L203" s="564"/>
      <c r="M203" s="564"/>
      <c r="N203" s="563">
        <f t="shared" si="50"/>
        <v>0</v>
      </c>
      <c r="O203" s="564"/>
      <c r="P203" s="564"/>
      <c r="Q203" s="564"/>
      <c r="R203" s="564"/>
      <c r="S203" s="563">
        <f t="shared" si="51"/>
        <v>258.92</v>
      </c>
      <c r="T203" s="564">
        <f t="shared" si="52"/>
        <v>230.32</v>
      </c>
      <c r="U203" s="564">
        <v>182.31</v>
      </c>
      <c r="V203" s="564">
        <v>0.35</v>
      </c>
      <c r="W203" s="564">
        <v>47.66</v>
      </c>
      <c r="X203" s="564"/>
      <c r="Y203" s="564"/>
      <c r="Z203" s="564"/>
      <c r="AA203" s="563">
        <f t="shared" si="53"/>
        <v>28.6</v>
      </c>
      <c r="AB203" s="564">
        <v>28.6</v>
      </c>
      <c r="AC203" s="564"/>
      <c r="AD203" s="564"/>
      <c r="AE203" s="564"/>
      <c r="AF203" s="564"/>
      <c r="AG203" s="563">
        <f t="shared" si="54"/>
        <v>110.81776</v>
      </c>
      <c r="AH203" s="564">
        <f t="shared" si="55"/>
        <v>41.4272</v>
      </c>
      <c r="AI203" s="564">
        <f t="shared" si="56"/>
        <v>20.7136</v>
      </c>
      <c r="AJ203" s="564">
        <f t="shared" si="57"/>
        <v>15.5352</v>
      </c>
      <c r="AK203" s="564">
        <f t="shared" si="58"/>
        <v>0.51784</v>
      </c>
      <c r="AL203" s="564">
        <f t="shared" si="59"/>
        <v>1.55352</v>
      </c>
      <c r="AM203" s="564">
        <f t="shared" si="60"/>
        <v>31.0704</v>
      </c>
      <c r="AN203" s="564"/>
      <c r="AO203" s="304"/>
    </row>
    <row r="204" s="130" customFormat="1" ht="24" spans="1:41">
      <c r="A204" s="1" t="s">
        <v>202</v>
      </c>
      <c r="B204" s="1" t="s">
        <v>206</v>
      </c>
      <c r="C204" s="1" t="s">
        <v>469</v>
      </c>
      <c r="D204" s="1" t="s">
        <v>468</v>
      </c>
      <c r="E204" s="563">
        <f t="shared" si="47"/>
        <v>310.64712</v>
      </c>
      <c r="F204" s="564">
        <f t="shared" si="48"/>
        <v>0</v>
      </c>
      <c r="G204" s="564">
        <f t="shared" si="49"/>
        <v>0</v>
      </c>
      <c r="H204" s="564"/>
      <c r="I204" s="564"/>
      <c r="J204" s="564"/>
      <c r="K204" s="564"/>
      <c r="L204" s="564"/>
      <c r="M204" s="564"/>
      <c r="N204" s="563">
        <f t="shared" si="50"/>
        <v>0</v>
      </c>
      <c r="O204" s="564"/>
      <c r="P204" s="564"/>
      <c r="Q204" s="564"/>
      <c r="R204" s="564"/>
      <c r="S204" s="563">
        <f t="shared" si="51"/>
        <v>217.54</v>
      </c>
      <c r="T204" s="564">
        <f t="shared" si="52"/>
        <v>193.88</v>
      </c>
      <c r="U204" s="564">
        <v>154.23</v>
      </c>
      <c r="V204" s="564">
        <v>0.22</v>
      </c>
      <c r="W204" s="564">
        <v>39.43</v>
      </c>
      <c r="X204" s="564"/>
      <c r="Y204" s="564"/>
      <c r="Z204" s="564"/>
      <c r="AA204" s="563">
        <f t="shared" si="53"/>
        <v>23.66</v>
      </c>
      <c r="AB204" s="564">
        <v>23.66</v>
      </c>
      <c r="AC204" s="564"/>
      <c r="AD204" s="564"/>
      <c r="AE204" s="564"/>
      <c r="AF204" s="564"/>
      <c r="AG204" s="563">
        <f t="shared" si="54"/>
        <v>93.10712</v>
      </c>
      <c r="AH204" s="564">
        <f t="shared" si="55"/>
        <v>34.8064</v>
      </c>
      <c r="AI204" s="564">
        <f t="shared" si="56"/>
        <v>17.4032</v>
      </c>
      <c r="AJ204" s="564">
        <f t="shared" si="57"/>
        <v>13.0524</v>
      </c>
      <c r="AK204" s="564">
        <f t="shared" si="58"/>
        <v>0.43508</v>
      </c>
      <c r="AL204" s="564">
        <f t="shared" si="59"/>
        <v>1.30524</v>
      </c>
      <c r="AM204" s="564">
        <f t="shared" si="60"/>
        <v>26.1048</v>
      </c>
      <c r="AN204" s="564"/>
      <c r="AO204" s="304"/>
    </row>
    <row r="205" s="130" customFormat="1" ht="24" spans="1:41">
      <c r="A205" s="1" t="s">
        <v>202</v>
      </c>
      <c r="B205" s="1" t="s">
        <v>203</v>
      </c>
      <c r="C205" s="1" t="s">
        <v>470</v>
      </c>
      <c r="D205" s="1" t="s">
        <v>471</v>
      </c>
      <c r="E205" s="563">
        <f t="shared" si="47"/>
        <v>234.10332</v>
      </c>
      <c r="F205" s="564">
        <f t="shared" si="48"/>
        <v>37.89</v>
      </c>
      <c r="G205" s="564">
        <f t="shared" si="49"/>
        <v>34.74</v>
      </c>
      <c r="H205" s="564">
        <v>13.66</v>
      </c>
      <c r="I205" s="564">
        <v>8.52</v>
      </c>
      <c r="J205" s="564">
        <v>1.57</v>
      </c>
      <c r="K205" s="564"/>
      <c r="L205" s="564"/>
      <c r="M205" s="564">
        <v>10.99</v>
      </c>
      <c r="N205" s="563">
        <f t="shared" si="50"/>
        <v>3.15</v>
      </c>
      <c r="O205" s="564"/>
      <c r="P205" s="564"/>
      <c r="Q205" s="564">
        <v>1.65</v>
      </c>
      <c r="R205" s="564">
        <v>1.5</v>
      </c>
      <c r="S205" s="563">
        <f t="shared" si="51"/>
        <v>138.14</v>
      </c>
      <c r="T205" s="564">
        <f t="shared" si="52"/>
        <v>117.23</v>
      </c>
      <c r="U205" s="564">
        <v>71.63</v>
      </c>
      <c r="V205" s="564">
        <v>0.09</v>
      </c>
      <c r="W205" s="564">
        <v>23.18</v>
      </c>
      <c r="X205" s="564"/>
      <c r="Y205" s="564"/>
      <c r="Z205" s="564">
        <v>22.33</v>
      </c>
      <c r="AA205" s="563">
        <f t="shared" si="53"/>
        <v>20.91</v>
      </c>
      <c r="AB205" s="564">
        <v>13.91</v>
      </c>
      <c r="AC205" s="564"/>
      <c r="AD205" s="564"/>
      <c r="AE205" s="564"/>
      <c r="AF205" s="564">
        <v>7</v>
      </c>
      <c r="AG205" s="563">
        <f t="shared" si="54"/>
        <v>58.07332</v>
      </c>
      <c r="AH205" s="564">
        <f t="shared" si="55"/>
        <v>22.968</v>
      </c>
      <c r="AI205" s="564">
        <f t="shared" si="56"/>
        <v>10.4792</v>
      </c>
      <c r="AJ205" s="564">
        <f t="shared" si="57"/>
        <v>7.8594</v>
      </c>
      <c r="AK205" s="564">
        <f t="shared" si="58"/>
        <v>0.26198</v>
      </c>
      <c r="AL205" s="564">
        <f t="shared" si="59"/>
        <v>0.78594</v>
      </c>
      <c r="AM205" s="564">
        <f t="shared" si="60"/>
        <v>15.7188</v>
      </c>
      <c r="AN205" s="564"/>
      <c r="AO205" s="304"/>
    </row>
    <row r="206" s="130" customFormat="1" ht="24" spans="1:41">
      <c r="A206" s="1" t="s">
        <v>202</v>
      </c>
      <c r="B206" s="1" t="s">
        <v>206</v>
      </c>
      <c r="C206" s="1" t="s">
        <v>472</v>
      </c>
      <c r="D206" s="1" t="s">
        <v>473</v>
      </c>
      <c r="E206" s="563">
        <f t="shared" si="47"/>
        <v>93.6758</v>
      </c>
      <c r="F206" s="564">
        <f t="shared" si="48"/>
        <v>0</v>
      </c>
      <c r="G206" s="564">
        <f t="shared" si="49"/>
        <v>0</v>
      </c>
      <c r="H206" s="564"/>
      <c r="I206" s="564"/>
      <c r="J206" s="564"/>
      <c r="K206" s="564"/>
      <c r="L206" s="564"/>
      <c r="M206" s="564"/>
      <c r="N206" s="563">
        <f t="shared" si="50"/>
        <v>0</v>
      </c>
      <c r="O206" s="564"/>
      <c r="P206" s="564"/>
      <c r="Q206" s="564"/>
      <c r="R206" s="564"/>
      <c r="S206" s="563">
        <f t="shared" si="51"/>
        <v>71.27</v>
      </c>
      <c r="T206" s="564">
        <f t="shared" si="52"/>
        <v>58.61</v>
      </c>
      <c r="U206" s="564">
        <v>31.83</v>
      </c>
      <c r="V206" s="564"/>
      <c r="W206" s="564">
        <v>12.86</v>
      </c>
      <c r="X206" s="564"/>
      <c r="Y206" s="564"/>
      <c r="Z206" s="564">
        <v>13.92</v>
      </c>
      <c r="AA206" s="563">
        <f t="shared" si="53"/>
        <v>12.66</v>
      </c>
      <c r="AB206" s="564">
        <v>7.66</v>
      </c>
      <c r="AC206" s="564"/>
      <c r="AD206" s="564"/>
      <c r="AE206" s="564"/>
      <c r="AF206" s="564">
        <v>5</v>
      </c>
      <c r="AG206" s="563">
        <f t="shared" si="54"/>
        <v>22.4058</v>
      </c>
      <c r="AH206" s="564">
        <f t="shared" si="55"/>
        <v>8.376</v>
      </c>
      <c r="AI206" s="564">
        <f t="shared" si="56"/>
        <v>4.188</v>
      </c>
      <c r="AJ206" s="564">
        <f t="shared" si="57"/>
        <v>3.141</v>
      </c>
      <c r="AK206" s="564">
        <f t="shared" si="58"/>
        <v>0.1047</v>
      </c>
      <c r="AL206" s="564">
        <f t="shared" si="59"/>
        <v>0.3141</v>
      </c>
      <c r="AM206" s="564">
        <f t="shared" si="60"/>
        <v>6.282</v>
      </c>
      <c r="AN206" s="564"/>
      <c r="AO206" s="304"/>
    </row>
    <row r="207" s="508" customFormat="1" ht="21" customHeight="1" spans="1:42">
      <c r="A207" s="525"/>
      <c r="B207" s="525"/>
      <c r="C207" s="525" t="s">
        <v>130</v>
      </c>
      <c r="D207" s="526">
        <v>206</v>
      </c>
      <c r="E207" s="561">
        <f t="shared" ref="E207:AN207" si="61">SUM(E208:E209)</f>
        <v>144.10992</v>
      </c>
      <c r="F207" s="561">
        <f t="shared" si="61"/>
        <v>90.45</v>
      </c>
      <c r="G207" s="561">
        <f t="shared" si="61"/>
        <v>83.1</v>
      </c>
      <c r="H207" s="561">
        <f t="shared" si="61"/>
        <v>33.15</v>
      </c>
      <c r="I207" s="561">
        <f t="shared" si="61"/>
        <v>21.19</v>
      </c>
      <c r="J207" s="561">
        <f t="shared" si="61"/>
        <v>2.76</v>
      </c>
      <c r="K207" s="561">
        <f t="shared" si="61"/>
        <v>0</v>
      </c>
      <c r="L207" s="561">
        <f t="shared" si="61"/>
        <v>0</v>
      </c>
      <c r="M207" s="561">
        <f t="shared" si="61"/>
        <v>26</v>
      </c>
      <c r="N207" s="561">
        <f t="shared" si="61"/>
        <v>7.35</v>
      </c>
      <c r="O207" s="561">
        <f t="shared" si="61"/>
        <v>0</v>
      </c>
      <c r="P207" s="561">
        <f t="shared" si="61"/>
        <v>0</v>
      </c>
      <c r="Q207" s="561">
        <f t="shared" si="61"/>
        <v>3.85</v>
      </c>
      <c r="R207" s="561">
        <f t="shared" si="61"/>
        <v>3.5</v>
      </c>
      <c r="S207" s="561">
        <f t="shared" si="61"/>
        <v>23.19</v>
      </c>
      <c r="T207" s="561">
        <f t="shared" si="61"/>
        <v>6.56</v>
      </c>
      <c r="U207" s="561">
        <f t="shared" si="61"/>
        <v>3.78</v>
      </c>
      <c r="V207" s="561">
        <f t="shared" si="61"/>
        <v>0</v>
      </c>
      <c r="W207" s="561">
        <f t="shared" si="61"/>
        <v>1.45</v>
      </c>
      <c r="X207" s="561">
        <f t="shared" si="61"/>
        <v>0</v>
      </c>
      <c r="Y207" s="561">
        <f t="shared" si="61"/>
        <v>0</v>
      </c>
      <c r="Z207" s="561">
        <f t="shared" si="61"/>
        <v>1.33</v>
      </c>
      <c r="AA207" s="561">
        <f t="shared" si="61"/>
        <v>16.63</v>
      </c>
      <c r="AB207" s="561">
        <f t="shared" si="61"/>
        <v>0.87</v>
      </c>
      <c r="AC207" s="561">
        <f t="shared" si="61"/>
        <v>0</v>
      </c>
      <c r="AD207" s="561">
        <f t="shared" si="61"/>
        <v>15.26</v>
      </c>
      <c r="AE207" s="561">
        <f t="shared" si="61"/>
        <v>0</v>
      </c>
      <c r="AF207" s="561">
        <f t="shared" si="61"/>
        <v>0.5</v>
      </c>
      <c r="AG207" s="561">
        <f t="shared" si="61"/>
        <v>30.46992</v>
      </c>
      <c r="AH207" s="561">
        <f t="shared" si="61"/>
        <v>14.272</v>
      </c>
      <c r="AI207" s="561">
        <f t="shared" si="61"/>
        <v>4.8352</v>
      </c>
      <c r="AJ207" s="561">
        <f t="shared" si="61"/>
        <v>3.6264</v>
      </c>
      <c r="AK207" s="561">
        <f t="shared" si="61"/>
        <v>0.12088</v>
      </c>
      <c r="AL207" s="561">
        <f t="shared" si="61"/>
        <v>0.36264</v>
      </c>
      <c r="AM207" s="561">
        <f t="shared" si="61"/>
        <v>7.2528</v>
      </c>
      <c r="AN207" s="561">
        <f t="shared" si="61"/>
        <v>0</v>
      </c>
      <c r="AO207" s="334"/>
      <c r="AP207" s="580"/>
    </row>
    <row r="208" s="130" customFormat="1" ht="24" spans="1:41">
      <c r="A208" s="1" t="s">
        <v>202</v>
      </c>
      <c r="B208" s="1" t="s">
        <v>203</v>
      </c>
      <c r="C208" s="1" t="s">
        <v>476</v>
      </c>
      <c r="D208" s="1" t="s">
        <v>477</v>
      </c>
      <c r="E208" s="563">
        <f t="shared" ref="E208:E223" si="62">F208+S208+AG208</f>
        <v>118.30912</v>
      </c>
      <c r="F208" s="564">
        <f t="shared" ref="F208:F223" si="63">G208+N208</f>
        <v>90.45</v>
      </c>
      <c r="G208" s="564">
        <f t="shared" ref="G208:G223" si="64">SUM(H208:M208)</f>
        <v>83.1</v>
      </c>
      <c r="H208" s="564">
        <v>33.15</v>
      </c>
      <c r="I208" s="564">
        <v>21.19</v>
      </c>
      <c r="J208" s="564">
        <v>2.76</v>
      </c>
      <c r="K208" s="564"/>
      <c r="L208" s="564"/>
      <c r="M208" s="564">
        <v>26</v>
      </c>
      <c r="N208" s="563">
        <f t="shared" ref="N208:N223" si="65">SUM(O208:R208)</f>
        <v>7.35</v>
      </c>
      <c r="O208" s="564"/>
      <c r="P208" s="577"/>
      <c r="Q208" s="564">
        <v>3.85</v>
      </c>
      <c r="R208" s="564">
        <v>3.5</v>
      </c>
      <c r="S208" s="563">
        <f t="shared" ref="S208:S223" si="66">T208+AA208</f>
        <v>0</v>
      </c>
      <c r="T208" s="564">
        <f t="shared" ref="T208:T223" si="67">SUM(U208:Z208)</f>
        <v>0</v>
      </c>
      <c r="U208" s="564"/>
      <c r="V208" s="564"/>
      <c r="W208" s="564"/>
      <c r="X208" s="564"/>
      <c r="Y208" s="564"/>
      <c r="Z208" s="564"/>
      <c r="AA208" s="563">
        <f t="shared" ref="AA208:AA223" si="68">SUM(AB208:AF208)</f>
        <v>0</v>
      </c>
      <c r="AB208" s="564"/>
      <c r="AC208" s="564"/>
      <c r="AD208" s="564"/>
      <c r="AE208" s="577"/>
      <c r="AF208" s="564"/>
      <c r="AG208" s="563">
        <f t="shared" ref="AG208:AG223" si="69">SUM(AH208:AN208)</f>
        <v>27.85912</v>
      </c>
      <c r="AH208" s="564">
        <f t="shared" ref="AH208:AH223" si="70">(H208+I208+J208+U208+V208+W208+AB208+M208)*0.16</f>
        <v>13.296</v>
      </c>
      <c r="AI208" s="564">
        <f t="shared" ref="AI208:AI223" si="71">(H208+I208+U208+V208+W208+AB208)*0.08</f>
        <v>4.3472</v>
      </c>
      <c r="AJ208" s="564">
        <f t="shared" ref="AJ208:AJ223" si="72">(H208+I208+U208+V208+W208+AB208)*0.06</f>
        <v>3.2604</v>
      </c>
      <c r="AK208" s="564">
        <f t="shared" ref="AK208:AK223" si="73">(H208+I208+U208+V208+W208+AB208)*0.002</f>
        <v>0.10868</v>
      </c>
      <c r="AL208" s="564">
        <f t="shared" ref="AL208:AL223" si="74">(H208+I208+U208+V208+W208+AB208)*0.006</f>
        <v>0.32604</v>
      </c>
      <c r="AM208" s="564">
        <f t="shared" ref="AM208:AM223" si="75">(H208+I208+U208+V208+W208+AB208)*0.12</f>
        <v>6.5208</v>
      </c>
      <c r="AN208" s="564"/>
      <c r="AO208" s="304"/>
    </row>
    <row r="209" s="130" customFormat="1" ht="24" spans="1:41">
      <c r="A209" s="1" t="s">
        <v>202</v>
      </c>
      <c r="B209" s="1" t="s">
        <v>206</v>
      </c>
      <c r="C209" s="1" t="s">
        <v>478</v>
      </c>
      <c r="D209" s="1" t="s">
        <v>477</v>
      </c>
      <c r="E209" s="563">
        <f t="shared" si="62"/>
        <v>25.8008</v>
      </c>
      <c r="F209" s="564">
        <f t="shared" si="63"/>
        <v>0</v>
      </c>
      <c r="G209" s="564">
        <f t="shared" si="64"/>
        <v>0</v>
      </c>
      <c r="H209" s="564"/>
      <c r="I209" s="564"/>
      <c r="J209" s="564"/>
      <c r="K209" s="564"/>
      <c r="L209" s="564"/>
      <c r="M209" s="564"/>
      <c r="N209" s="563">
        <f t="shared" si="65"/>
        <v>0</v>
      </c>
      <c r="O209" s="564"/>
      <c r="P209" s="564"/>
      <c r="Q209" s="564"/>
      <c r="R209" s="564"/>
      <c r="S209" s="563">
        <f t="shared" si="66"/>
        <v>23.19</v>
      </c>
      <c r="T209" s="564">
        <f t="shared" si="67"/>
        <v>6.56</v>
      </c>
      <c r="U209" s="564">
        <v>3.78</v>
      </c>
      <c r="V209" s="564"/>
      <c r="W209" s="564">
        <v>1.45</v>
      </c>
      <c r="X209" s="564"/>
      <c r="Y209" s="564"/>
      <c r="Z209" s="564">
        <v>1.33</v>
      </c>
      <c r="AA209" s="563">
        <f t="shared" si="68"/>
        <v>16.63</v>
      </c>
      <c r="AB209" s="564">
        <v>0.87</v>
      </c>
      <c r="AC209" s="564"/>
      <c r="AD209" s="564">
        <v>15.26</v>
      </c>
      <c r="AE209" s="564"/>
      <c r="AF209" s="564">
        <v>0.5</v>
      </c>
      <c r="AG209" s="563">
        <f t="shared" si="69"/>
        <v>2.6108</v>
      </c>
      <c r="AH209" s="564">
        <f t="shared" si="70"/>
        <v>0.976</v>
      </c>
      <c r="AI209" s="564">
        <f t="shared" si="71"/>
        <v>0.488</v>
      </c>
      <c r="AJ209" s="564">
        <f t="shared" si="72"/>
        <v>0.366</v>
      </c>
      <c r="AK209" s="564">
        <f t="shared" si="73"/>
        <v>0.0122</v>
      </c>
      <c r="AL209" s="564">
        <f t="shared" si="74"/>
        <v>0.0366</v>
      </c>
      <c r="AM209" s="564">
        <f t="shared" si="75"/>
        <v>0.732</v>
      </c>
      <c r="AN209" s="564"/>
      <c r="AO209" s="304"/>
    </row>
    <row r="210" s="508" customFormat="1" ht="21" customHeight="1" spans="1:42">
      <c r="A210" s="525"/>
      <c r="B210" s="525"/>
      <c r="C210" s="525" t="s">
        <v>131</v>
      </c>
      <c r="D210" s="526">
        <v>207</v>
      </c>
      <c r="E210" s="561">
        <f t="shared" ref="E210:AN210" si="76">SUM(E211:E223)</f>
        <v>1726.85453024</v>
      </c>
      <c r="F210" s="561">
        <f t="shared" si="76"/>
        <v>155.02</v>
      </c>
      <c r="G210" s="561">
        <f t="shared" si="76"/>
        <v>124.62</v>
      </c>
      <c r="H210" s="561">
        <f t="shared" si="76"/>
        <v>48.34</v>
      </c>
      <c r="I210" s="561">
        <f t="shared" si="76"/>
        <v>31.76</v>
      </c>
      <c r="J210" s="561">
        <f t="shared" si="76"/>
        <v>4.03</v>
      </c>
      <c r="K210" s="561">
        <f t="shared" si="76"/>
        <v>0</v>
      </c>
      <c r="L210" s="561">
        <f t="shared" si="76"/>
        <v>0</v>
      </c>
      <c r="M210" s="561">
        <f t="shared" si="76"/>
        <v>40.49</v>
      </c>
      <c r="N210" s="561">
        <f t="shared" si="76"/>
        <v>30.4</v>
      </c>
      <c r="O210" s="561">
        <f t="shared" si="76"/>
        <v>17.8</v>
      </c>
      <c r="P210" s="561">
        <f t="shared" si="76"/>
        <v>0</v>
      </c>
      <c r="Q210" s="561">
        <f t="shared" si="76"/>
        <v>6.6</v>
      </c>
      <c r="R210" s="561">
        <f t="shared" si="76"/>
        <v>6</v>
      </c>
      <c r="S210" s="561">
        <f t="shared" si="76"/>
        <v>1237.031168</v>
      </c>
      <c r="T210" s="561">
        <f t="shared" si="76"/>
        <v>748.2264</v>
      </c>
      <c r="U210" s="561">
        <f t="shared" si="76"/>
        <v>436.2972</v>
      </c>
      <c r="V210" s="561">
        <f t="shared" si="76"/>
        <v>0.084</v>
      </c>
      <c r="W210" s="561">
        <f t="shared" si="76"/>
        <v>154.8652</v>
      </c>
      <c r="X210" s="561">
        <f t="shared" si="76"/>
        <v>0</v>
      </c>
      <c r="Y210" s="561">
        <f t="shared" si="76"/>
        <v>0</v>
      </c>
      <c r="Z210" s="561">
        <f t="shared" si="76"/>
        <v>156.98</v>
      </c>
      <c r="AA210" s="561">
        <f t="shared" si="76"/>
        <v>488.804768</v>
      </c>
      <c r="AB210" s="561">
        <f t="shared" si="76"/>
        <v>92.92968</v>
      </c>
      <c r="AC210" s="561">
        <f t="shared" si="76"/>
        <v>252.51</v>
      </c>
      <c r="AD210" s="561">
        <f t="shared" si="76"/>
        <v>73.745088</v>
      </c>
      <c r="AE210" s="561">
        <f t="shared" si="76"/>
        <v>15.12</v>
      </c>
      <c r="AF210" s="561">
        <f t="shared" si="76"/>
        <v>54.5</v>
      </c>
      <c r="AG210" s="561">
        <f t="shared" si="76"/>
        <v>334.80336224</v>
      </c>
      <c r="AH210" s="561">
        <f t="shared" si="76"/>
        <v>129.4073728</v>
      </c>
      <c r="AI210" s="561">
        <f t="shared" si="76"/>
        <v>61.1420864</v>
      </c>
      <c r="AJ210" s="561">
        <f t="shared" si="76"/>
        <v>45.8565648</v>
      </c>
      <c r="AK210" s="561">
        <f t="shared" si="76"/>
        <v>1.52855216</v>
      </c>
      <c r="AL210" s="561">
        <f t="shared" si="76"/>
        <v>4.58565648</v>
      </c>
      <c r="AM210" s="561">
        <f t="shared" si="76"/>
        <v>91.7131296</v>
      </c>
      <c r="AN210" s="561">
        <f t="shared" si="76"/>
        <v>0.57</v>
      </c>
      <c r="AO210" s="334"/>
      <c r="AP210" s="580"/>
    </row>
    <row r="211" s="130" customFormat="1" ht="24" spans="1:41">
      <c r="A211" s="1" t="s">
        <v>202</v>
      </c>
      <c r="B211" s="1" t="s">
        <v>203</v>
      </c>
      <c r="C211" s="1" t="s">
        <v>479</v>
      </c>
      <c r="D211" s="1" t="s">
        <v>480</v>
      </c>
      <c r="E211" s="563">
        <f t="shared" si="62"/>
        <v>119.33792</v>
      </c>
      <c r="F211" s="564">
        <f t="shared" si="63"/>
        <v>95.38</v>
      </c>
      <c r="G211" s="564">
        <f t="shared" si="64"/>
        <v>71.28</v>
      </c>
      <c r="H211" s="581">
        <v>28.95</v>
      </c>
      <c r="I211" s="581">
        <v>17.89</v>
      </c>
      <c r="J211" s="581">
        <v>2.41</v>
      </c>
      <c r="K211" s="564"/>
      <c r="L211" s="564"/>
      <c r="M211" s="564">
        <v>22.03</v>
      </c>
      <c r="N211" s="563">
        <f t="shared" si="65"/>
        <v>24.1</v>
      </c>
      <c r="O211" s="581">
        <v>17.8</v>
      </c>
      <c r="P211" s="564"/>
      <c r="Q211" s="564">
        <v>3.3</v>
      </c>
      <c r="R211" s="564">
        <v>3</v>
      </c>
      <c r="S211" s="563">
        <f t="shared" si="66"/>
        <v>0</v>
      </c>
      <c r="T211" s="564">
        <f t="shared" si="67"/>
        <v>0</v>
      </c>
      <c r="U211" s="564"/>
      <c r="V211" s="564"/>
      <c r="W211" s="564"/>
      <c r="X211" s="564"/>
      <c r="Y211" s="564"/>
      <c r="Z211" s="564"/>
      <c r="AA211" s="563">
        <f t="shared" si="68"/>
        <v>0</v>
      </c>
      <c r="AB211" s="564"/>
      <c r="AC211" s="564"/>
      <c r="AD211" s="564"/>
      <c r="AE211" s="564"/>
      <c r="AF211" s="564"/>
      <c r="AG211" s="563">
        <f t="shared" si="69"/>
        <v>23.95792</v>
      </c>
      <c r="AH211" s="564">
        <f t="shared" si="70"/>
        <v>11.4048</v>
      </c>
      <c r="AI211" s="564">
        <f t="shared" si="71"/>
        <v>3.7472</v>
      </c>
      <c r="AJ211" s="564">
        <f t="shared" si="72"/>
        <v>2.8104</v>
      </c>
      <c r="AK211" s="564">
        <f t="shared" si="73"/>
        <v>0.09368</v>
      </c>
      <c r="AL211" s="564">
        <f t="shared" si="74"/>
        <v>0.28104</v>
      </c>
      <c r="AM211" s="564">
        <f t="shared" si="75"/>
        <v>5.6208</v>
      </c>
      <c r="AN211" s="564"/>
      <c r="AO211" s="304"/>
    </row>
    <row r="212" s="130" customFormat="1" ht="24" spans="1:41">
      <c r="A212" s="1" t="s">
        <v>202</v>
      </c>
      <c r="B212" s="1" t="s">
        <v>206</v>
      </c>
      <c r="C212" s="1" t="s">
        <v>481</v>
      </c>
      <c r="D212" s="1" t="s">
        <v>482</v>
      </c>
      <c r="E212" s="563">
        <f t="shared" si="62"/>
        <v>81.4021504</v>
      </c>
      <c r="F212" s="564">
        <f t="shared" si="63"/>
        <v>0</v>
      </c>
      <c r="G212" s="564">
        <f t="shared" si="64"/>
        <v>0</v>
      </c>
      <c r="H212" s="564"/>
      <c r="I212" s="564"/>
      <c r="J212" s="564"/>
      <c r="K212" s="564"/>
      <c r="L212" s="564"/>
      <c r="M212" s="564"/>
      <c r="N212" s="563">
        <f t="shared" si="65"/>
        <v>0</v>
      </c>
      <c r="O212" s="564"/>
      <c r="P212" s="564"/>
      <c r="Q212" s="564"/>
      <c r="R212" s="564"/>
      <c r="S212" s="563">
        <f t="shared" si="66"/>
        <v>61.8268</v>
      </c>
      <c r="T212" s="564">
        <f t="shared" si="67"/>
        <v>49.728</v>
      </c>
      <c r="U212" s="581">
        <v>29.5824</v>
      </c>
      <c r="V212" s="581"/>
      <c r="W212" s="581">
        <v>10.0956</v>
      </c>
      <c r="X212" s="564"/>
      <c r="Y212" s="564"/>
      <c r="Z212" s="564">
        <v>10.05</v>
      </c>
      <c r="AA212" s="563">
        <f t="shared" si="68"/>
        <v>12.0988</v>
      </c>
      <c r="AB212" s="581">
        <v>6.0588</v>
      </c>
      <c r="AC212" s="564"/>
      <c r="AD212" s="564">
        <v>2.54</v>
      </c>
      <c r="AE212" s="564"/>
      <c r="AF212" s="564">
        <v>3.5</v>
      </c>
      <c r="AG212" s="563">
        <f t="shared" si="69"/>
        <v>19.5753504</v>
      </c>
      <c r="AH212" s="564">
        <f t="shared" si="70"/>
        <v>7.317888</v>
      </c>
      <c r="AI212" s="564">
        <f t="shared" si="71"/>
        <v>3.658944</v>
      </c>
      <c r="AJ212" s="564">
        <f t="shared" si="72"/>
        <v>2.744208</v>
      </c>
      <c r="AK212" s="564">
        <f t="shared" si="73"/>
        <v>0.0914736</v>
      </c>
      <c r="AL212" s="564">
        <f t="shared" si="74"/>
        <v>0.2744208</v>
      </c>
      <c r="AM212" s="564">
        <f t="shared" si="75"/>
        <v>5.488416</v>
      </c>
      <c r="AN212" s="564"/>
      <c r="AO212" s="304"/>
    </row>
    <row r="213" s="130" customFormat="1" ht="24" spans="1:41">
      <c r="A213" s="1" t="s">
        <v>202</v>
      </c>
      <c r="B213" s="1" t="s">
        <v>483</v>
      </c>
      <c r="C213" s="1" t="s">
        <v>484</v>
      </c>
      <c r="D213" s="1" t="s">
        <v>485</v>
      </c>
      <c r="E213" s="563">
        <f t="shared" si="62"/>
        <v>252.51</v>
      </c>
      <c r="F213" s="564">
        <f t="shared" si="63"/>
        <v>0</v>
      </c>
      <c r="G213" s="564">
        <f t="shared" si="64"/>
        <v>0</v>
      </c>
      <c r="H213" s="564"/>
      <c r="I213" s="564"/>
      <c r="J213" s="564"/>
      <c r="K213" s="564"/>
      <c r="L213" s="564"/>
      <c r="M213" s="564"/>
      <c r="N213" s="563">
        <f t="shared" si="65"/>
        <v>0</v>
      </c>
      <c r="O213" s="564"/>
      <c r="P213" s="564"/>
      <c r="Q213" s="564"/>
      <c r="R213" s="564"/>
      <c r="S213" s="563">
        <f t="shared" si="66"/>
        <v>252.51</v>
      </c>
      <c r="T213" s="564">
        <f t="shared" si="67"/>
        <v>0</v>
      </c>
      <c r="U213" s="581"/>
      <c r="V213" s="581"/>
      <c r="W213" s="581"/>
      <c r="X213" s="564"/>
      <c r="Y213" s="564"/>
      <c r="Z213" s="564">
        <v>0</v>
      </c>
      <c r="AA213" s="563">
        <f t="shared" si="68"/>
        <v>252.51</v>
      </c>
      <c r="AB213" s="581"/>
      <c r="AC213" s="564">
        <f>222.21+30.3</f>
        <v>252.51</v>
      </c>
      <c r="AD213" s="564"/>
      <c r="AE213" s="564"/>
      <c r="AF213" s="564">
        <v>0</v>
      </c>
      <c r="AG213" s="563">
        <f t="shared" si="69"/>
        <v>0</v>
      </c>
      <c r="AH213" s="564">
        <f t="shared" si="70"/>
        <v>0</v>
      </c>
      <c r="AI213" s="564">
        <f t="shared" si="71"/>
        <v>0</v>
      </c>
      <c r="AJ213" s="564">
        <f t="shared" si="72"/>
        <v>0</v>
      </c>
      <c r="AK213" s="564">
        <f t="shared" si="73"/>
        <v>0</v>
      </c>
      <c r="AL213" s="564">
        <f t="shared" si="74"/>
        <v>0</v>
      </c>
      <c r="AM213" s="564">
        <f t="shared" si="75"/>
        <v>0</v>
      </c>
      <c r="AN213" s="564"/>
      <c r="AO213" s="377"/>
    </row>
    <row r="214" s="130" customFormat="1" ht="24" spans="1:41">
      <c r="A214" s="1" t="s">
        <v>202</v>
      </c>
      <c r="B214" s="1" t="s">
        <v>206</v>
      </c>
      <c r="C214" s="1" t="s">
        <v>486</v>
      </c>
      <c r="D214" s="1" t="s">
        <v>487</v>
      </c>
      <c r="E214" s="563">
        <f t="shared" si="62"/>
        <v>92.063744</v>
      </c>
      <c r="F214" s="564">
        <f t="shared" si="63"/>
        <v>0</v>
      </c>
      <c r="G214" s="564">
        <f t="shared" si="64"/>
        <v>0</v>
      </c>
      <c r="H214" s="564"/>
      <c r="I214" s="564"/>
      <c r="J214" s="564"/>
      <c r="K214" s="564"/>
      <c r="L214" s="564"/>
      <c r="M214" s="564"/>
      <c r="N214" s="563">
        <f t="shared" si="65"/>
        <v>0</v>
      </c>
      <c r="O214" s="564"/>
      <c r="P214" s="564"/>
      <c r="Q214" s="564"/>
      <c r="R214" s="564"/>
      <c r="S214" s="563">
        <f t="shared" si="66"/>
        <v>69.188</v>
      </c>
      <c r="T214" s="564">
        <f t="shared" si="67"/>
        <v>58.114</v>
      </c>
      <c r="U214" s="581">
        <v>34.5864</v>
      </c>
      <c r="V214" s="581"/>
      <c r="W214" s="581">
        <v>11.7876</v>
      </c>
      <c r="X214" s="564"/>
      <c r="Y214" s="564"/>
      <c r="Z214" s="564">
        <v>11.74</v>
      </c>
      <c r="AA214" s="563">
        <f t="shared" si="68"/>
        <v>11.074</v>
      </c>
      <c r="AB214" s="581">
        <v>7.074</v>
      </c>
      <c r="AC214" s="564"/>
      <c r="AD214" s="564"/>
      <c r="AE214" s="564"/>
      <c r="AF214" s="564">
        <v>4</v>
      </c>
      <c r="AG214" s="563">
        <f t="shared" si="69"/>
        <v>22.875744</v>
      </c>
      <c r="AH214" s="564">
        <f t="shared" si="70"/>
        <v>8.55168</v>
      </c>
      <c r="AI214" s="564">
        <f t="shared" si="71"/>
        <v>4.27584</v>
      </c>
      <c r="AJ214" s="564">
        <f t="shared" si="72"/>
        <v>3.20688</v>
      </c>
      <c r="AK214" s="564">
        <f t="shared" si="73"/>
        <v>0.106896</v>
      </c>
      <c r="AL214" s="564">
        <f t="shared" si="74"/>
        <v>0.320688</v>
      </c>
      <c r="AM214" s="564">
        <f t="shared" si="75"/>
        <v>6.41376</v>
      </c>
      <c r="AN214" s="564"/>
      <c r="AO214" s="304"/>
    </row>
    <row r="215" s="130" customFormat="1" ht="24" spans="1:41">
      <c r="A215" s="1" t="s">
        <v>202</v>
      </c>
      <c r="B215" s="1" t="s">
        <v>203</v>
      </c>
      <c r="C215" s="1" t="s">
        <v>488</v>
      </c>
      <c r="D215" s="1" t="s">
        <v>489</v>
      </c>
      <c r="E215" s="563">
        <f t="shared" si="62"/>
        <v>52.88428</v>
      </c>
      <c r="F215" s="564">
        <f t="shared" si="63"/>
        <v>40.83</v>
      </c>
      <c r="G215" s="564">
        <f t="shared" si="64"/>
        <v>36.63</v>
      </c>
      <c r="H215" s="581">
        <v>13.65</v>
      </c>
      <c r="I215" s="581">
        <v>9.46</v>
      </c>
      <c r="J215" s="581">
        <v>1.14</v>
      </c>
      <c r="K215" s="564"/>
      <c r="L215" s="564"/>
      <c r="M215" s="564">
        <v>12.38</v>
      </c>
      <c r="N215" s="563">
        <f t="shared" si="65"/>
        <v>4.2</v>
      </c>
      <c r="O215" s="564"/>
      <c r="P215" s="564"/>
      <c r="Q215" s="564">
        <v>2.2</v>
      </c>
      <c r="R215" s="564">
        <v>2</v>
      </c>
      <c r="S215" s="563">
        <f t="shared" si="66"/>
        <v>0</v>
      </c>
      <c r="T215" s="564">
        <f t="shared" si="67"/>
        <v>0</v>
      </c>
      <c r="U215" s="564"/>
      <c r="V215" s="564"/>
      <c r="W215" s="564"/>
      <c r="X215" s="564"/>
      <c r="Y215" s="564"/>
      <c r="Z215" s="564"/>
      <c r="AA215" s="563">
        <f t="shared" si="68"/>
        <v>0</v>
      </c>
      <c r="AB215" s="564"/>
      <c r="AC215" s="564"/>
      <c r="AD215" s="564"/>
      <c r="AE215" s="564"/>
      <c r="AF215" s="564"/>
      <c r="AG215" s="563">
        <f t="shared" si="69"/>
        <v>12.05428</v>
      </c>
      <c r="AH215" s="564">
        <f t="shared" si="70"/>
        <v>5.8608</v>
      </c>
      <c r="AI215" s="564">
        <f t="shared" si="71"/>
        <v>1.8488</v>
      </c>
      <c r="AJ215" s="564">
        <f t="shared" si="72"/>
        <v>1.3866</v>
      </c>
      <c r="AK215" s="564">
        <f t="shared" si="73"/>
        <v>0.04622</v>
      </c>
      <c r="AL215" s="564">
        <f t="shared" si="74"/>
        <v>0.13866</v>
      </c>
      <c r="AM215" s="564">
        <f t="shared" si="75"/>
        <v>2.7732</v>
      </c>
      <c r="AN215" s="564"/>
      <c r="AO215" s="304"/>
    </row>
    <row r="216" s="130" customFormat="1" ht="24" spans="1:41">
      <c r="A216" s="1" t="s">
        <v>202</v>
      </c>
      <c r="B216" s="1" t="s">
        <v>206</v>
      </c>
      <c r="C216" s="1" t="s">
        <v>490</v>
      </c>
      <c r="D216" s="1" t="s">
        <v>491</v>
      </c>
      <c r="E216" s="563">
        <f t="shared" si="62"/>
        <v>69.2046</v>
      </c>
      <c r="F216" s="564">
        <f t="shared" si="63"/>
        <v>0</v>
      </c>
      <c r="G216" s="564">
        <f t="shared" si="64"/>
        <v>0</v>
      </c>
      <c r="H216" s="564"/>
      <c r="I216" s="564"/>
      <c r="J216" s="564"/>
      <c r="K216" s="564"/>
      <c r="L216" s="564"/>
      <c r="M216" s="564"/>
      <c r="N216" s="563">
        <f t="shared" si="65"/>
        <v>0</v>
      </c>
      <c r="O216" s="564"/>
      <c r="P216" s="564"/>
      <c r="Q216" s="564"/>
      <c r="R216" s="564"/>
      <c r="S216" s="563">
        <f t="shared" si="66"/>
        <v>52.32</v>
      </c>
      <c r="T216" s="564">
        <f t="shared" si="67"/>
        <v>43.59</v>
      </c>
      <c r="U216" s="581">
        <v>25.5</v>
      </c>
      <c r="V216" s="581"/>
      <c r="W216" s="581">
        <v>8.72</v>
      </c>
      <c r="X216" s="564"/>
      <c r="Y216" s="564"/>
      <c r="Z216" s="564">
        <v>9.37</v>
      </c>
      <c r="AA216" s="563">
        <f t="shared" si="68"/>
        <v>8.73</v>
      </c>
      <c r="AB216" s="581">
        <v>5.23</v>
      </c>
      <c r="AC216" s="564"/>
      <c r="AD216" s="564"/>
      <c r="AE216" s="564"/>
      <c r="AF216" s="564">
        <v>3.5</v>
      </c>
      <c r="AG216" s="563">
        <f t="shared" si="69"/>
        <v>16.8846</v>
      </c>
      <c r="AH216" s="564">
        <f t="shared" si="70"/>
        <v>6.312</v>
      </c>
      <c r="AI216" s="564">
        <f t="shared" si="71"/>
        <v>3.156</v>
      </c>
      <c r="AJ216" s="564">
        <f t="shared" si="72"/>
        <v>2.367</v>
      </c>
      <c r="AK216" s="564">
        <f t="shared" si="73"/>
        <v>0.0789</v>
      </c>
      <c r="AL216" s="564">
        <f t="shared" si="74"/>
        <v>0.2367</v>
      </c>
      <c r="AM216" s="564">
        <f t="shared" si="75"/>
        <v>4.734</v>
      </c>
      <c r="AN216" s="564"/>
      <c r="AO216" s="304"/>
    </row>
    <row r="217" s="130" customFormat="1" ht="24" spans="1:41">
      <c r="A217" s="1" t="s">
        <v>202</v>
      </c>
      <c r="B217" s="1" t="s">
        <v>206</v>
      </c>
      <c r="C217" s="1" t="s">
        <v>492</v>
      </c>
      <c r="D217" s="1" t="s">
        <v>491</v>
      </c>
      <c r="E217" s="563">
        <f t="shared" si="62"/>
        <v>54.776344</v>
      </c>
      <c r="F217" s="564">
        <f t="shared" si="63"/>
        <v>0</v>
      </c>
      <c r="G217" s="564">
        <f t="shared" si="64"/>
        <v>0</v>
      </c>
      <c r="H217" s="564"/>
      <c r="I217" s="564"/>
      <c r="J217" s="564"/>
      <c r="K217" s="564"/>
      <c r="L217" s="564"/>
      <c r="M217" s="564"/>
      <c r="N217" s="563">
        <f t="shared" si="65"/>
        <v>0</v>
      </c>
      <c r="O217" s="564"/>
      <c r="P217" s="564"/>
      <c r="Q217" s="564"/>
      <c r="R217" s="564"/>
      <c r="S217" s="563">
        <f t="shared" si="66"/>
        <v>41.338</v>
      </c>
      <c r="T217" s="564">
        <f t="shared" si="67"/>
        <v>34.23</v>
      </c>
      <c r="U217" s="581">
        <v>19.11</v>
      </c>
      <c r="V217" s="581"/>
      <c r="W217" s="581">
        <v>7.68</v>
      </c>
      <c r="X217" s="564"/>
      <c r="Y217" s="564"/>
      <c r="Z217" s="564">
        <v>7.44</v>
      </c>
      <c r="AA217" s="563">
        <f t="shared" si="68"/>
        <v>7.108</v>
      </c>
      <c r="AB217" s="581">
        <f>W217/62.5*37.5</f>
        <v>4.608</v>
      </c>
      <c r="AC217" s="564"/>
      <c r="AD217" s="564"/>
      <c r="AE217" s="564"/>
      <c r="AF217" s="564">
        <v>2.5</v>
      </c>
      <c r="AG217" s="563">
        <f t="shared" si="69"/>
        <v>13.438344</v>
      </c>
      <c r="AH217" s="564">
        <f t="shared" si="70"/>
        <v>5.02368</v>
      </c>
      <c r="AI217" s="564">
        <f t="shared" si="71"/>
        <v>2.51184</v>
      </c>
      <c r="AJ217" s="564">
        <f t="shared" si="72"/>
        <v>1.88388</v>
      </c>
      <c r="AK217" s="564">
        <f t="shared" si="73"/>
        <v>0.062796</v>
      </c>
      <c r="AL217" s="564">
        <f t="shared" si="74"/>
        <v>0.188388</v>
      </c>
      <c r="AM217" s="564">
        <f t="shared" si="75"/>
        <v>3.76776</v>
      </c>
      <c r="AN217" s="564"/>
      <c r="AO217" s="304"/>
    </row>
    <row r="218" s="130" customFormat="1" ht="24" spans="1:41">
      <c r="A218" s="1" t="s">
        <v>202</v>
      </c>
      <c r="B218" s="1" t="s">
        <v>206</v>
      </c>
      <c r="C218" s="1" t="s">
        <v>493</v>
      </c>
      <c r="D218" s="1" t="s">
        <v>491</v>
      </c>
      <c r="E218" s="563">
        <f t="shared" si="62"/>
        <v>51.91423264</v>
      </c>
      <c r="F218" s="564">
        <f t="shared" si="63"/>
        <v>0</v>
      </c>
      <c r="G218" s="564">
        <f t="shared" si="64"/>
        <v>0</v>
      </c>
      <c r="H218" s="564"/>
      <c r="I218" s="564"/>
      <c r="J218" s="564"/>
      <c r="K218" s="564"/>
      <c r="L218" s="564"/>
      <c r="M218" s="564"/>
      <c r="N218" s="563">
        <f t="shared" si="65"/>
        <v>0</v>
      </c>
      <c r="O218" s="564"/>
      <c r="P218" s="564"/>
      <c r="Q218" s="564"/>
      <c r="R218" s="564"/>
      <c r="S218" s="563">
        <f t="shared" si="66"/>
        <v>39.16288</v>
      </c>
      <c r="T218" s="564">
        <f t="shared" si="67"/>
        <v>32.574</v>
      </c>
      <c r="U218" s="581">
        <f>1.5741*12</f>
        <v>18.8892</v>
      </c>
      <c r="V218" s="581"/>
      <c r="W218" s="581">
        <f>0.5679*12</f>
        <v>6.8148</v>
      </c>
      <c r="X218" s="564"/>
      <c r="Y218" s="564"/>
      <c r="Z218" s="564">
        <v>6.87</v>
      </c>
      <c r="AA218" s="563">
        <f t="shared" si="68"/>
        <v>6.58888</v>
      </c>
      <c r="AB218" s="581">
        <f>W218/62.5*37.5</f>
        <v>4.08888</v>
      </c>
      <c r="AC218" s="564"/>
      <c r="AD218" s="564"/>
      <c r="AE218" s="564"/>
      <c r="AF218" s="564">
        <v>2.5</v>
      </c>
      <c r="AG218" s="563">
        <f t="shared" si="69"/>
        <v>12.75135264</v>
      </c>
      <c r="AH218" s="564">
        <f t="shared" si="70"/>
        <v>4.7668608</v>
      </c>
      <c r="AI218" s="564">
        <f t="shared" si="71"/>
        <v>2.3834304</v>
      </c>
      <c r="AJ218" s="564">
        <f t="shared" si="72"/>
        <v>1.7875728</v>
      </c>
      <c r="AK218" s="564">
        <f t="shared" si="73"/>
        <v>0.05958576</v>
      </c>
      <c r="AL218" s="564">
        <f t="shared" si="74"/>
        <v>0.17875728</v>
      </c>
      <c r="AM218" s="564">
        <f t="shared" si="75"/>
        <v>3.5751456</v>
      </c>
      <c r="AN218" s="564"/>
      <c r="AO218" s="304"/>
    </row>
    <row r="219" s="130" customFormat="1" ht="24" spans="1:41">
      <c r="A219" s="1" t="s">
        <v>202</v>
      </c>
      <c r="B219" s="1" t="s">
        <v>206</v>
      </c>
      <c r="C219" s="1" t="s">
        <v>494</v>
      </c>
      <c r="D219" s="1" t="s">
        <v>491</v>
      </c>
      <c r="E219" s="563">
        <f t="shared" si="62"/>
        <v>46.35512</v>
      </c>
      <c r="F219" s="564">
        <f t="shared" si="63"/>
        <v>0</v>
      </c>
      <c r="G219" s="564">
        <f t="shared" si="64"/>
        <v>0</v>
      </c>
      <c r="H219" s="564"/>
      <c r="I219" s="564"/>
      <c r="J219" s="564"/>
      <c r="K219" s="564"/>
      <c r="L219" s="564"/>
      <c r="M219" s="564"/>
      <c r="N219" s="563">
        <f t="shared" si="65"/>
        <v>0</v>
      </c>
      <c r="O219" s="564"/>
      <c r="P219" s="564"/>
      <c r="Q219" s="564"/>
      <c r="R219" s="564"/>
      <c r="S219" s="563">
        <f t="shared" si="66"/>
        <v>35.21</v>
      </c>
      <c r="T219" s="564">
        <f t="shared" si="67"/>
        <v>28.77</v>
      </c>
      <c r="U219" s="581">
        <v>15.53</v>
      </c>
      <c r="V219" s="581"/>
      <c r="W219" s="581">
        <v>6.57</v>
      </c>
      <c r="X219" s="564"/>
      <c r="Y219" s="564"/>
      <c r="Z219" s="564">
        <v>6.67</v>
      </c>
      <c r="AA219" s="563">
        <f t="shared" si="68"/>
        <v>6.44</v>
      </c>
      <c r="AB219" s="581">
        <v>3.94</v>
      </c>
      <c r="AC219" s="564"/>
      <c r="AD219" s="564"/>
      <c r="AE219" s="564"/>
      <c r="AF219" s="564">
        <v>2.5</v>
      </c>
      <c r="AG219" s="563">
        <f t="shared" si="69"/>
        <v>11.14512</v>
      </c>
      <c r="AH219" s="564">
        <f t="shared" si="70"/>
        <v>4.1664</v>
      </c>
      <c r="AI219" s="564">
        <f t="shared" si="71"/>
        <v>2.0832</v>
      </c>
      <c r="AJ219" s="564">
        <f t="shared" si="72"/>
        <v>1.5624</v>
      </c>
      <c r="AK219" s="564">
        <f t="shared" si="73"/>
        <v>0.05208</v>
      </c>
      <c r="AL219" s="564">
        <f t="shared" si="74"/>
        <v>0.15624</v>
      </c>
      <c r="AM219" s="564">
        <f t="shared" si="75"/>
        <v>3.1248</v>
      </c>
      <c r="AN219" s="564"/>
      <c r="AO219" s="304"/>
    </row>
    <row r="220" s="130" customFormat="1" ht="24" spans="1:41">
      <c r="A220" s="1" t="s">
        <v>202</v>
      </c>
      <c r="B220" s="1" t="s">
        <v>206</v>
      </c>
      <c r="C220" s="1" t="s">
        <v>495</v>
      </c>
      <c r="D220" s="1" t="s">
        <v>496</v>
      </c>
      <c r="E220" s="563">
        <f t="shared" si="62"/>
        <v>170.0969824</v>
      </c>
      <c r="F220" s="564">
        <f t="shared" si="63"/>
        <v>0</v>
      </c>
      <c r="G220" s="564">
        <f t="shared" si="64"/>
        <v>0</v>
      </c>
      <c r="H220" s="564"/>
      <c r="I220" s="564"/>
      <c r="J220" s="564"/>
      <c r="K220" s="564"/>
      <c r="L220" s="564"/>
      <c r="M220" s="564"/>
      <c r="N220" s="563">
        <f t="shared" si="65"/>
        <v>0</v>
      </c>
      <c r="O220" s="564"/>
      <c r="P220" s="564"/>
      <c r="Q220" s="564"/>
      <c r="R220" s="564"/>
      <c r="S220" s="563">
        <f t="shared" si="66"/>
        <v>133.209888</v>
      </c>
      <c r="T220" s="564">
        <f t="shared" si="67"/>
        <v>93.7548</v>
      </c>
      <c r="U220" s="581">
        <v>53.8992</v>
      </c>
      <c r="V220" s="581"/>
      <c r="W220" s="581">
        <v>20.1756</v>
      </c>
      <c r="X220" s="564"/>
      <c r="Y220" s="564"/>
      <c r="Z220" s="564">
        <v>19.68</v>
      </c>
      <c r="AA220" s="563">
        <f t="shared" si="68"/>
        <v>39.455088</v>
      </c>
      <c r="AB220" s="581">
        <v>12.11</v>
      </c>
      <c r="AC220" s="564"/>
      <c r="AD220" s="581">
        <v>20.345088</v>
      </c>
      <c r="AE220" s="564"/>
      <c r="AF220" s="564">
        <v>7</v>
      </c>
      <c r="AG220" s="563">
        <f t="shared" si="69"/>
        <v>36.8870944</v>
      </c>
      <c r="AH220" s="564">
        <f t="shared" si="70"/>
        <v>13.789568</v>
      </c>
      <c r="AI220" s="564">
        <f t="shared" si="71"/>
        <v>6.894784</v>
      </c>
      <c r="AJ220" s="564">
        <f t="shared" si="72"/>
        <v>5.171088</v>
      </c>
      <c r="AK220" s="564">
        <f t="shared" si="73"/>
        <v>0.1723696</v>
      </c>
      <c r="AL220" s="564">
        <f t="shared" si="74"/>
        <v>0.5171088</v>
      </c>
      <c r="AM220" s="564">
        <f t="shared" si="75"/>
        <v>10.342176</v>
      </c>
      <c r="AN220" s="564"/>
      <c r="AO220" s="304"/>
    </row>
    <row r="221" s="130" customFormat="1" ht="24" spans="1:41">
      <c r="A221" s="1" t="s">
        <v>202</v>
      </c>
      <c r="B221" s="1" t="s">
        <v>206</v>
      </c>
      <c r="C221" s="1" t="s">
        <v>497</v>
      </c>
      <c r="D221" s="1" t="s">
        <v>498</v>
      </c>
      <c r="E221" s="563">
        <f t="shared" si="62"/>
        <v>115.1525168</v>
      </c>
      <c r="F221" s="564">
        <f t="shared" si="63"/>
        <v>0</v>
      </c>
      <c r="G221" s="564">
        <f t="shared" si="64"/>
        <v>0</v>
      </c>
      <c r="H221" s="564"/>
      <c r="I221" s="564"/>
      <c r="J221" s="564"/>
      <c r="K221" s="564"/>
      <c r="L221" s="564"/>
      <c r="M221" s="564"/>
      <c r="N221" s="563">
        <f t="shared" si="65"/>
        <v>0</v>
      </c>
      <c r="O221" s="564"/>
      <c r="P221" s="564"/>
      <c r="Q221" s="564"/>
      <c r="R221" s="564"/>
      <c r="S221" s="563">
        <f t="shared" si="66"/>
        <v>86.4356</v>
      </c>
      <c r="T221" s="564">
        <f t="shared" si="67"/>
        <v>72.0156</v>
      </c>
      <c r="U221" s="585">
        <v>46</v>
      </c>
      <c r="V221" s="586">
        <v>0.084</v>
      </c>
      <c r="W221" s="581">
        <v>13.1316</v>
      </c>
      <c r="X221" s="564"/>
      <c r="Y221" s="564"/>
      <c r="Z221" s="564">
        <v>12.8</v>
      </c>
      <c r="AA221" s="563">
        <f t="shared" si="68"/>
        <v>14.42</v>
      </c>
      <c r="AB221" s="564">
        <v>7.88</v>
      </c>
      <c r="AC221" s="564"/>
      <c r="AD221" s="587">
        <v>2.54</v>
      </c>
      <c r="AE221" s="564"/>
      <c r="AF221" s="564">
        <v>4</v>
      </c>
      <c r="AG221" s="563">
        <f t="shared" si="69"/>
        <v>28.7169168</v>
      </c>
      <c r="AH221" s="564">
        <f t="shared" si="70"/>
        <v>10.735296</v>
      </c>
      <c r="AI221" s="564">
        <f t="shared" si="71"/>
        <v>5.367648</v>
      </c>
      <c r="AJ221" s="564">
        <f t="shared" si="72"/>
        <v>4.025736</v>
      </c>
      <c r="AK221" s="564">
        <f t="shared" si="73"/>
        <v>0.1341912</v>
      </c>
      <c r="AL221" s="564">
        <f t="shared" si="74"/>
        <v>0.4025736</v>
      </c>
      <c r="AM221" s="564">
        <f t="shared" si="75"/>
        <v>8.051472</v>
      </c>
      <c r="AN221" s="564"/>
      <c r="AO221" s="304"/>
    </row>
    <row r="222" s="130" customFormat="1" ht="36" spans="1:41">
      <c r="A222" s="1" t="s">
        <v>202</v>
      </c>
      <c r="B222" s="1" t="s">
        <v>203</v>
      </c>
      <c r="C222" s="1" t="s">
        <v>499</v>
      </c>
      <c r="D222" s="1" t="s">
        <v>500</v>
      </c>
      <c r="E222" s="563">
        <f t="shared" si="62"/>
        <v>586.72376</v>
      </c>
      <c r="F222" s="564">
        <f t="shared" si="63"/>
        <v>18.81</v>
      </c>
      <c r="G222" s="564">
        <f t="shared" si="64"/>
        <v>16.71</v>
      </c>
      <c r="H222" s="564">
        <v>5.74</v>
      </c>
      <c r="I222" s="564">
        <v>4.41</v>
      </c>
      <c r="J222" s="564">
        <v>0.48</v>
      </c>
      <c r="K222" s="564"/>
      <c r="L222" s="564"/>
      <c r="M222" s="564">
        <v>6.08</v>
      </c>
      <c r="N222" s="563">
        <f t="shared" si="65"/>
        <v>2.1</v>
      </c>
      <c r="O222" s="564"/>
      <c r="P222" s="564"/>
      <c r="Q222" s="564">
        <v>1.1</v>
      </c>
      <c r="R222" s="564">
        <v>1</v>
      </c>
      <c r="S222" s="563">
        <f t="shared" si="66"/>
        <v>437.8</v>
      </c>
      <c r="T222" s="564">
        <f t="shared" si="67"/>
        <v>318.86</v>
      </c>
      <c r="U222" s="564">
        <v>184.39</v>
      </c>
      <c r="V222" s="564"/>
      <c r="W222" s="564">
        <v>66.05</v>
      </c>
      <c r="X222" s="564"/>
      <c r="Y222" s="564"/>
      <c r="Z222" s="564">
        <v>68.42</v>
      </c>
      <c r="AA222" s="563">
        <f t="shared" si="68"/>
        <v>118.94</v>
      </c>
      <c r="AB222" s="564">
        <v>39.63</v>
      </c>
      <c r="AC222" s="564"/>
      <c r="AD222" s="564">
        <v>40.69</v>
      </c>
      <c r="AE222" s="564">
        <v>15.12</v>
      </c>
      <c r="AF222" s="564">
        <v>23.5</v>
      </c>
      <c r="AG222" s="563">
        <f t="shared" si="69"/>
        <v>130.11376</v>
      </c>
      <c r="AH222" s="564">
        <f t="shared" si="70"/>
        <v>49.0848</v>
      </c>
      <c r="AI222" s="564">
        <f t="shared" si="71"/>
        <v>24.0176</v>
      </c>
      <c r="AJ222" s="564">
        <f t="shared" si="72"/>
        <v>18.0132</v>
      </c>
      <c r="AK222" s="564">
        <f t="shared" si="73"/>
        <v>0.60044</v>
      </c>
      <c r="AL222" s="564">
        <f t="shared" si="74"/>
        <v>1.80132</v>
      </c>
      <c r="AM222" s="564">
        <f t="shared" si="75"/>
        <v>36.0264</v>
      </c>
      <c r="AN222" s="564">
        <v>0.57</v>
      </c>
      <c r="AO222" s="342" t="s">
        <v>501</v>
      </c>
    </row>
    <row r="223" s="130" customFormat="1" ht="24" spans="1:41">
      <c r="A223" s="1" t="s">
        <v>202</v>
      </c>
      <c r="B223" s="1" t="s">
        <v>206</v>
      </c>
      <c r="C223" s="1" t="s">
        <v>502</v>
      </c>
      <c r="D223" s="1" t="s">
        <v>503</v>
      </c>
      <c r="E223" s="563">
        <f t="shared" si="62"/>
        <v>34.43288</v>
      </c>
      <c r="F223" s="564">
        <f t="shared" si="63"/>
        <v>0</v>
      </c>
      <c r="G223" s="564">
        <f t="shared" si="64"/>
        <v>0</v>
      </c>
      <c r="H223" s="564"/>
      <c r="I223" s="564"/>
      <c r="J223" s="564"/>
      <c r="K223" s="564"/>
      <c r="L223" s="564"/>
      <c r="M223" s="564"/>
      <c r="N223" s="563">
        <f t="shared" si="65"/>
        <v>0</v>
      </c>
      <c r="O223" s="564"/>
      <c r="P223" s="564"/>
      <c r="Q223" s="564"/>
      <c r="R223" s="564"/>
      <c r="S223" s="563">
        <f t="shared" si="66"/>
        <v>28.03</v>
      </c>
      <c r="T223" s="564">
        <f t="shared" si="67"/>
        <v>16.59</v>
      </c>
      <c r="U223" s="581">
        <v>8.81</v>
      </c>
      <c r="V223" s="581"/>
      <c r="W223" s="581">
        <v>3.84</v>
      </c>
      <c r="X223" s="564"/>
      <c r="Y223" s="564"/>
      <c r="Z223" s="564">
        <v>3.94</v>
      </c>
      <c r="AA223" s="563">
        <f t="shared" si="68"/>
        <v>11.44</v>
      </c>
      <c r="AB223" s="581">
        <v>2.31</v>
      </c>
      <c r="AC223" s="581"/>
      <c r="AD223" s="581">
        <v>7.63</v>
      </c>
      <c r="AE223" s="564"/>
      <c r="AF223" s="564">
        <v>1.5</v>
      </c>
      <c r="AG223" s="563">
        <f t="shared" si="69"/>
        <v>6.40288</v>
      </c>
      <c r="AH223" s="564">
        <f t="shared" si="70"/>
        <v>2.3936</v>
      </c>
      <c r="AI223" s="564">
        <f t="shared" si="71"/>
        <v>1.1968</v>
      </c>
      <c r="AJ223" s="564">
        <f t="shared" si="72"/>
        <v>0.8976</v>
      </c>
      <c r="AK223" s="564">
        <f t="shared" si="73"/>
        <v>0.02992</v>
      </c>
      <c r="AL223" s="564">
        <f t="shared" si="74"/>
        <v>0.08976</v>
      </c>
      <c r="AM223" s="564">
        <f t="shared" si="75"/>
        <v>1.7952</v>
      </c>
      <c r="AN223" s="564"/>
      <c r="AO223" s="304"/>
    </row>
    <row r="224" s="508" customFormat="1" ht="21" customHeight="1" spans="1:42">
      <c r="A224" s="525"/>
      <c r="B224" s="525"/>
      <c r="C224" s="525" t="s">
        <v>132</v>
      </c>
      <c r="D224" s="526">
        <v>208</v>
      </c>
      <c r="E224" s="561">
        <f t="shared" ref="E224:AN224" si="77">SUM(E225:E236)</f>
        <v>3859.48814752</v>
      </c>
      <c r="F224" s="561">
        <f t="shared" si="77"/>
        <v>501.2224</v>
      </c>
      <c r="G224" s="561">
        <f t="shared" si="77"/>
        <v>453.2524</v>
      </c>
      <c r="H224" s="561">
        <f t="shared" si="77"/>
        <v>191.2624</v>
      </c>
      <c r="I224" s="561">
        <f t="shared" si="77"/>
        <v>116.86</v>
      </c>
      <c r="J224" s="561">
        <f t="shared" si="77"/>
        <v>16.07</v>
      </c>
      <c r="K224" s="561">
        <f t="shared" si="77"/>
        <v>0</v>
      </c>
      <c r="L224" s="561">
        <f t="shared" si="77"/>
        <v>0</v>
      </c>
      <c r="M224" s="561">
        <f t="shared" si="77"/>
        <v>129.06</v>
      </c>
      <c r="N224" s="561">
        <f t="shared" si="77"/>
        <v>47.97</v>
      </c>
      <c r="O224" s="561">
        <f t="shared" si="77"/>
        <v>10.17</v>
      </c>
      <c r="P224" s="561">
        <f t="shared" si="77"/>
        <v>0</v>
      </c>
      <c r="Q224" s="561">
        <f t="shared" si="77"/>
        <v>19.8</v>
      </c>
      <c r="R224" s="561">
        <f t="shared" si="77"/>
        <v>18</v>
      </c>
      <c r="S224" s="561">
        <f t="shared" si="77"/>
        <v>554.92944</v>
      </c>
      <c r="T224" s="561">
        <f t="shared" si="77"/>
        <v>472</v>
      </c>
      <c r="U224" s="561">
        <f t="shared" si="77"/>
        <v>274.0376</v>
      </c>
      <c r="V224" s="561">
        <f t="shared" si="77"/>
        <v>10.9824</v>
      </c>
      <c r="W224" s="561">
        <f t="shared" si="77"/>
        <v>88.17</v>
      </c>
      <c r="X224" s="561">
        <f t="shared" si="77"/>
        <v>0</v>
      </c>
      <c r="Y224" s="561">
        <f t="shared" si="77"/>
        <v>0</v>
      </c>
      <c r="Z224" s="561">
        <f t="shared" si="77"/>
        <v>98.81</v>
      </c>
      <c r="AA224" s="561">
        <f t="shared" si="77"/>
        <v>82.92944</v>
      </c>
      <c r="AB224" s="561">
        <f t="shared" si="77"/>
        <v>47.92944</v>
      </c>
      <c r="AC224" s="561">
        <f t="shared" si="77"/>
        <v>0</v>
      </c>
      <c r="AD224" s="561">
        <f t="shared" si="77"/>
        <v>0</v>
      </c>
      <c r="AE224" s="561">
        <f t="shared" si="77"/>
        <v>0</v>
      </c>
      <c r="AF224" s="561">
        <f t="shared" si="77"/>
        <v>35</v>
      </c>
      <c r="AG224" s="561">
        <f t="shared" si="77"/>
        <v>2803.33630752</v>
      </c>
      <c r="AH224" s="561">
        <f t="shared" si="77"/>
        <v>139.8994944</v>
      </c>
      <c r="AI224" s="561">
        <f t="shared" si="77"/>
        <v>58.3393472</v>
      </c>
      <c r="AJ224" s="561">
        <f t="shared" si="77"/>
        <v>43.7545104</v>
      </c>
      <c r="AK224" s="561">
        <f t="shared" si="77"/>
        <v>1.45848368</v>
      </c>
      <c r="AL224" s="561">
        <f t="shared" si="77"/>
        <v>4.37545104</v>
      </c>
      <c r="AM224" s="561">
        <f t="shared" si="77"/>
        <v>87.5090208</v>
      </c>
      <c r="AN224" s="561">
        <f t="shared" si="77"/>
        <v>2468</v>
      </c>
      <c r="AO224" s="334"/>
      <c r="AP224" s="580"/>
    </row>
    <row r="225" s="130" customFormat="1" ht="24" spans="1:41">
      <c r="A225" s="1" t="s">
        <v>504</v>
      </c>
      <c r="B225" s="1" t="s">
        <v>203</v>
      </c>
      <c r="C225" s="1" t="s">
        <v>505</v>
      </c>
      <c r="D225" s="1" t="s">
        <v>506</v>
      </c>
      <c r="E225" s="563">
        <f t="shared" ref="E225:E236" si="78">F225+S225+AG225</f>
        <v>308.955</v>
      </c>
      <c r="F225" s="564">
        <f t="shared" ref="F225:F236" si="79">G225+N225</f>
        <v>236.32</v>
      </c>
      <c r="G225" s="564">
        <f t="shared" ref="G225:G236" si="80">SUM(H225:M225)</f>
        <v>216.37</v>
      </c>
      <c r="H225" s="564">
        <v>87.73</v>
      </c>
      <c r="I225" s="564">
        <v>54.12</v>
      </c>
      <c r="J225" s="564">
        <v>7.31</v>
      </c>
      <c r="K225" s="564"/>
      <c r="L225" s="564"/>
      <c r="M225" s="564">
        <v>67.21</v>
      </c>
      <c r="N225" s="563">
        <f t="shared" ref="N225:N236" si="81">SUM(O225:R225)</f>
        <v>19.95</v>
      </c>
      <c r="O225" s="564"/>
      <c r="P225" s="564"/>
      <c r="Q225" s="564">
        <v>10.45</v>
      </c>
      <c r="R225" s="564">
        <v>9.5</v>
      </c>
      <c r="S225" s="563">
        <f t="shared" ref="S225:S236" si="82">T225+AA225</f>
        <v>0</v>
      </c>
      <c r="T225" s="564">
        <f t="shared" ref="T225:T236" si="83">SUM(U225:Z225)</f>
        <v>0</v>
      </c>
      <c r="U225" s="564"/>
      <c r="V225" s="564"/>
      <c r="W225" s="564"/>
      <c r="X225" s="564"/>
      <c r="Y225" s="564"/>
      <c r="Z225" s="564"/>
      <c r="AA225" s="563">
        <f t="shared" ref="AA225:AA236" si="84">SUM(AB225:AF225)</f>
        <v>0</v>
      </c>
      <c r="AB225" s="564"/>
      <c r="AC225" s="564"/>
      <c r="AD225" s="564"/>
      <c r="AE225" s="564"/>
      <c r="AF225" s="564"/>
      <c r="AG225" s="563">
        <f t="shared" ref="AG225:AG236" si="85">SUM(AH225:AN225)</f>
        <v>72.635</v>
      </c>
      <c r="AH225" s="564">
        <f t="shared" ref="AH225:AH236" si="86">(H225+I225+J225+U225+V225+W225+AB225+M225)*0.16</f>
        <v>34.6192</v>
      </c>
      <c r="AI225" s="564">
        <f t="shared" ref="AI225:AI236" si="87">(H225+I225+U225+V225+W225+AB225)*0.08</f>
        <v>11.348</v>
      </c>
      <c r="AJ225" s="564">
        <f t="shared" ref="AJ225:AJ236" si="88">(H225+I225+U225+V225+W225+AB225)*0.06</f>
        <v>8.511</v>
      </c>
      <c r="AK225" s="564">
        <f t="shared" ref="AK225:AK236" si="89">(H225+I225+U225+V225+W225+AB225)*0.002</f>
        <v>0.2837</v>
      </c>
      <c r="AL225" s="564">
        <f t="shared" ref="AL225:AL236" si="90">(H225+I225+U225+V225+W225+AB225)*0.006</f>
        <v>0.8511</v>
      </c>
      <c r="AM225" s="564">
        <f t="shared" ref="AM225:AM236" si="91">(H225+I225+U225+V225+W225+AB225)*0.12</f>
        <v>17.022</v>
      </c>
      <c r="AN225" s="564"/>
      <c r="AO225" s="304"/>
    </row>
    <row r="226" s="130" customFormat="1" ht="24" spans="1:41">
      <c r="A226" s="1" t="s">
        <v>504</v>
      </c>
      <c r="B226" s="1" t="s">
        <v>206</v>
      </c>
      <c r="C226" s="1" t="s">
        <v>507</v>
      </c>
      <c r="D226" s="1" t="s">
        <v>508</v>
      </c>
      <c r="E226" s="563">
        <f t="shared" si="78"/>
        <v>135.08612</v>
      </c>
      <c r="F226" s="564">
        <f t="shared" si="79"/>
        <v>0</v>
      </c>
      <c r="G226" s="564">
        <f t="shared" si="80"/>
        <v>0</v>
      </c>
      <c r="H226" s="564"/>
      <c r="I226" s="564"/>
      <c r="J226" s="564"/>
      <c r="K226" s="564"/>
      <c r="L226" s="564"/>
      <c r="M226" s="564"/>
      <c r="N226" s="563">
        <f t="shared" si="81"/>
        <v>0</v>
      </c>
      <c r="O226" s="564"/>
      <c r="P226" s="564"/>
      <c r="Q226" s="564"/>
      <c r="R226" s="564"/>
      <c r="S226" s="563">
        <f t="shared" si="82"/>
        <v>102.22</v>
      </c>
      <c r="T226" s="564">
        <f t="shared" si="83"/>
        <v>85.21</v>
      </c>
      <c r="U226" s="564">
        <v>48.76</v>
      </c>
      <c r="V226" s="564">
        <v>0</v>
      </c>
      <c r="W226" s="564">
        <v>17.52</v>
      </c>
      <c r="X226" s="564"/>
      <c r="Y226" s="564"/>
      <c r="Z226" s="564">
        <v>18.93</v>
      </c>
      <c r="AA226" s="563">
        <f t="shared" si="84"/>
        <v>17.01</v>
      </c>
      <c r="AB226" s="564">
        <v>10.51</v>
      </c>
      <c r="AC226" s="564"/>
      <c r="AD226" s="564"/>
      <c r="AE226" s="564"/>
      <c r="AF226" s="564">
        <v>6.5</v>
      </c>
      <c r="AG226" s="563">
        <f t="shared" si="85"/>
        <v>32.86612</v>
      </c>
      <c r="AH226" s="564">
        <f t="shared" si="86"/>
        <v>12.2864</v>
      </c>
      <c r="AI226" s="564">
        <f t="shared" si="87"/>
        <v>6.1432</v>
      </c>
      <c r="AJ226" s="564">
        <f t="shared" si="88"/>
        <v>4.6074</v>
      </c>
      <c r="AK226" s="564">
        <f t="shared" si="89"/>
        <v>0.15358</v>
      </c>
      <c r="AL226" s="564">
        <f t="shared" si="90"/>
        <v>0.46074</v>
      </c>
      <c r="AM226" s="564">
        <f t="shared" si="91"/>
        <v>9.2148</v>
      </c>
      <c r="AN226" s="564"/>
      <c r="AO226" s="304"/>
    </row>
    <row r="227" s="130" customFormat="1" ht="24" spans="1:41">
      <c r="A227" s="1" t="s">
        <v>504</v>
      </c>
      <c r="B227" s="1" t="s">
        <v>206</v>
      </c>
      <c r="C227" s="1" t="s">
        <v>509</v>
      </c>
      <c r="D227" s="1" t="s">
        <v>510</v>
      </c>
      <c r="E227" s="563">
        <f t="shared" si="78"/>
        <v>89.3062</v>
      </c>
      <c r="F227" s="564">
        <f t="shared" si="79"/>
        <v>0</v>
      </c>
      <c r="G227" s="564">
        <f t="shared" si="80"/>
        <v>0</v>
      </c>
      <c r="H227" s="564"/>
      <c r="I227" s="564"/>
      <c r="J227" s="564"/>
      <c r="K227" s="564"/>
      <c r="L227" s="564"/>
      <c r="M227" s="564"/>
      <c r="N227" s="563">
        <f t="shared" si="81"/>
        <v>0</v>
      </c>
      <c r="O227" s="564"/>
      <c r="P227" s="564"/>
      <c r="Q227" s="564"/>
      <c r="R227" s="564"/>
      <c r="S227" s="563">
        <f t="shared" si="82"/>
        <v>67.2</v>
      </c>
      <c r="T227" s="564">
        <f t="shared" si="83"/>
        <v>56.09</v>
      </c>
      <c r="U227" s="582">
        <v>32.7</v>
      </c>
      <c r="V227" s="582">
        <v>0</v>
      </c>
      <c r="W227" s="582">
        <v>11.84</v>
      </c>
      <c r="X227" s="564"/>
      <c r="Y227" s="564"/>
      <c r="Z227" s="564">
        <v>11.55</v>
      </c>
      <c r="AA227" s="563">
        <f t="shared" si="84"/>
        <v>11.11</v>
      </c>
      <c r="AB227" s="564">
        <v>7.11</v>
      </c>
      <c r="AC227" s="564"/>
      <c r="AD227" s="564"/>
      <c r="AE227" s="564"/>
      <c r="AF227" s="564">
        <v>4</v>
      </c>
      <c r="AG227" s="563">
        <f t="shared" si="85"/>
        <v>22.1062</v>
      </c>
      <c r="AH227" s="564">
        <f t="shared" si="86"/>
        <v>8.264</v>
      </c>
      <c r="AI227" s="564">
        <f t="shared" si="87"/>
        <v>4.132</v>
      </c>
      <c r="AJ227" s="564">
        <f t="shared" si="88"/>
        <v>3.099</v>
      </c>
      <c r="AK227" s="564">
        <f t="shared" si="89"/>
        <v>0.1033</v>
      </c>
      <c r="AL227" s="564">
        <f t="shared" si="90"/>
        <v>0.3099</v>
      </c>
      <c r="AM227" s="564">
        <f t="shared" si="91"/>
        <v>6.198</v>
      </c>
      <c r="AN227" s="564"/>
      <c r="AO227" s="304"/>
    </row>
    <row r="228" s="130" customFormat="1" ht="24" spans="1:41">
      <c r="A228" s="1" t="s">
        <v>504</v>
      </c>
      <c r="B228" s="1" t="s">
        <v>206</v>
      </c>
      <c r="C228" s="1" t="s">
        <v>511</v>
      </c>
      <c r="D228" s="1" t="s">
        <v>512</v>
      </c>
      <c r="E228" s="563">
        <f t="shared" si="78"/>
        <v>2536.06608</v>
      </c>
      <c r="F228" s="564">
        <f t="shared" si="79"/>
        <v>0</v>
      </c>
      <c r="G228" s="564">
        <f t="shared" si="80"/>
        <v>0</v>
      </c>
      <c r="H228" s="564"/>
      <c r="I228" s="564"/>
      <c r="J228" s="564"/>
      <c r="K228" s="564"/>
      <c r="L228" s="564"/>
      <c r="M228" s="564"/>
      <c r="N228" s="563">
        <f t="shared" si="81"/>
        <v>0</v>
      </c>
      <c r="O228" s="564"/>
      <c r="P228" s="564"/>
      <c r="Q228" s="564"/>
      <c r="R228" s="564"/>
      <c r="S228" s="563">
        <f t="shared" si="82"/>
        <v>51.22</v>
      </c>
      <c r="T228" s="564">
        <f t="shared" si="83"/>
        <v>42.84</v>
      </c>
      <c r="U228" s="582">
        <v>25.02</v>
      </c>
      <c r="V228" s="582"/>
      <c r="W228" s="582">
        <v>8.96</v>
      </c>
      <c r="X228" s="564"/>
      <c r="Y228" s="564"/>
      <c r="Z228" s="564">
        <v>8.86</v>
      </c>
      <c r="AA228" s="563">
        <f t="shared" si="84"/>
        <v>8.38</v>
      </c>
      <c r="AB228" s="564">
        <v>5.38</v>
      </c>
      <c r="AC228" s="564"/>
      <c r="AD228" s="564"/>
      <c r="AE228" s="564"/>
      <c r="AF228" s="564">
        <v>3</v>
      </c>
      <c r="AG228" s="563">
        <f t="shared" si="85"/>
        <v>2484.84608</v>
      </c>
      <c r="AH228" s="564">
        <f t="shared" si="86"/>
        <v>6.2976</v>
      </c>
      <c r="AI228" s="564">
        <f t="shared" si="87"/>
        <v>3.1488</v>
      </c>
      <c r="AJ228" s="564">
        <f t="shared" si="88"/>
        <v>2.3616</v>
      </c>
      <c r="AK228" s="564">
        <f t="shared" si="89"/>
        <v>0.07872</v>
      </c>
      <c r="AL228" s="564">
        <f t="shared" si="90"/>
        <v>0.23616</v>
      </c>
      <c r="AM228" s="564">
        <f t="shared" si="91"/>
        <v>4.7232</v>
      </c>
      <c r="AN228" s="564">
        <v>2468</v>
      </c>
      <c r="AO228" s="304"/>
    </row>
    <row r="229" s="130" customFormat="1" ht="24" spans="1:41">
      <c r="A229" s="1" t="s">
        <v>504</v>
      </c>
      <c r="B229" s="1" t="s">
        <v>206</v>
      </c>
      <c r="C229" s="1" t="s">
        <v>513</v>
      </c>
      <c r="D229" s="1" t="s">
        <v>512</v>
      </c>
      <c r="E229" s="563">
        <f t="shared" si="78"/>
        <v>120.5616</v>
      </c>
      <c r="F229" s="564">
        <f t="shared" si="79"/>
        <v>0</v>
      </c>
      <c r="G229" s="564">
        <f t="shared" si="80"/>
        <v>0</v>
      </c>
      <c r="H229" s="564"/>
      <c r="I229" s="564"/>
      <c r="J229" s="564"/>
      <c r="K229" s="564"/>
      <c r="L229" s="564"/>
      <c r="M229" s="564"/>
      <c r="N229" s="563">
        <f t="shared" si="81"/>
        <v>0</v>
      </c>
      <c r="O229" s="564"/>
      <c r="P229" s="564"/>
      <c r="Q229" s="564"/>
      <c r="R229" s="564"/>
      <c r="S229" s="563">
        <f t="shared" si="82"/>
        <v>90.73</v>
      </c>
      <c r="T229" s="564">
        <f t="shared" si="83"/>
        <v>75.81</v>
      </c>
      <c r="U229" s="564">
        <v>44.58</v>
      </c>
      <c r="V229" s="564"/>
      <c r="W229" s="564">
        <v>15.7</v>
      </c>
      <c r="X229" s="564"/>
      <c r="Y229" s="564"/>
      <c r="Z229" s="564">
        <v>15.53</v>
      </c>
      <c r="AA229" s="563">
        <f t="shared" si="84"/>
        <v>14.92</v>
      </c>
      <c r="AB229" s="564">
        <v>9.42</v>
      </c>
      <c r="AC229" s="564"/>
      <c r="AD229" s="564"/>
      <c r="AE229" s="564"/>
      <c r="AF229" s="564">
        <v>5.5</v>
      </c>
      <c r="AG229" s="563">
        <f t="shared" si="85"/>
        <v>29.8316</v>
      </c>
      <c r="AH229" s="564">
        <f t="shared" si="86"/>
        <v>11.152</v>
      </c>
      <c r="AI229" s="564">
        <f t="shared" si="87"/>
        <v>5.576</v>
      </c>
      <c r="AJ229" s="564">
        <f t="shared" si="88"/>
        <v>4.182</v>
      </c>
      <c r="AK229" s="564">
        <f t="shared" si="89"/>
        <v>0.1394</v>
      </c>
      <c r="AL229" s="564">
        <f t="shared" si="90"/>
        <v>0.4182</v>
      </c>
      <c r="AM229" s="564">
        <f t="shared" si="91"/>
        <v>8.364</v>
      </c>
      <c r="AN229" s="564"/>
      <c r="AO229" s="304"/>
    </row>
    <row r="230" s="130" customFormat="1" ht="48" spans="1:41">
      <c r="A230" s="1" t="s">
        <v>504</v>
      </c>
      <c r="B230" s="1" t="s">
        <v>203</v>
      </c>
      <c r="C230" s="1" t="s">
        <v>514</v>
      </c>
      <c r="D230" s="1" t="s">
        <v>515</v>
      </c>
      <c r="E230" s="563">
        <f t="shared" si="78"/>
        <v>143.3301584</v>
      </c>
      <c r="F230" s="564">
        <f t="shared" si="79"/>
        <v>110.9536</v>
      </c>
      <c r="G230" s="564">
        <f t="shared" si="80"/>
        <v>93.4336</v>
      </c>
      <c r="H230" s="564">
        <v>41.004</v>
      </c>
      <c r="I230" s="564">
        <v>24.0228</v>
      </c>
      <c r="J230" s="564">
        <v>3.5468</v>
      </c>
      <c r="K230" s="564"/>
      <c r="L230" s="564"/>
      <c r="M230" s="564">
        <v>24.86</v>
      </c>
      <c r="N230" s="563">
        <f t="shared" si="81"/>
        <v>17.52</v>
      </c>
      <c r="O230" s="564">
        <v>10.17</v>
      </c>
      <c r="P230" s="564"/>
      <c r="Q230" s="564">
        <v>3.85</v>
      </c>
      <c r="R230" s="564">
        <v>3.5</v>
      </c>
      <c r="S230" s="563">
        <f t="shared" si="82"/>
        <v>0</v>
      </c>
      <c r="T230" s="564">
        <f t="shared" si="83"/>
        <v>0</v>
      </c>
      <c r="U230" s="564"/>
      <c r="V230" s="564"/>
      <c r="W230" s="564"/>
      <c r="X230" s="564"/>
      <c r="Y230" s="564"/>
      <c r="Z230" s="564"/>
      <c r="AA230" s="563">
        <f t="shared" si="84"/>
        <v>0</v>
      </c>
      <c r="AB230" s="564"/>
      <c r="AC230" s="564"/>
      <c r="AD230" s="564"/>
      <c r="AE230" s="564"/>
      <c r="AF230" s="564"/>
      <c r="AG230" s="563">
        <f t="shared" si="85"/>
        <v>32.3765584</v>
      </c>
      <c r="AH230" s="564">
        <f t="shared" si="86"/>
        <v>14.949376</v>
      </c>
      <c r="AI230" s="564">
        <f t="shared" si="87"/>
        <v>5.202144</v>
      </c>
      <c r="AJ230" s="564">
        <f t="shared" si="88"/>
        <v>3.901608</v>
      </c>
      <c r="AK230" s="564">
        <f t="shared" si="89"/>
        <v>0.1300536</v>
      </c>
      <c r="AL230" s="564">
        <f t="shared" si="90"/>
        <v>0.3901608</v>
      </c>
      <c r="AM230" s="564">
        <f t="shared" si="91"/>
        <v>7.803216</v>
      </c>
      <c r="AN230" s="564"/>
      <c r="AO230" s="304" t="s">
        <v>728</v>
      </c>
    </row>
    <row r="231" s="130" customFormat="1" ht="24" spans="1:41">
      <c r="A231" s="1" t="s">
        <v>504</v>
      </c>
      <c r="B231" s="1" t="s">
        <v>206</v>
      </c>
      <c r="C231" s="1" t="s">
        <v>517</v>
      </c>
      <c r="D231" s="1" t="s">
        <v>518</v>
      </c>
      <c r="E231" s="563">
        <f t="shared" si="78"/>
        <v>221.85356</v>
      </c>
      <c r="F231" s="564">
        <f t="shared" si="79"/>
        <v>0</v>
      </c>
      <c r="G231" s="564">
        <f t="shared" si="80"/>
        <v>0</v>
      </c>
      <c r="H231" s="564"/>
      <c r="I231" s="564"/>
      <c r="J231" s="564"/>
      <c r="K231" s="564"/>
      <c r="L231" s="564"/>
      <c r="M231" s="564"/>
      <c r="N231" s="563">
        <f t="shared" si="81"/>
        <v>0</v>
      </c>
      <c r="O231" s="564"/>
      <c r="P231" s="564"/>
      <c r="Q231" s="564"/>
      <c r="R231" s="564"/>
      <c r="S231" s="563">
        <f t="shared" si="82"/>
        <v>167.81</v>
      </c>
      <c r="T231" s="564">
        <f t="shared" si="83"/>
        <v>149.38</v>
      </c>
      <c r="U231" s="582">
        <v>87.14</v>
      </c>
      <c r="V231" s="582"/>
      <c r="W231" s="582">
        <v>31.7</v>
      </c>
      <c r="X231" s="564"/>
      <c r="Y231" s="564"/>
      <c r="Z231" s="564">
        <v>30.54</v>
      </c>
      <c r="AA231" s="563">
        <f t="shared" si="84"/>
        <v>18.43</v>
      </c>
      <c r="AB231" s="582">
        <v>7.43</v>
      </c>
      <c r="AC231" s="564"/>
      <c r="AD231" s="564"/>
      <c r="AE231" s="564"/>
      <c r="AF231" s="564">
        <v>11</v>
      </c>
      <c r="AG231" s="563">
        <f t="shared" si="85"/>
        <v>54.04356</v>
      </c>
      <c r="AH231" s="564">
        <f t="shared" si="86"/>
        <v>20.2032</v>
      </c>
      <c r="AI231" s="564">
        <f t="shared" si="87"/>
        <v>10.1016</v>
      </c>
      <c r="AJ231" s="564">
        <f t="shared" si="88"/>
        <v>7.5762</v>
      </c>
      <c r="AK231" s="564">
        <f t="shared" si="89"/>
        <v>0.25254</v>
      </c>
      <c r="AL231" s="564">
        <f t="shared" si="90"/>
        <v>0.75762</v>
      </c>
      <c r="AM231" s="564">
        <f t="shared" si="91"/>
        <v>15.1524</v>
      </c>
      <c r="AN231" s="564"/>
      <c r="AO231" s="304"/>
    </row>
    <row r="232" s="130" customFormat="1" ht="24" spans="1:41">
      <c r="A232" s="1" t="s">
        <v>504</v>
      </c>
      <c r="B232" s="1" t="s">
        <v>203</v>
      </c>
      <c r="C232" s="1" t="s">
        <v>519</v>
      </c>
      <c r="D232" s="1" t="s">
        <v>520</v>
      </c>
      <c r="E232" s="563">
        <f t="shared" si="78"/>
        <v>87.7633424</v>
      </c>
      <c r="F232" s="564">
        <f t="shared" si="79"/>
        <v>66.862</v>
      </c>
      <c r="G232" s="564">
        <f t="shared" si="80"/>
        <v>61.612</v>
      </c>
      <c r="H232" s="582">
        <v>25.9824</v>
      </c>
      <c r="I232" s="582">
        <v>15.2244</v>
      </c>
      <c r="J232" s="582">
        <v>2.1652</v>
      </c>
      <c r="K232" s="564"/>
      <c r="L232" s="564"/>
      <c r="M232" s="564">
        <v>18.24</v>
      </c>
      <c r="N232" s="563">
        <f t="shared" si="81"/>
        <v>5.25</v>
      </c>
      <c r="O232" s="582"/>
      <c r="P232" s="582"/>
      <c r="Q232" s="564">
        <v>2.75</v>
      </c>
      <c r="R232" s="564">
        <v>2.5</v>
      </c>
      <c r="S232" s="563">
        <f t="shared" si="82"/>
        <v>0</v>
      </c>
      <c r="T232" s="564">
        <f t="shared" si="83"/>
        <v>0</v>
      </c>
      <c r="U232" s="564"/>
      <c r="V232" s="564"/>
      <c r="W232" s="564"/>
      <c r="X232" s="564"/>
      <c r="Y232" s="564"/>
      <c r="Z232" s="564"/>
      <c r="AA232" s="563">
        <f t="shared" si="84"/>
        <v>0</v>
      </c>
      <c r="AB232" s="564"/>
      <c r="AC232" s="564"/>
      <c r="AD232" s="564"/>
      <c r="AE232" s="564"/>
      <c r="AF232" s="564"/>
      <c r="AG232" s="563">
        <f t="shared" si="85"/>
        <v>20.9013424</v>
      </c>
      <c r="AH232" s="564">
        <f t="shared" si="86"/>
        <v>9.85792</v>
      </c>
      <c r="AI232" s="564">
        <f t="shared" si="87"/>
        <v>3.296544</v>
      </c>
      <c r="AJ232" s="564">
        <f t="shared" si="88"/>
        <v>2.472408</v>
      </c>
      <c r="AK232" s="564">
        <f t="shared" si="89"/>
        <v>0.0824136</v>
      </c>
      <c r="AL232" s="564">
        <f t="shared" si="90"/>
        <v>0.2472408</v>
      </c>
      <c r="AM232" s="564">
        <f t="shared" si="91"/>
        <v>4.944816</v>
      </c>
      <c r="AN232" s="564"/>
      <c r="AO232" s="304"/>
    </row>
    <row r="233" s="130" customFormat="1" ht="24" spans="1:42">
      <c r="A233" s="1" t="s">
        <v>504</v>
      </c>
      <c r="B233" s="1" t="s">
        <v>206</v>
      </c>
      <c r="C233" s="1" t="s">
        <v>521</v>
      </c>
      <c r="D233" s="1" t="s">
        <v>522</v>
      </c>
      <c r="E233" s="563">
        <f t="shared" si="78"/>
        <v>20.05056</v>
      </c>
      <c r="F233" s="564">
        <f t="shared" si="79"/>
        <v>0</v>
      </c>
      <c r="G233" s="564">
        <f t="shared" si="80"/>
        <v>0</v>
      </c>
      <c r="H233" s="564"/>
      <c r="I233" s="564"/>
      <c r="J233" s="564"/>
      <c r="K233" s="564"/>
      <c r="L233" s="564"/>
      <c r="M233" s="564"/>
      <c r="N233" s="563">
        <f t="shared" si="81"/>
        <v>0</v>
      </c>
      <c r="O233" s="582"/>
      <c r="P233" s="582"/>
      <c r="Q233" s="564"/>
      <c r="R233" s="564"/>
      <c r="S233" s="563">
        <f t="shared" si="82"/>
        <v>15.12</v>
      </c>
      <c r="T233" s="564">
        <f t="shared" si="83"/>
        <v>12.63</v>
      </c>
      <c r="U233" s="582">
        <v>7.58</v>
      </c>
      <c r="V233" s="582"/>
      <c r="W233" s="564">
        <v>2.45</v>
      </c>
      <c r="X233" s="564"/>
      <c r="Y233" s="564"/>
      <c r="Z233" s="564">
        <v>2.6</v>
      </c>
      <c r="AA233" s="563">
        <f t="shared" si="84"/>
        <v>2.49</v>
      </c>
      <c r="AB233" s="582">
        <v>1.49</v>
      </c>
      <c r="AC233" s="564"/>
      <c r="AD233" s="564"/>
      <c r="AE233" s="564"/>
      <c r="AF233" s="564">
        <v>1</v>
      </c>
      <c r="AG233" s="563">
        <f t="shared" si="85"/>
        <v>4.93056</v>
      </c>
      <c r="AH233" s="564">
        <f t="shared" si="86"/>
        <v>1.8432</v>
      </c>
      <c r="AI233" s="564">
        <f t="shared" si="87"/>
        <v>0.9216</v>
      </c>
      <c r="AJ233" s="564">
        <f t="shared" si="88"/>
        <v>0.6912</v>
      </c>
      <c r="AK233" s="564">
        <f t="shared" si="89"/>
        <v>0.02304</v>
      </c>
      <c r="AL233" s="564">
        <f t="shared" si="90"/>
        <v>0.06912</v>
      </c>
      <c r="AM233" s="564">
        <f t="shared" si="91"/>
        <v>1.3824</v>
      </c>
      <c r="AN233" s="564"/>
      <c r="AO233" s="304"/>
      <c r="AP233" s="130" t="s">
        <v>729</v>
      </c>
    </row>
    <row r="234" s="130" customFormat="1" spans="1:41">
      <c r="A234" s="1" t="s">
        <v>504</v>
      </c>
      <c r="B234" s="1" t="s">
        <v>203</v>
      </c>
      <c r="C234" s="1" t="s">
        <v>523</v>
      </c>
      <c r="D234" s="1" t="s">
        <v>524</v>
      </c>
      <c r="E234" s="563">
        <f t="shared" si="78"/>
        <v>30.15732</v>
      </c>
      <c r="F234" s="564">
        <f t="shared" si="79"/>
        <v>21.31</v>
      </c>
      <c r="G234" s="564">
        <f t="shared" si="80"/>
        <v>21.31</v>
      </c>
      <c r="H234" s="582">
        <v>12.21</v>
      </c>
      <c r="I234" s="582">
        <v>8.08</v>
      </c>
      <c r="J234" s="582">
        <v>1.02</v>
      </c>
      <c r="K234" s="582"/>
      <c r="L234" s="564"/>
      <c r="M234" s="564"/>
      <c r="N234" s="563">
        <f t="shared" si="81"/>
        <v>0</v>
      </c>
      <c r="O234" s="564"/>
      <c r="P234" s="564"/>
      <c r="Q234" s="564"/>
      <c r="R234" s="564"/>
      <c r="S234" s="563">
        <f t="shared" si="82"/>
        <v>0</v>
      </c>
      <c r="T234" s="564">
        <f t="shared" si="83"/>
        <v>0</v>
      </c>
      <c r="U234" s="564"/>
      <c r="V234" s="564"/>
      <c r="W234" s="564"/>
      <c r="X234" s="564"/>
      <c r="Y234" s="564"/>
      <c r="Z234" s="564"/>
      <c r="AA234" s="563">
        <f t="shared" si="84"/>
        <v>0</v>
      </c>
      <c r="AB234" s="564"/>
      <c r="AC234" s="564"/>
      <c r="AD234" s="564"/>
      <c r="AE234" s="564"/>
      <c r="AF234" s="564"/>
      <c r="AG234" s="563">
        <f t="shared" si="85"/>
        <v>8.84732</v>
      </c>
      <c r="AH234" s="564">
        <f t="shared" si="86"/>
        <v>3.4096</v>
      </c>
      <c r="AI234" s="564">
        <f t="shared" si="87"/>
        <v>1.6232</v>
      </c>
      <c r="AJ234" s="564">
        <f t="shared" si="88"/>
        <v>1.2174</v>
      </c>
      <c r="AK234" s="564">
        <f t="shared" si="89"/>
        <v>0.04058</v>
      </c>
      <c r="AL234" s="564">
        <f t="shared" si="90"/>
        <v>0.12174</v>
      </c>
      <c r="AM234" s="564">
        <f t="shared" si="91"/>
        <v>2.4348</v>
      </c>
      <c r="AN234" s="564"/>
      <c r="AO234" s="304"/>
    </row>
    <row r="235" s="130" customFormat="1" spans="1:41">
      <c r="A235" s="1" t="s">
        <v>504</v>
      </c>
      <c r="B235" s="1" t="s">
        <v>203</v>
      </c>
      <c r="C235" s="1" t="s">
        <v>525</v>
      </c>
      <c r="D235" s="1" t="s">
        <v>526</v>
      </c>
      <c r="E235" s="563">
        <f t="shared" si="78"/>
        <v>86.1137664</v>
      </c>
      <c r="F235" s="564">
        <f t="shared" si="79"/>
        <v>65.7768</v>
      </c>
      <c r="G235" s="564">
        <f t="shared" si="80"/>
        <v>60.5268</v>
      </c>
      <c r="H235" s="582">
        <v>24.336</v>
      </c>
      <c r="I235" s="583">
        <v>15.4128</v>
      </c>
      <c r="J235" s="584">
        <v>2.028</v>
      </c>
      <c r="K235" s="564"/>
      <c r="L235" s="564"/>
      <c r="M235" s="564">
        <v>18.75</v>
      </c>
      <c r="N235" s="563">
        <f t="shared" si="81"/>
        <v>5.25</v>
      </c>
      <c r="O235" s="564"/>
      <c r="P235" s="564"/>
      <c r="Q235" s="564">
        <v>2.75</v>
      </c>
      <c r="R235" s="564">
        <v>2.5</v>
      </c>
      <c r="S235" s="563">
        <f t="shared" si="82"/>
        <v>0</v>
      </c>
      <c r="T235" s="564">
        <f t="shared" si="83"/>
        <v>0</v>
      </c>
      <c r="U235" s="564"/>
      <c r="V235" s="564"/>
      <c r="W235" s="564"/>
      <c r="X235" s="564"/>
      <c r="Y235" s="564"/>
      <c r="Z235" s="564"/>
      <c r="AA235" s="563">
        <f t="shared" si="84"/>
        <v>0</v>
      </c>
      <c r="AB235" s="564"/>
      <c r="AC235" s="564"/>
      <c r="AD235" s="564"/>
      <c r="AE235" s="564"/>
      <c r="AF235" s="564"/>
      <c r="AG235" s="563">
        <f t="shared" si="85"/>
        <v>20.3369664</v>
      </c>
      <c r="AH235" s="564">
        <f t="shared" si="86"/>
        <v>9.684288</v>
      </c>
      <c r="AI235" s="564">
        <f t="shared" si="87"/>
        <v>3.179904</v>
      </c>
      <c r="AJ235" s="564">
        <f t="shared" si="88"/>
        <v>2.384928</v>
      </c>
      <c r="AK235" s="564">
        <f t="shared" si="89"/>
        <v>0.0794976</v>
      </c>
      <c r="AL235" s="564">
        <f t="shared" si="90"/>
        <v>0.2384928</v>
      </c>
      <c r="AM235" s="564">
        <f t="shared" si="91"/>
        <v>4.769856</v>
      </c>
      <c r="AN235" s="564"/>
      <c r="AO235" s="304"/>
    </row>
    <row r="236" s="130" customFormat="1" spans="1:41">
      <c r="A236" s="1" t="s">
        <v>504</v>
      </c>
      <c r="B236" s="1" t="s">
        <v>206</v>
      </c>
      <c r="C236" s="1" t="s">
        <v>527</v>
      </c>
      <c r="D236" s="1" t="s">
        <v>528</v>
      </c>
      <c r="E236" s="563">
        <f t="shared" si="78"/>
        <v>80.24444032</v>
      </c>
      <c r="F236" s="564">
        <f t="shared" si="79"/>
        <v>0</v>
      </c>
      <c r="G236" s="564">
        <f t="shared" si="80"/>
        <v>0</v>
      </c>
      <c r="H236" s="564"/>
      <c r="I236" s="564"/>
      <c r="J236" s="564"/>
      <c r="K236" s="564"/>
      <c r="L236" s="564"/>
      <c r="M236" s="564"/>
      <c r="N236" s="563">
        <f t="shared" si="81"/>
        <v>0</v>
      </c>
      <c r="O236" s="564"/>
      <c r="P236" s="566"/>
      <c r="Q236" s="564"/>
      <c r="R236" s="564"/>
      <c r="S236" s="563">
        <f t="shared" si="82"/>
        <v>60.62944</v>
      </c>
      <c r="T236" s="564">
        <f t="shared" si="83"/>
        <v>50.04</v>
      </c>
      <c r="U236" s="583">
        <v>28.2576</v>
      </c>
      <c r="V236" s="583">
        <v>10.9824</v>
      </c>
      <c r="W236" s="564"/>
      <c r="X236" s="564"/>
      <c r="Y236" s="564"/>
      <c r="Z236" s="564">
        <v>10.8</v>
      </c>
      <c r="AA236" s="563">
        <f t="shared" si="84"/>
        <v>10.58944</v>
      </c>
      <c r="AB236" s="583">
        <v>6.58944</v>
      </c>
      <c r="AC236" s="564"/>
      <c r="AD236" s="564"/>
      <c r="AE236" s="577"/>
      <c r="AF236" s="564">
        <v>4</v>
      </c>
      <c r="AG236" s="563">
        <f t="shared" si="85"/>
        <v>19.61500032</v>
      </c>
      <c r="AH236" s="564">
        <f t="shared" si="86"/>
        <v>7.3327104</v>
      </c>
      <c r="AI236" s="564">
        <f t="shared" si="87"/>
        <v>3.6663552</v>
      </c>
      <c r="AJ236" s="564">
        <f t="shared" si="88"/>
        <v>2.7497664</v>
      </c>
      <c r="AK236" s="564">
        <f t="shared" si="89"/>
        <v>0.09165888</v>
      </c>
      <c r="AL236" s="564">
        <f t="shared" si="90"/>
        <v>0.27497664</v>
      </c>
      <c r="AM236" s="564">
        <f t="shared" si="91"/>
        <v>5.4995328</v>
      </c>
      <c r="AN236" s="564"/>
      <c r="AO236" s="304"/>
    </row>
    <row r="237" s="508" customFormat="1" ht="21" customHeight="1" spans="1:42">
      <c r="A237" s="525"/>
      <c r="B237" s="525"/>
      <c r="C237" s="525" t="s">
        <v>133</v>
      </c>
      <c r="D237" s="526">
        <v>210</v>
      </c>
      <c r="E237" s="561">
        <f t="shared" ref="E237:AN237" si="92">SUM(E238:E262)</f>
        <v>6070.1403444</v>
      </c>
      <c r="F237" s="561">
        <f t="shared" si="92"/>
        <v>402.8124</v>
      </c>
      <c r="G237" s="561">
        <f t="shared" si="92"/>
        <v>364.5724</v>
      </c>
      <c r="H237" s="561">
        <f t="shared" si="92"/>
        <v>145.0552</v>
      </c>
      <c r="I237" s="561">
        <f t="shared" si="92"/>
        <v>88.1076</v>
      </c>
      <c r="J237" s="561">
        <f t="shared" si="92"/>
        <v>12.3696</v>
      </c>
      <c r="K237" s="561">
        <f t="shared" si="92"/>
        <v>0</v>
      </c>
      <c r="L237" s="561">
        <f t="shared" si="92"/>
        <v>0</v>
      </c>
      <c r="M237" s="561">
        <f t="shared" si="92"/>
        <v>119.04</v>
      </c>
      <c r="N237" s="561">
        <f t="shared" si="92"/>
        <v>38.24</v>
      </c>
      <c r="O237" s="561">
        <f t="shared" si="92"/>
        <v>2.54</v>
      </c>
      <c r="P237" s="561">
        <f t="shared" si="92"/>
        <v>0</v>
      </c>
      <c r="Q237" s="561">
        <f t="shared" si="92"/>
        <v>18.7</v>
      </c>
      <c r="R237" s="561">
        <f t="shared" si="92"/>
        <v>17</v>
      </c>
      <c r="S237" s="561">
        <f t="shared" si="92"/>
        <v>4203.2425</v>
      </c>
      <c r="T237" s="561">
        <f t="shared" si="92"/>
        <v>3473.7088</v>
      </c>
      <c r="U237" s="561">
        <f t="shared" si="92"/>
        <v>1950.2492</v>
      </c>
      <c r="V237" s="561">
        <f t="shared" si="92"/>
        <v>40.2704</v>
      </c>
      <c r="W237" s="561">
        <f t="shared" si="92"/>
        <v>717.4592</v>
      </c>
      <c r="X237" s="561">
        <f t="shared" si="92"/>
        <v>114.48</v>
      </c>
      <c r="Y237" s="561">
        <f t="shared" si="92"/>
        <v>22.43</v>
      </c>
      <c r="Z237" s="561">
        <f t="shared" si="92"/>
        <v>628.82</v>
      </c>
      <c r="AA237" s="561">
        <f t="shared" si="92"/>
        <v>729.5337</v>
      </c>
      <c r="AB237" s="561">
        <f t="shared" si="92"/>
        <v>430.4937</v>
      </c>
      <c r="AC237" s="561">
        <f t="shared" si="92"/>
        <v>0</v>
      </c>
      <c r="AD237" s="561">
        <f t="shared" si="92"/>
        <v>2.54</v>
      </c>
      <c r="AE237" s="561">
        <f t="shared" si="92"/>
        <v>80</v>
      </c>
      <c r="AF237" s="561">
        <f t="shared" si="92"/>
        <v>216.5</v>
      </c>
      <c r="AG237" s="561">
        <f t="shared" si="92"/>
        <v>1464.0854444</v>
      </c>
      <c r="AH237" s="561">
        <f t="shared" si="92"/>
        <v>560.487184</v>
      </c>
      <c r="AI237" s="561">
        <f t="shared" si="92"/>
        <v>269.730824</v>
      </c>
      <c r="AJ237" s="561">
        <f t="shared" si="92"/>
        <v>202.298118</v>
      </c>
      <c r="AK237" s="561">
        <f t="shared" si="92"/>
        <v>6.7432706</v>
      </c>
      <c r="AL237" s="561">
        <f t="shared" si="92"/>
        <v>20.2298118</v>
      </c>
      <c r="AM237" s="561">
        <f t="shared" si="92"/>
        <v>404.596236</v>
      </c>
      <c r="AN237" s="561">
        <f t="shared" si="92"/>
        <v>0</v>
      </c>
      <c r="AO237" s="334"/>
      <c r="AP237" s="580"/>
    </row>
    <row r="238" s="130" customFormat="1" spans="1:41">
      <c r="A238" s="1" t="s">
        <v>504</v>
      </c>
      <c r="B238" s="1" t="s">
        <v>203</v>
      </c>
      <c r="C238" s="1" t="s">
        <v>529</v>
      </c>
      <c r="D238" s="1" t="s">
        <v>530</v>
      </c>
      <c r="E238" s="565">
        <f t="shared" ref="E238:E262" si="93">F238+S238+AG238</f>
        <v>291.33864</v>
      </c>
      <c r="F238" s="564">
        <f t="shared" ref="F238:F262" si="94">G238+N238</f>
        <v>224.13</v>
      </c>
      <c r="G238" s="564">
        <f t="shared" ref="G238:G262" si="95">SUM(H238:M238)</f>
        <v>204.18</v>
      </c>
      <c r="H238" s="582">
        <v>80.96</v>
      </c>
      <c r="I238" s="582">
        <v>47.92</v>
      </c>
      <c r="J238" s="582">
        <v>7.03</v>
      </c>
      <c r="K238" s="564"/>
      <c r="L238" s="564"/>
      <c r="M238" s="564">
        <v>68.27</v>
      </c>
      <c r="N238" s="563">
        <f t="shared" ref="N238:N262" si="96">SUM(O238:R238)</f>
        <v>19.95</v>
      </c>
      <c r="O238" s="564"/>
      <c r="P238" s="564"/>
      <c r="Q238" s="564">
        <v>10.45</v>
      </c>
      <c r="R238" s="564">
        <v>9.5</v>
      </c>
      <c r="S238" s="563">
        <f t="shared" ref="S238:S262" si="97">T238+AA238</f>
        <v>0</v>
      </c>
      <c r="T238" s="564">
        <f t="shared" ref="T238:T262" si="98">SUM(U238:Z238)</f>
        <v>0</v>
      </c>
      <c r="U238" s="564"/>
      <c r="V238" s="564"/>
      <c r="W238" s="564"/>
      <c r="X238" s="564"/>
      <c r="Y238" s="564"/>
      <c r="Z238" s="564"/>
      <c r="AA238" s="563">
        <f t="shared" ref="AA238:AA262" si="99">SUM(AB238:AF238)</f>
        <v>0</v>
      </c>
      <c r="AB238" s="564"/>
      <c r="AC238" s="564"/>
      <c r="AD238" s="564"/>
      <c r="AE238" s="564"/>
      <c r="AF238" s="564"/>
      <c r="AG238" s="563">
        <f t="shared" ref="AG238:AG262" si="100">SUM(AH238:AN238)</f>
        <v>67.20864</v>
      </c>
      <c r="AH238" s="564">
        <f t="shared" ref="AH238:AH262" si="101">(H238+I238+J238+U238+V238+W238+AB238+M238)*0.16</f>
        <v>32.6688</v>
      </c>
      <c r="AI238" s="564">
        <f t="shared" ref="AI238:AI262" si="102">(H238+I238+U238+V238+W238+AB238)*0.08</f>
        <v>10.3104</v>
      </c>
      <c r="AJ238" s="564">
        <f t="shared" ref="AJ238:AJ262" si="103">(H238+I238+U238+V238+W238+AB238)*0.06</f>
        <v>7.7328</v>
      </c>
      <c r="AK238" s="564">
        <f t="shared" ref="AK238:AK262" si="104">(H238+I238+U238+V238+W238+AB238)*0.002</f>
        <v>0.25776</v>
      </c>
      <c r="AL238" s="564">
        <f t="shared" ref="AL238:AL262" si="105">(H238+I238+U238+V238+W238+AB238)*0.006</f>
        <v>0.77328</v>
      </c>
      <c r="AM238" s="564">
        <f t="shared" ref="AM238:AM262" si="106">(H238+I238+U238+V238+W238+AB238)*0.12</f>
        <v>15.4656</v>
      </c>
      <c r="AN238" s="564"/>
      <c r="AO238" s="304"/>
    </row>
    <row r="239" s="130" customFormat="1" spans="1:41">
      <c r="A239" s="1" t="s">
        <v>504</v>
      </c>
      <c r="B239" s="1" t="s">
        <v>206</v>
      </c>
      <c r="C239" s="1" t="s">
        <v>531</v>
      </c>
      <c r="D239" s="1" t="s">
        <v>532</v>
      </c>
      <c r="E239" s="565">
        <f t="shared" si="93"/>
        <v>296.7784</v>
      </c>
      <c r="F239" s="564">
        <f t="shared" si="94"/>
        <v>0</v>
      </c>
      <c r="G239" s="564">
        <f t="shared" si="95"/>
        <v>0</v>
      </c>
      <c r="H239" s="564"/>
      <c r="I239" s="564"/>
      <c r="J239" s="564"/>
      <c r="K239" s="564"/>
      <c r="L239" s="564"/>
      <c r="M239" s="564"/>
      <c r="N239" s="563">
        <f t="shared" si="96"/>
        <v>0</v>
      </c>
      <c r="O239" s="564"/>
      <c r="P239" s="566"/>
      <c r="Q239" s="564"/>
      <c r="R239" s="564"/>
      <c r="S239" s="563">
        <f t="shared" si="97"/>
        <v>222.82</v>
      </c>
      <c r="T239" s="564">
        <f t="shared" si="98"/>
        <v>187.23</v>
      </c>
      <c r="U239" s="582">
        <v>111.24</v>
      </c>
      <c r="V239" s="582"/>
      <c r="W239" s="582">
        <v>38.47</v>
      </c>
      <c r="X239" s="582"/>
      <c r="Y239" s="582">
        <v>0.01</v>
      </c>
      <c r="Z239" s="564">
        <v>37.51</v>
      </c>
      <c r="AA239" s="563">
        <f t="shared" si="99"/>
        <v>35.59</v>
      </c>
      <c r="AB239" s="582">
        <v>23.09</v>
      </c>
      <c r="AC239" s="564"/>
      <c r="AD239" s="564"/>
      <c r="AE239" s="577"/>
      <c r="AF239" s="564">
        <v>12.5</v>
      </c>
      <c r="AG239" s="563">
        <f t="shared" si="100"/>
        <v>73.9584</v>
      </c>
      <c r="AH239" s="564">
        <f t="shared" si="101"/>
        <v>27.648</v>
      </c>
      <c r="AI239" s="564">
        <f t="shared" si="102"/>
        <v>13.824</v>
      </c>
      <c r="AJ239" s="564">
        <f t="shared" si="103"/>
        <v>10.368</v>
      </c>
      <c r="AK239" s="564">
        <f t="shared" si="104"/>
        <v>0.3456</v>
      </c>
      <c r="AL239" s="564">
        <f t="shared" si="105"/>
        <v>1.0368</v>
      </c>
      <c r="AM239" s="564">
        <f t="shared" si="106"/>
        <v>20.736</v>
      </c>
      <c r="AN239" s="564"/>
      <c r="AO239" s="304"/>
    </row>
    <row r="240" s="130" customFormat="1" spans="1:41">
      <c r="A240" s="1" t="s">
        <v>504</v>
      </c>
      <c r="B240" s="1" t="s">
        <v>483</v>
      </c>
      <c r="C240" s="1" t="s">
        <v>533</v>
      </c>
      <c r="D240" s="1" t="s">
        <v>534</v>
      </c>
      <c r="E240" s="565">
        <f t="shared" si="93"/>
        <v>0</v>
      </c>
      <c r="F240" s="564">
        <f t="shared" si="94"/>
        <v>0</v>
      </c>
      <c r="G240" s="564">
        <f t="shared" si="95"/>
        <v>0</v>
      </c>
      <c r="H240" s="564"/>
      <c r="I240" s="564"/>
      <c r="J240" s="564"/>
      <c r="K240" s="564"/>
      <c r="L240" s="564"/>
      <c r="M240" s="564"/>
      <c r="N240" s="563">
        <f t="shared" si="96"/>
        <v>0</v>
      </c>
      <c r="O240" s="564"/>
      <c r="P240" s="564"/>
      <c r="Q240" s="564"/>
      <c r="R240" s="564"/>
      <c r="S240" s="563">
        <f t="shared" si="97"/>
        <v>0</v>
      </c>
      <c r="T240" s="564">
        <f t="shared" si="98"/>
        <v>0</v>
      </c>
      <c r="U240" s="564"/>
      <c r="V240" s="564"/>
      <c r="W240" s="564"/>
      <c r="X240" s="564"/>
      <c r="Y240" s="564"/>
      <c r="Z240" s="564"/>
      <c r="AA240" s="563">
        <f t="shared" si="99"/>
        <v>0</v>
      </c>
      <c r="AB240" s="564"/>
      <c r="AC240" s="564"/>
      <c r="AD240" s="564"/>
      <c r="AE240" s="564"/>
      <c r="AF240" s="564"/>
      <c r="AG240" s="563">
        <f t="shared" si="100"/>
        <v>0</v>
      </c>
      <c r="AH240" s="564">
        <f t="shared" si="101"/>
        <v>0</v>
      </c>
      <c r="AI240" s="564">
        <f t="shared" si="102"/>
        <v>0</v>
      </c>
      <c r="AJ240" s="564">
        <f t="shared" si="103"/>
        <v>0</v>
      </c>
      <c r="AK240" s="564">
        <f t="shared" si="104"/>
        <v>0</v>
      </c>
      <c r="AL240" s="564">
        <f t="shared" si="105"/>
        <v>0</v>
      </c>
      <c r="AM240" s="564">
        <f t="shared" si="106"/>
        <v>0</v>
      </c>
      <c r="AN240" s="564"/>
      <c r="AO240" s="304"/>
    </row>
    <row r="241" s="130" customFormat="1" ht="24" spans="1:41">
      <c r="A241" s="1" t="s">
        <v>504</v>
      </c>
      <c r="B241" s="1" t="s">
        <v>483</v>
      </c>
      <c r="C241" s="1" t="s">
        <v>535</v>
      </c>
      <c r="D241" s="1" t="s">
        <v>536</v>
      </c>
      <c r="E241" s="565">
        <f t="shared" si="93"/>
        <v>0</v>
      </c>
      <c r="F241" s="564">
        <f t="shared" si="94"/>
        <v>0</v>
      </c>
      <c r="G241" s="564">
        <f t="shared" si="95"/>
        <v>0</v>
      </c>
      <c r="H241" s="564"/>
      <c r="I241" s="564"/>
      <c r="J241" s="564"/>
      <c r="K241" s="564"/>
      <c r="L241" s="564"/>
      <c r="M241" s="564"/>
      <c r="N241" s="563">
        <f t="shared" si="96"/>
        <v>0</v>
      </c>
      <c r="O241" s="564"/>
      <c r="P241" s="564"/>
      <c r="Q241" s="564"/>
      <c r="R241" s="564"/>
      <c r="S241" s="563">
        <f t="shared" si="97"/>
        <v>0</v>
      </c>
      <c r="T241" s="564">
        <f t="shared" si="98"/>
        <v>0</v>
      </c>
      <c r="U241" s="564"/>
      <c r="V241" s="564"/>
      <c r="W241" s="564"/>
      <c r="X241" s="564"/>
      <c r="Y241" s="564"/>
      <c r="Z241" s="564"/>
      <c r="AA241" s="563">
        <f t="shared" si="99"/>
        <v>0</v>
      </c>
      <c r="AB241" s="564"/>
      <c r="AC241" s="564"/>
      <c r="AD241" s="564"/>
      <c r="AE241" s="564"/>
      <c r="AF241" s="564"/>
      <c r="AG241" s="563">
        <f t="shared" si="100"/>
        <v>0</v>
      </c>
      <c r="AH241" s="564">
        <f t="shared" si="101"/>
        <v>0</v>
      </c>
      <c r="AI241" s="564">
        <f t="shared" si="102"/>
        <v>0</v>
      </c>
      <c r="AJ241" s="564">
        <f t="shared" si="103"/>
        <v>0</v>
      </c>
      <c r="AK241" s="564">
        <f t="shared" si="104"/>
        <v>0</v>
      </c>
      <c r="AL241" s="564">
        <f t="shared" si="105"/>
        <v>0</v>
      </c>
      <c r="AM241" s="564">
        <f t="shared" si="106"/>
        <v>0</v>
      </c>
      <c r="AN241" s="564"/>
      <c r="AO241" s="304"/>
    </row>
    <row r="242" s="130" customFormat="1" ht="24" spans="1:41">
      <c r="A242" s="1" t="s">
        <v>504</v>
      </c>
      <c r="B242" s="1" t="s">
        <v>203</v>
      </c>
      <c r="C242" s="1" t="s">
        <v>537</v>
      </c>
      <c r="D242" s="1" t="s">
        <v>538</v>
      </c>
      <c r="E242" s="565">
        <f t="shared" si="93"/>
        <v>802.82</v>
      </c>
      <c r="F242" s="564">
        <f t="shared" si="94"/>
        <v>0</v>
      </c>
      <c r="G242" s="564">
        <f t="shared" si="95"/>
        <v>0</v>
      </c>
      <c r="H242" s="564"/>
      <c r="I242" s="564"/>
      <c r="J242" s="564"/>
      <c r="K242" s="564"/>
      <c r="L242" s="564"/>
      <c r="M242" s="564"/>
      <c r="N242" s="563">
        <f t="shared" si="96"/>
        <v>0</v>
      </c>
      <c r="O242" s="564"/>
      <c r="P242" s="564"/>
      <c r="Q242" s="564"/>
      <c r="R242" s="564"/>
      <c r="S242" s="563">
        <f t="shared" si="97"/>
        <v>802.82</v>
      </c>
      <c r="T242" s="564">
        <f t="shared" si="98"/>
        <v>536.32</v>
      </c>
      <c r="U242" s="564"/>
      <c r="V242" s="564"/>
      <c r="W242" s="564"/>
      <c r="X242" s="564"/>
      <c r="Y242" s="564"/>
      <c r="Z242" s="564">
        <v>536.32</v>
      </c>
      <c r="AA242" s="563">
        <f t="shared" si="99"/>
        <v>266.5</v>
      </c>
      <c r="AB242" s="564"/>
      <c r="AC242" s="564"/>
      <c r="AD242" s="564"/>
      <c r="AE242" s="582">
        <v>80</v>
      </c>
      <c r="AF242" s="564">
        <v>186.5</v>
      </c>
      <c r="AG242" s="563">
        <f t="shared" si="100"/>
        <v>0</v>
      </c>
      <c r="AH242" s="564">
        <f t="shared" si="101"/>
        <v>0</v>
      </c>
      <c r="AI242" s="564">
        <f t="shared" si="102"/>
        <v>0</v>
      </c>
      <c r="AJ242" s="564">
        <f t="shared" si="103"/>
        <v>0</v>
      </c>
      <c r="AK242" s="564">
        <f t="shared" si="104"/>
        <v>0</v>
      </c>
      <c r="AL242" s="564">
        <f t="shared" si="105"/>
        <v>0</v>
      </c>
      <c r="AM242" s="564">
        <f t="shared" si="106"/>
        <v>0</v>
      </c>
      <c r="AN242" s="564"/>
      <c r="AO242" s="304" t="s">
        <v>716</v>
      </c>
    </row>
    <row r="243" s="130" customFormat="1" spans="1:41">
      <c r="A243" s="1" t="s">
        <v>730</v>
      </c>
      <c r="B243" s="1" t="s">
        <v>206</v>
      </c>
      <c r="C243" s="1" t="s">
        <v>539</v>
      </c>
      <c r="D243" s="1" t="s">
        <v>540</v>
      </c>
      <c r="E243" s="565">
        <f t="shared" si="93"/>
        <v>174.58188</v>
      </c>
      <c r="F243" s="564">
        <f t="shared" si="94"/>
        <v>0</v>
      </c>
      <c r="G243" s="564">
        <f t="shared" si="95"/>
        <v>0</v>
      </c>
      <c r="H243" s="564"/>
      <c r="I243" s="564"/>
      <c r="J243" s="564"/>
      <c r="K243" s="564"/>
      <c r="L243" s="564"/>
      <c r="M243" s="564"/>
      <c r="N243" s="563">
        <f t="shared" si="96"/>
        <v>0</v>
      </c>
      <c r="O243" s="564"/>
      <c r="P243" s="566"/>
      <c r="Q243" s="564"/>
      <c r="R243" s="564"/>
      <c r="S243" s="563">
        <f t="shared" si="97"/>
        <v>124.63</v>
      </c>
      <c r="T243" s="564">
        <f t="shared" si="98"/>
        <v>107.91</v>
      </c>
      <c r="U243" s="564">
        <v>70.42</v>
      </c>
      <c r="V243" s="564">
        <v>1.7</v>
      </c>
      <c r="W243" s="564">
        <v>27.87</v>
      </c>
      <c r="X243" s="564">
        <v>7.92</v>
      </c>
      <c r="Y243" s="564"/>
      <c r="Z243" s="564"/>
      <c r="AA243" s="563">
        <f t="shared" si="99"/>
        <v>16.72</v>
      </c>
      <c r="AB243" s="564">
        <v>16.72</v>
      </c>
      <c r="AC243" s="564"/>
      <c r="AD243" s="564"/>
      <c r="AE243" s="566"/>
      <c r="AF243" s="564"/>
      <c r="AG243" s="563">
        <f t="shared" si="100"/>
        <v>49.95188</v>
      </c>
      <c r="AH243" s="564">
        <f t="shared" si="101"/>
        <v>18.6736</v>
      </c>
      <c r="AI243" s="564">
        <f t="shared" si="102"/>
        <v>9.3368</v>
      </c>
      <c r="AJ243" s="564">
        <f t="shared" si="103"/>
        <v>7.0026</v>
      </c>
      <c r="AK243" s="564">
        <f t="shared" si="104"/>
        <v>0.23342</v>
      </c>
      <c r="AL243" s="564">
        <f t="shared" si="105"/>
        <v>0.70026</v>
      </c>
      <c r="AM243" s="564">
        <f t="shared" si="106"/>
        <v>14.0052</v>
      </c>
      <c r="AN243" s="564"/>
      <c r="AO243" s="304"/>
    </row>
    <row r="244" s="130" customFormat="1" spans="1:41">
      <c r="A244" s="1" t="s">
        <v>730</v>
      </c>
      <c r="B244" s="1" t="s">
        <v>206</v>
      </c>
      <c r="C244" s="1" t="s">
        <v>541</v>
      </c>
      <c r="D244" s="1" t="s">
        <v>540</v>
      </c>
      <c r="E244" s="565">
        <f t="shared" si="93"/>
        <v>196.6242</v>
      </c>
      <c r="F244" s="564">
        <f t="shared" si="94"/>
        <v>0</v>
      </c>
      <c r="G244" s="564">
        <f t="shared" si="95"/>
        <v>0</v>
      </c>
      <c r="H244" s="564"/>
      <c r="I244" s="564"/>
      <c r="J244" s="564"/>
      <c r="K244" s="564"/>
      <c r="L244" s="564"/>
      <c r="M244" s="564"/>
      <c r="N244" s="563">
        <f t="shared" si="96"/>
        <v>0</v>
      </c>
      <c r="O244" s="564"/>
      <c r="P244" s="564"/>
      <c r="Q244" s="564"/>
      <c r="R244" s="564"/>
      <c r="S244" s="563">
        <f t="shared" si="97"/>
        <v>139.85</v>
      </c>
      <c r="T244" s="564">
        <f t="shared" si="98"/>
        <v>120.91</v>
      </c>
      <c r="U244" s="564">
        <v>80.46</v>
      </c>
      <c r="V244" s="564">
        <v>1.69</v>
      </c>
      <c r="W244" s="564">
        <v>31.56</v>
      </c>
      <c r="X244" s="564">
        <v>7.2</v>
      </c>
      <c r="Y244" s="577"/>
      <c r="Z244" s="564"/>
      <c r="AA244" s="563">
        <f t="shared" si="99"/>
        <v>18.94</v>
      </c>
      <c r="AB244" s="564">
        <v>18.94</v>
      </c>
      <c r="AC244" s="564"/>
      <c r="AD244" s="564"/>
      <c r="AE244" s="564"/>
      <c r="AF244" s="564"/>
      <c r="AG244" s="563">
        <f t="shared" si="100"/>
        <v>56.7742</v>
      </c>
      <c r="AH244" s="564">
        <f t="shared" si="101"/>
        <v>21.224</v>
      </c>
      <c r="AI244" s="564">
        <f t="shared" si="102"/>
        <v>10.612</v>
      </c>
      <c r="AJ244" s="564">
        <f t="shared" si="103"/>
        <v>7.959</v>
      </c>
      <c r="AK244" s="564">
        <f t="shared" si="104"/>
        <v>0.2653</v>
      </c>
      <c r="AL244" s="564">
        <f t="shared" si="105"/>
        <v>0.7959</v>
      </c>
      <c r="AM244" s="564">
        <f t="shared" si="106"/>
        <v>15.918</v>
      </c>
      <c r="AN244" s="564"/>
      <c r="AO244" s="304"/>
    </row>
    <row r="245" s="130" customFormat="1" spans="1:41">
      <c r="A245" s="1" t="s">
        <v>730</v>
      </c>
      <c r="B245" s="1" t="s">
        <v>206</v>
      </c>
      <c r="C245" s="1" t="s">
        <v>542</v>
      </c>
      <c r="D245" s="1" t="s">
        <v>540</v>
      </c>
      <c r="E245" s="563">
        <f t="shared" si="93"/>
        <v>98.6586792</v>
      </c>
      <c r="F245" s="564">
        <f t="shared" si="94"/>
        <v>0</v>
      </c>
      <c r="G245" s="564">
        <f t="shared" si="95"/>
        <v>0</v>
      </c>
      <c r="H245" s="564"/>
      <c r="I245" s="564"/>
      <c r="J245" s="564"/>
      <c r="K245" s="564"/>
      <c r="L245" s="564"/>
      <c r="M245" s="564"/>
      <c r="N245" s="563">
        <f t="shared" si="96"/>
        <v>0</v>
      </c>
      <c r="O245" s="564"/>
      <c r="P245" s="564"/>
      <c r="Q245" s="564"/>
      <c r="R245" s="564"/>
      <c r="S245" s="563">
        <f t="shared" si="97"/>
        <v>70.4914</v>
      </c>
      <c r="T245" s="564">
        <f t="shared" si="98"/>
        <v>60.9528</v>
      </c>
      <c r="U245" s="564">
        <v>39.4896</v>
      </c>
      <c r="V245" s="564">
        <v>0.8856</v>
      </c>
      <c r="W245" s="564">
        <v>15.8976</v>
      </c>
      <c r="X245" s="564">
        <v>4.68</v>
      </c>
      <c r="Y245" s="577"/>
      <c r="Z245" s="564"/>
      <c r="AA245" s="563">
        <f t="shared" si="99"/>
        <v>9.5386</v>
      </c>
      <c r="AB245" s="564">
        <v>9.5386</v>
      </c>
      <c r="AC245" s="564"/>
      <c r="AD245" s="564"/>
      <c r="AE245" s="564"/>
      <c r="AF245" s="564"/>
      <c r="AG245" s="563">
        <f t="shared" si="100"/>
        <v>28.1672792</v>
      </c>
      <c r="AH245" s="564">
        <f t="shared" si="101"/>
        <v>10.529824</v>
      </c>
      <c r="AI245" s="564">
        <f t="shared" si="102"/>
        <v>5.264912</v>
      </c>
      <c r="AJ245" s="564">
        <f t="shared" si="103"/>
        <v>3.948684</v>
      </c>
      <c r="AK245" s="564">
        <f t="shared" si="104"/>
        <v>0.1316228</v>
      </c>
      <c r="AL245" s="564">
        <f t="shared" si="105"/>
        <v>0.3948684</v>
      </c>
      <c r="AM245" s="564">
        <f t="shared" si="106"/>
        <v>7.897368</v>
      </c>
      <c r="AN245" s="564"/>
      <c r="AO245" s="304"/>
    </row>
    <row r="246" s="130" customFormat="1" spans="1:41">
      <c r="A246" s="1" t="s">
        <v>730</v>
      </c>
      <c r="B246" s="1" t="s">
        <v>206</v>
      </c>
      <c r="C246" s="1" t="s">
        <v>543</v>
      </c>
      <c r="D246" s="1" t="s">
        <v>540</v>
      </c>
      <c r="E246" s="563">
        <f t="shared" si="93"/>
        <v>145.4202</v>
      </c>
      <c r="F246" s="564">
        <f t="shared" si="94"/>
        <v>0</v>
      </c>
      <c r="G246" s="564">
        <f t="shared" si="95"/>
        <v>0</v>
      </c>
      <c r="H246" s="564"/>
      <c r="I246" s="564"/>
      <c r="J246" s="564"/>
      <c r="K246" s="564"/>
      <c r="L246" s="564"/>
      <c r="M246" s="564"/>
      <c r="N246" s="563">
        <f t="shared" si="96"/>
        <v>0</v>
      </c>
      <c r="O246" s="564"/>
      <c r="P246" s="564"/>
      <c r="Q246" s="564"/>
      <c r="R246" s="564"/>
      <c r="S246" s="563">
        <f t="shared" si="97"/>
        <v>102.77</v>
      </c>
      <c r="T246" s="564">
        <f t="shared" si="98"/>
        <v>90.23</v>
      </c>
      <c r="U246" s="564">
        <v>65.15</v>
      </c>
      <c r="V246" s="564">
        <v>1.06</v>
      </c>
      <c r="W246" s="564">
        <v>20.9</v>
      </c>
      <c r="X246" s="564">
        <v>3.12</v>
      </c>
      <c r="Y246" s="577"/>
      <c r="Z246" s="564"/>
      <c r="AA246" s="563">
        <f t="shared" si="99"/>
        <v>12.54</v>
      </c>
      <c r="AB246" s="564">
        <v>12.54</v>
      </c>
      <c r="AC246" s="564"/>
      <c r="AD246" s="564"/>
      <c r="AE246" s="564"/>
      <c r="AF246" s="564"/>
      <c r="AG246" s="563">
        <f t="shared" si="100"/>
        <v>42.6502</v>
      </c>
      <c r="AH246" s="564">
        <f t="shared" si="101"/>
        <v>15.944</v>
      </c>
      <c r="AI246" s="564">
        <f t="shared" si="102"/>
        <v>7.972</v>
      </c>
      <c r="AJ246" s="564">
        <f t="shared" si="103"/>
        <v>5.979</v>
      </c>
      <c r="AK246" s="564">
        <f t="shared" si="104"/>
        <v>0.1993</v>
      </c>
      <c r="AL246" s="564">
        <f t="shared" si="105"/>
        <v>0.5979</v>
      </c>
      <c r="AM246" s="564">
        <f t="shared" si="106"/>
        <v>11.958</v>
      </c>
      <c r="AN246" s="564"/>
      <c r="AO246" s="304"/>
    </row>
    <row r="247" s="130" customFormat="1" spans="1:41">
      <c r="A247" s="1" t="s">
        <v>730</v>
      </c>
      <c r="B247" s="1" t="s">
        <v>206</v>
      </c>
      <c r="C247" s="1" t="s">
        <v>544</v>
      </c>
      <c r="D247" s="1" t="s">
        <v>540</v>
      </c>
      <c r="E247" s="563">
        <f t="shared" si="93"/>
        <v>110.4319272</v>
      </c>
      <c r="F247" s="564">
        <f t="shared" si="94"/>
        <v>0</v>
      </c>
      <c r="G247" s="564">
        <f t="shared" si="95"/>
        <v>0</v>
      </c>
      <c r="H247" s="564"/>
      <c r="I247" s="564"/>
      <c r="J247" s="564"/>
      <c r="K247" s="564"/>
      <c r="L247" s="564"/>
      <c r="M247" s="564"/>
      <c r="N247" s="563">
        <f t="shared" si="96"/>
        <v>0</v>
      </c>
      <c r="O247" s="564"/>
      <c r="P247" s="564"/>
      <c r="Q247" s="564"/>
      <c r="R247" s="564"/>
      <c r="S247" s="563">
        <f t="shared" si="97"/>
        <v>79.3474</v>
      </c>
      <c r="T247" s="564">
        <f t="shared" si="98"/>
        <v>68.4084</v>
      </c>
      <c r="U247" s="564">
        <v>42.3888</v>
      </c>
      <c r="V247" s="564">
        <v>1.068</v>
      </c>
      <c r="W247" s="564">
        <v>18.2316</v>
      </c>
      <c r="X247" s="564">
        <v>6.72</v>
      </c>
      <c r="Y247" s="577"/>
      <c r="Z247" s="564"/>
      <c r="AA247" s="563">
        <f t="shared" si="99"/>
        <v>10.939</v>
      </c>
      <c r="AB247" s="564">
        <v>10.939</v>
      </c>
      <c r="AC247" s="564"/>
      <c r="AD247" s="564"/>
      <c r="AE247" s="564"/>
      <c r="AF247" s="564"/>
      <c r="AG247" s="563">
        <f t="shared" si="100"/>
        <v>31.0845272</v>
      </c>
      <c r="AH247" s="564">
        <f t="shared" si="101"/>
        <v>11.620384</v>
      </c>
      <c r="AI247" s="564">
        <f t="shared" si="102"/>
        <v>5.810192</v>
      </c>
      <c r="AJ247" s="564">
        <f t="shared" si="103"/>
        <v>4.357644</v>
      </c>
      <c r="AK247" s="564">
        <f t="shared" si="104"/>
        <v>0.1452548</v>
      </c>
      <c r="AL247" s="564">
        <f t="shared" si="105"/>
        <v>0.4357644</v>
      </c>
      <c r="AM247" s="564">
        <f t="shared" si="106"/>
        <v>8.715288</v>
      </c>
      <c r="AN247" s="564"/>
      <c r="AO247" s="304"/>
    </row>
    <row r="248" s="130" customFormat="1" ht="24" spans="1:41">
      <c r="A248" s="1" t="s">
        <v>730</v>
      </c>
      <c r="B248" s="1" t="s">
        <v>206</v>
      </c>
      <c r="C248" s="1" t="s">
        <v>545</v>
      </c>
      <c r="D248" s="1" t="s">
        <v>546</v>
      </c>
      <c r="E248" s="563">
        <f t="shared" si="93"/>
        <v>409.09728</v>
      </c>
      <c r="F248" s="564">
        <f t="shared" si="94"/>
        <v>0</v>
      </c>
      <c r="G248" s="564">
        <f t="shared" si="95"/>
        <v>0</v>
      </c>
      <c r="H248" s="564"/>
      <c r="I248" s="564"/>
      <c r="J248" s="564"/>
      <c r="K248" s="564"/>
      <c r="L248" s="564"/>
      <c r="M248" s="564"/>
      <c r="N248" s="563">
        <f t="shared" si="96"/>
        <v>0</v>
      </c>
      <c r="O248" s="564"/>
      <c r="P248" s="564"/>
      <c r="Q248" s="564"/>
      <c r="R248" s="564"/>
      <c r="S248" s="563">
        <f t="shared" si="97"/>
        <v>289.36</v>
      </c>
      <c r="T248" s="564">
        <f t="shared" si="98"/>
        <v>252.34</v>
      </c>
      <c r="U248" s="564">
        <v>177.96</v>
      </c>
      <c r="V248" s="564">
        <v>3.08</v>
      </c>
      <c r="W248" s="564">
        <v>61.7</v>
      </c>
      <c r="X248" s="564">
        <v>9.6</v>
      </c>
      <c r="Y248" s="577"/>
      <c r="Z248" s="564"/>
      <c r="AA248" s="563">
        <f t="shared" si="99"/>
        <v>37.02</v>
      </c>
      <c r="AB248" s="564">
        <v>37.02</v>
      </c>
      <c r="AC248" s="564"/>
      <c r="AD248" s="564"/>
      <c r="AE248" s="564"/>
      <c r="AF248" s="564"/>
      <c r="AG248" s="563">
        <f t="shared" si="100"/>
        <v>119.73728</v>
      </c>
      <c r="AH248" s="564">
        <f t="shared" si="101"/>
        <v>44.7616</v>
      </c>
      <c r="AI248" s="564">
        <f t="shared" si="102"/>
        <v>22.3808</v>
      </c>
      <c r="AJ248" s="564">
        <f t="shared" si="103"/>
        <v>16.7856</v>
      </c>
      <c r="AK248" s="564">
        <f t="shared" si="104"/>
        <v>0.55952</v>
      </c>
      <c r="AL248" s="564">
        <f t="shared" si="105"/>
        <v>1.67856</v>
      </c>
      <c r="AM248" s="564">
        <f t="shared" si="106"/>
        <v>33.5712</v>
      </c>
      <c r="AN248" s="564"/>
      <c r="AO248" s="304"/>
    </row>
    <row r="249" s="130" customFormat="1" spans="1:41">
      <c r="A249" s="1" t="s">
        <v>730</v>
      </c>
      <c r="B249" s="1" t="s">
        <v>206</v>
      </c>
      <c r="C249" s="1" t="s">
        <v>547</v>
      </c>
      <c r="D249" s="1" t="s">
        <v>540</v>
      </c>
      <c r="E249" s="563">
        <f t="shared" si="93"/>
        <v>99.398766</v>
      </c>
      <c r="F249" s="564">
        <f t="shared" si="94"/>
        <v>0</v>
      </c>
      <c r="G249" s="564">
        <f t="shared" si="95"/>
        <v>0</v>
      </c>
      <c r="H249" s="564"/>
      <c r="I249" s="564"/>
      <c r="J249" s="564"/>
      <c r="K249" s="564"/>
      <c r="L249" s="564"/>
      <c r="M249" s="564"/>
      <c r="N249" s="563">
        <f t="shared" si="96"/>
        <v>0</v>
      </c>
      <c r="O249" s="564"/>
      <c r="P249" s="564"/>
      <c r="Q249" s="564"/>
      <c r="R249" s="564"/>
      <c r="S249" s="563">
        <f t="shared" si="97"/>
        <v>71.1895</v>
      </c>
      <c r="T249" s="564">
        <f t="shared" si="98"/>
        <v>61.4004</v>
      </c>
      <c r="U249" s="564">
        <v>38.8236</v>
      </c>
      <c r="V249" s="564">
        <v>0.9816</v>
      </c>
      <c r="W249" s="564">
        <v>16.3152</v>
      </c>
      <c r="X249" s="564">
        <v>5.28</v>
      </c>
      <c r="Y249" s="577"/>
      <c r="Z249" s="564"/>
      <c r="AA249" s="563">
        <f t="shared" si="99"/>
        <v>9.7891</v>
      </c>
      <c r="AB249" s="564">
        <v>9.7891</v>
      </c>
      <c r="AC249" s="564"/>
      <c r="AD249" s="564"/>
      <c r="AE249" s="564"/>
      <c r="AF249" s="564"/>
      <c r="AG249" s="563">
        <f t="shared" si="100"/>
        <v>28.209266</v>
      </c>
      <c r="AH249" s="564">
        <f t="shared" si="101"/>
        <v>10.54552</v>
      </c>
      <c r="AI249" s="564">
        <f t="shared" si="102"/>
        <v>5.27276</v>
      </c>
      <c r="AJ249" s="564">
        <f t="shared" si="103"/>
        <v>3.95457</v>
      </c>
      <c r="AK249" s="564">
        <f t="shared" si="104"/>
        <v>0.131819</v>
      </c>
      <c r="AL249" s="564">
        <f t="shared" si="105"/>
        <v>0.395457</v>
      </c>
      <c r="AM249" s="564">
        <f t="shared" si="106"/>
        <v>7.90914</v>
      </c>
      <c r="AN249" s="564"/>
      <c r="AO249" s="304"/>
    </row>
    <row r="250" s="130" customFormat="1" spans="1:41">
      <c r="A250" s="1" t="s">
        <v>730</v>
      </c>
      <c r="B250" s="1" t="s">
        <v>206</v>
      </c>
      <c r="C250" s="1" t="s">
        <v>548</v>
      </c>
      <c r="D250" s="1" t="s">
        <v>540</v>
      </c>
      <c r="E250" s="563">
        <f t="shared" si="93"/>
        <v>103.5861888</v>
      </c>
      <c r="F250" s="564">
        <f t="shared" si="94"/>
        <v>0</v>
      </c>
      <c r="G250" s="564">
        <f t="shared" si="95"/>
        <v>0</v>
      </c>
      <c r="H250" s="564"/>
      <c r="I250" s="564"/>
      <c r="J250" s="564"/>
      <c r="K250" s="564"/>
      <c r="L250" s="564"/>
      <c r="M250" s="564"/>
      <c r="N250" s="563">
        <f t="shared" si="96"/>
        <v>0</v>
      </c>
      <c r="O250" s="564"/>
      <c r="P250" s="564"/>
      <c r="Q250" s="564"/>
      <c r="R250" s="564"/>
      <c r="S250" s="563">
        <f t="shared" si="97"/>
        <v>74.4096</v>
      </c>
      <c r="T250" s="564">
        <f t="shared" si="98"/>
        <v>64.5672</v>
      </c>
      <c r="U250" s="564">
        <v>40.9812</v>
      </c>
      <c r="V250" s="564">
        <v>0.942</v>
      </c>
      <c r="W250" s="564">
        <v>16.404</v>
      </c>
      <c r="X250" s="564">
        <v>6.24</v>
      </c>
      <c r="Y250" s="577"/>
      <c r="Z250" s="564"/>
      <c r="AA250" s="563">
        <f t="shared" si="99"/>
        <v>9.8424</v>
      </c>
      <c r="AB250" s="564">
        <v>9.8424</v>
      </c>
      <c r="AC250" s="564"/>
      <c r="AD250" s="564"/>
      <c r="AE250" s="564"/>
      <c r="AF250" s="564"/>
      <c r="AG250" s="563">
        <f t="shared" si="100"/>
        <v>29.1765888</v>
      </c>
      <c r="AH250" s="564">
        <f t="shared" si="101"/>
        <v>10.907136</v>
      </c>
      <c r="AI250" s="564">
        <f t="shared" si="102"/>
        <v>5.453568</v>
      </c>
      <c r="AJ250" s="564">
        <f t="shared" si="103"/>
        <v>4.090176</v>
      </c>
      <c r="AK250" s="564">
        <f t="shared" si="104"/>
        <v>0.1363392</v>
      </c>
      <c r="AL250" s="564">
        <f t="shared" si="105"/>
        <v>0.4090176</v>
      </c>
      <c r="AM250" s="564">
        <f t="shared" si="106"/>
        <v>8.180352</v>
      </c>
      <c r="AN250" s="564"/>
      <c r="AO250" s="304"/>
    </row>
    <row r="251" s="130" customFormat="1" spans="1:41">
      <c r="A251" s="1" t="s">
        <v>730</v>
      </c>
      <c r="B251" s="1" t="s">
        <v>206</v>
      </c>
      <c r="C251" s="1" t="s">
        <v>549</v>
      </c>
      <c r="D251" s="1" t="s">
        <v>540</v>
      </c>
      <c r="E251" s="563">
        <f t="shared" si="93"/>
        <v>257.9330904</v>
      </c>
      <c r="F251" s="564">
        <f t="shared" si="94"/>
        <v>0</v>
      </c>
      <c r="G251" s="564">
        <f t="shared" si="95"/>
        <v>0</v>
      </c>
      <c r="H251" s="564"/>
      <c r="I251" s="564"/>
      <c r="J251" s="564"/>
      <c r="K251" s="564"/>
      <c r="L251" s="564"/>
      <c r="M251" s="564"/>
      <c r="N251" s="563">
        <f t="shared" si="96"/>
        <v>0</v>
      </c>
      <c r="O251" s="564"/>
      <c r="P251" s="564"/>
      <c r="Q251" s="564"/>
      <c r="R251" s="564"/>
      <c r="S251" s="563">
        <f t="shared" si="97"/>
        <v>182.3518</v>
      </c>
      <c r="T251" s="564">
        <f t="shared" si="98"/>
        <v>158.7336</v>
      </c>
      <c r="U251" s="564">
        <v>111.6696</v>
      </c>
      <c r="V251" s="564">
        <v>1.9404</v>
      </c>
      <c r="W251" s="564">
        <v>39.3636</v>
      </c>
      <c r="X251" s="564">
        <v>5.76</v>
      </c>
      <c r="Y251" s="577"/>
      <c r="Z251" s="564"/>
      <c r="AA251" s="563">
        <f t="shared" si="99"/>
        <v>23.6182</v>
      </c>
      <c r="AB251" s="564">
        <v>23.6182</v>
      </c>
      <c r="AC251" s="564"/>
      <c r="AD251" s="564"/>
      <c r="AE251" s="564"/>
      <c r="AF251" s="564"/>
      <c r="AG251" s="563">
        <f t="shared" si="100"/>
        <v>75.5812904</v>
      </c>
      <c r="AH251" s="564">
        <f t="shared" si="101"/>
        <v>28.254688</v>
      </c>
      <c r="AI251" s="564">
        <f t="shared" si="102"/>
        <v>14.127344</v>
      </c>
      <c r="AJ251" s="564">
        <f t="shared" si="103"/>
        <v>10.595508</v>
      </c>
      <c r="AK251" s="564">
        <f t="shared" si="104"/>
        <v>0.3531836</v>
      </c>
      <c r="AL251" s="564">
        <f t="shared" si="105"/>
        <v>1.0595508</v>
      </c>
      <c r="AM251" s="564">
        <f t="shared" si="106"/>
        <v>21.191016</v>
      </c>
      <c r="AN251" s="564"/>
      <c r="AO251" s="304"/>
    </row>
    <row r="252" s="130" customFormat="1" spans="1:41">
      <c r="A252" s="1" t="s">
        <v>730</v>
      </c>
      <c r="B252" s="1" t="s">
        <v>206</v>
      </c>
      <c r="C252" s="1" t="s">
        <v>550</v>
      </c>
      <c r="D252" s="1" t="s">
        <v>540</v>
      </c>
      <c r="E252" s="563">
        <f t="shared" si="93"/>
        <v>151.23336</v>
      </c>
      <c r="F252" s="564">
        <f t="shared" si="94"/>
        <v>0</v>
      </c>
      <c r="G252" s="564">
        <f t="shared" si="95"/>
        <v>0</v>
      </c>
      <c r="H252" s="564"/>
      <c r="I252" s="564"/>
      <c r="J252" s="564"/>
      <c r="K252" s="564"/>
      <c r="L252" s="564"/>
      <c r="M252" s="564"/>
      <c r="N252" s="563">
        <f t="shared" si="96"/>
        <v>0</v>
      </c>
      <c r="O252" s="564"/>
      <c r="P252" s="564"/>
      <c r="Q252" s="564"/>
      <c r="R252" s="564"/>
      <c r="S252" s="563">
        <f t="shared" si="97"/>
        <v>107.74</v>
      </c>
      <c r="T252" s="564">
        <f t="shared" si="98"/>
        <v>93.58</v>
      </c>
      <c r="U252" s="564">
        <v>62.55</v>
      </c>
      <c r="V252" s="564">
        <v>1.31</v>
      </c>
      <c r="W252" s="564">
        <v>23.6</v>
      </c>
      <c r="X252" s="564">
        <v>6.12</v>
      </c>
      <c r="Y252" s="577"/>
      <c r="Z252" s="564"/>
      <c r="AA252" s="563">
        <f t="shared" si="99"/>
        <v>14.16</v>
      </c>
      <c r="AB252" s="564">
        <v>14.16</v>
      </c>
      <c r="AC252" s="564"/>
      <c r="AD252" s="564"/>
      <c r="AE252" s="564"/>
      <c r="AF252" s="564"/>
      <c r="AG252" s="563">
        <f t="shared" si="100"/>
        <v>43.49336</v>
      </c>
      <c r="AH252" s="564">
        <f t="shared" si="101"/>
        <v>16.2592</v>
      </c>
      <c r="AI252" s="564">
        <f t="shared" si="102"/>
        <v>8.1296</v>
      </c>
      <c r="AJ252" s="564">
        <f t="shared" si="103"/>
        <v>6.0972</v>
      </c>
      <c r="AK252" s="564">
        <f t="shared" si="104"/>
        <v>0.20324</v>
      </c>
      <c r="AL252" s="564">
        <f t="shared" si="105"/>
        <v>0.60972</v>
      </c>
      <c r="AM252" s="564">
        <f t="shared" si="106"/>
        <v>12.1944</v>
      </c>
      <c r="AN252" s="564"/>
      <c r="AO252" s="304"/>
    </row>
    <row r="253" s="130" customFormat="1" spans="1:41">
      <c r="A253" s="1" t="s">
        <v>730</v>
      </c>
      <c r="B253" s="1" t="s">
        <v>206</v>
      </c>
      <c r="C253" s="1" t="s">
        <v>551</v>
      </c>
      <c r="D253" s="1" t="s">
        <v>540</v>
      </c>
      <c r="E253" s="563">
        <f t="shared" si="93"/>
        <v>473.3906532</v>
      </c>
      <c r="F253" s="564">
        <f t="shared" si="94"/>
        <v>0</v>
      </c>
      <c r="G253" s="564">
        <f t="shared" si="95"/>
        <v>0</v>
      </c>
      <c r="H253" s="564"/>
      <c r="I253" s="564"/>
      <c r="J253" s="564"/>
      <c r="K253" s="564"/>
      <c r="L253" s="564"/>
      <c r="M253" s="564"/>
      <c r="N253" s="563">
        <f t="shared" si="96"/>
        <v>0</v>
      </c>
      <c r="O253" s="564"/>
      <c r="P253" s="564"/>
      <c r="Q253" s="564"/>
      <c r="R253" s="564"/>
      <c r="S253" s="563">
        <f t="shared" si="97"/>
        <v>334.8869</v>
      </c>
      <c r="T253" s="564">
        <f t="shared" si="98"/>
        <v>291.7416</v>
      </c>
      <c r="U253" s="564">
        <v>204.912</v>
      </c>
      <c r="V253" s="564">
        <v>3.6408</v>
      </c>
      <c r="W253" s="564">
        <v>71.9088</v>
      </c>
      <c r="X253" s="564">
        <v>11.28</v>
      </c>
      <c r="Y253" s="577"/>
      <c r="Z253" s="564"/>
      <c r="AA253" s="563">
        <f t="shared" si="99"/>
        <v>43.1453</v>
      </c>
      <c r="AB253" s="564">
        <v>43.1453</v>
      </c>
      <c r="AC253" s="564"/>
      <c r="AD253" s="564"/>
      <c r="AE253" s="564"/>
      <c r="AF253" s="564"/>
      <c r="AG253" s="563">
        <f t="shared" si="100"/>
        <v>138.5037532</v>
      </c>
      <c r="AH253" s="564">
        <f t="shared" si="101"/>
        <v>51.777104</v>
      </c>
      <c r="AI253" s="564">
        <f t="shared" si="102"/>
        <v>25.888552</v>
      </c>
      <c r="AJ253" s="564">
        <f t="shared" si="103"/>
        <v>19.416414</v>
      </c>
      <c r="AK253" s="564">
        <f t="shared" si="104"/>
        <v>0.6472138</v>
      </c>
      <c r="AL253" s="564">
        <f t="shared" si="105"/>
        <v>1.9416414</v>
      </c>
      <c r="AM253" s="564">
        <f t="shared" si="106"/>
        <v>38.832828</v>
      </c>
      <c r="AN253" s="564"/>
      <c r="AO253" s="304"/>
    </row>
    <row r="254" s="130" customFormat="1" spans="1:41">
      <c r="A254" s="1" t="s">
        <v>730</v>
      </c>
      <c r="B254" s="1" t="s">
        <v>206</v>
      </c>
      <c r="C254" s="1" t="s">
        <v>552</v>
      </c>
      <c r="D254" s="1" t="s">
        <v>540</v>
      </c>
      <c r="E254" s="563">
        <f t="shared" si="93"/>
        <v>415.0605588</v>
      </c>
      <c r="F254" s="564">
        <f t="shared" si="94"/>
        <v>0</v>
      </c>
      <c r="G254" s="564">
        <f t="shared" si="95"/>
        <v>0</v>
      </c>
      <c r="H254" s="564"/>
      <c r="I254" s="564"/>
      <c r="J254" s="564"/>
      <c r="K254" s="564"/>
      <c r="L254" s="564"/>
      <c r="M254" s="564"/>
      <c r="N254" s="563">
        <f t="shared" si="96"/>
        <v>0</v>
      </c>
      <c r="O254" s="564"/>
      <c r="P254" s="564"/>
      <c r="Q254" s="564"/>
      <c r="R254" s="564"/>
      <c r="S254" s="563">
        <f t="shared" si="97"/>
        <v>293.3921</v>
      </c>
      <c r="T254" s="564">
        <f t="shared" si="98"/>
        <v>255.1788</v>
      </c>
      <c r="U254" s="564">
        <v>179.2548</v>
      </c>
      <c r="V254" s="564">
        <v>3.1152</v>
      </c>
      <c r="W254" s="564">
        <v>63.6888</v>
      </c>
      <c r="X254" s="564">
        <v>9.12</v>
      </c>
      <c r="Y254" s="577"/>
      <c r="Z254" s="564"/>
      <c r="AA254" s="563">
        <f t="shared" si="99"/>
        <v>38.2133</v>
      </c>
      <c r="AB254" s="564">
        <v>38.2133</v>
      </c>
      <c r="AC254" s="564"/>
      <c r="AD254" s="564"/>
      <c r="AE254" s="564"/>
      <c r="AF254" s="564"/>
      <c r="AG254" s="563">
        <f t="shared" si="100"/>
        <v>121.6684588</v>
      </c>
      <c r="AH254" s="564">
        <f t="shared" si="101"/>
        <v>45.483536</v>
      </c>
      <c r="AI254" s="564">
        <f t="shared" si="102"/>
        <v>22.741768</v>
      </c>
      <c r="AJ254" s="564">
        <f t="shared" si="103"/>
        <v>17.056326</v>
      </c>
      <c r="AK254" s="564">
        <f t="shared" si="104"/>
        <v>0.5685442</v>
      </c>
      <c r="AL254" s="564">
        <f t="shared" si="105"/>
        <v>1.7056326</v>
      </c>
      <c r="AM254" s="564">
        <f t="shared" si="106"/>
        <v>34.112652</v>
      </c>
      <c r="AN254" s="564"/>
      <c r="AO254" s="304"/>
    </row>
    <row r="255" s="130" customFormat="1" spans="1:41">
      <c r="A255" s="1" t="s">
        <v>730</v>
      </c>
      <c r="B255" s="1" t="s">
        <v>206</v>
      </c>
      <c r="C255" s="1" t="s">
        <v>553</v>
      </c>
      <c r="D255" s="1" t="s">
        <v>540</v>
      </c>
      <c r="E255" s="563">
        <f t="shared" si="93"/>
        <v>118.86084</v>
      </c>
      <c r="F255" s="564">
        <f t="shared" si="94"/>
        <v>0</v>
      </c>
      <c r="G255" s="564">
        <f t="shared" si="95"/>
        <v>0</v>
      </c>
      <c r="H255" s="564"/>
      <c r="I255" s="564"/>
      <c r="J255" s="564"/>
      <c r="K255" s="564"/>
      <c r="L255" s="564"/>
      <c r="M255" s="564"/>
      <c r="N255" s="563">
        <f t="shared" si="96"/>
        <v>0</v>
      </c>
      <c r="O255" s="564"/>
      <c r="P255" s="564"/>
      <c r="Q255" s="564"/>
      <c r="R255" s="564"/>
      <c r="S255" s="563">
        <f t="shared" si="97"/>
        <v>85.25</v>
      </c>
      <c r="T255" s="564">
        <f t="shared" si="98"/>
        <v>74.17</v>
      </c>
      <c r="U255" s="564">
        <v>47.9</v>
      </c>
      <c r="V255" s="564">
        <v>1.08</v>
      </c>
      <c r="W255" s="564">
        <v>18.47</v>
      </c>
      <c r="X255" s="564">
        <v>6.72</v>
      </c>
      <c r="Y255" s="577"/>
      <c r="Z255" s="564"/>
      <c r="AA255" s="563">
        <f t="shared" si="99"/>
        <v>11.08</v>
      </c>
      <c r="AB255" s="564">
        <v>11.08</v>
      </c>
      <c r="AC255" s="564"/>
      <c r="AD255" s="564"/>
      <c r="AE255" s="564"/>
      <c r="AF255" s="564"/>
      <c r="AG255" s="563">
        <f t="shared" si="100"/>
        <v>33.61084</v>
      </c>
      <c r="AH255" s="564">
        <f t="shared" si="101"/>
        <v>12.5648</v>
      </c>
      <c r="AI255" s="564">
        <f t="shared" si="102"/>
        <v>6.2824</v>
      </c>
      <c r="AJ255" s="564">
        <f t="shared" si="103"/>
        <v>4.7118</v>
      </c>
      <c r="AK255" s="564">
        <f t="shared" si="104"/>
        <v>0.15706</v>
      </c>
      <c r="AL255" s="564">
        <f t="shared" si="105"/>
        <v>0.47118</v>
      </c>
      <c r="AM255" s="564">
        <f t="shared" si="106"/>
        <v>9.4236</v>
      </c>
      <c r="AN255" s="564"/>
      <c r="AO255" s="304"/>
    </row>
    <row r="256" s="130" customFormat="1" spans="1:41">
      <c r="A256" s="1" t="s">
        <v>730</v>
      </c>
      <c r="B256" s="1" t="s">
        <v>206</v>
      </c>
      <c r="C256" s="1" t="s">
        <v>554</v>
      </c>
      <c r="D256" s="1" t="s">
        <v>540</v>
      </c>
      <c r="E256" s="563">
        <f t="shared" si="93"/>
        <v>142.2492</v>
      </c>
      <c r="F256" s="564">
        <f t="shared" si="94"/>
        <v>0</v>
      </c>
      <c r="G256" s="564">
        <f t="shared" si="95"/>
        <v>0</v>
      </c>
      <c r="H256" s="564"/>
      <c r="I256" s="564"/>
      <c r="J256" s="564"/>
      <c r="K256" s="564"/>
      <c r="L256" s="564"/>
      <c r="M256" s="564"/>
      <c r="N256" s="563">
        <f t="shared" si="96"/>
        <v>0</v>
      </c>
      <c r="O256" s="564"/>
      <c r="P256" s="564"/>
      <c r="Q256" s="564"/>
      <c r="R256" s="564"/>
      <c r="S256" s="563">
        <f t="shared" si="97"/>
        <v>102.06</v>
      </c>
      <c r="T256" s="564">
        <f t="shared" si="98"/>
        <v>88.11</v>
      </c>
      <c r="U256" s="564">
        <v>55.41</v>
      </c>
      <c r="V256" s="564">
        <v>1.3</v>
      </c>
      <c r="W256" s="564">
        <v>23.24</v>
      </c>
      <c r="X256" s="564">
        <v>8.16</v>
      </c>
      <c r="Y256" s="577"/>
      <c r="Z256" s="564"/>
      <c r="AA256" s="563">
        <f t="shared" si="99"/>
        <v>13.95</v>
      </c>
      <c r="AB256" s="564">
        <v>13.95</v>
      </c>
      <c r="AC256" s="564"/>
      <c r="AD256" s="564"/>
      <c r="AE256" s="564"/>
      <c r="AF256" s="564"/>
      <c r="AG256" s="563">
        <f t="shared" si="100"/>
        <v>40.1892</v>
      </c>
      <c r="AH256" s="564">
        <f t="shared" si="101"/>
        <v>15.024</v>
      </c>
      <c r="AI256" s="564">
        <f t="shared" si="102"/>
        <v>7.512</v>
      </c>
      <c r="AJ256" s="564">
        <f t="shared" si="103"/>
        <v>5.634</v>
      </c>
      <c r="AK256" s="564">
        <f t="shared" si="104"/>
        <v>0.1878</v>
      </c>
      <c r="AL256" s="564">
        <f t="shared" si="105"/>
        <v>0.5634</v>
      </c>
      <c r="AM256" s="564">
        <f t="shared" si="106"/>
        <v>11.268</v>
      </c>
      <c r="AN256" s="564"/>
      <c r="AO256" s="304"/>
    </row>
    <row r="257" s="130" customFormat="1" spans="1:41">
      <c r="A257" s="1" t="s">
        <v>730</v>
      </c>
      <c r="B257" s="1" t="s">
        <v>206</v>
      </c>
      <c r="C257" s="1" t="s">
        <v>555</v>
      </c>
      <c r="D257" s="1" t="s">
        <v>540</v>
      </c>
      <c r="E257" s="565">
        <f t="shared" si="93"/>
        <v>237.84</v>
      </c>
      <c r="F257" s="566">
        <f t="shared" si="94"/>
        <v>0</v>
      </c>
      <c r="G257" s="566">
        <f t="shared" si="95"/>
        <v>0</v>
      </c>
      <c r="H257" s="566"/>
      <c r="I257" s="566"/>
      <c r="J257" s="566"/>
      <c r="K257" s="564"/>
      <c r="L257" s="564"/>
      <c r="M257" s="564"/>
      <c r="N257" s="563">
        <f t="shared" si="96"/>
        <v>0</v>
      </c>
      <c r="O257" s="564"/>
      <c r="P257" s="564"/>
      <c r="Q257" s="564"/>
      <c r="R257" s="564"/>
      <c r="S257" s="563">
        <f t="shared" si="97"/>
        <v>169.36</v>
      </c>
      <c r="T257" s="564">
        <f t="shared" si="98"/>
        <v>145.95</v>
      </c>
      <c r="U257" s="564">
        <v>95.5</v>
      </c>
      <c r="V257" s="564">
        <v>2.08</v>
      </c>
      <c r="W257" s="564">
        <v>39.01</v>
      </c>
      <c r="X257" s="564">
        <v>9.36</v>
      </c>
      <c r="Y257" s="577"/>
      <c r="Z257" s="564"/>
      <c r="AA257" s="563">
        <f t="shared" si="99"/>
        <v>23.41</v>
      </c>
      <c r="AB257" s="564">
        <v>23.41</v>
      </c>
      <c r="AC257" s="564"/>
      <c r="AD257" s="564"/>
      <c r="AE257" s="564"/>
      <c r="AF257" s="564"/>
      <c r="AG257" s="563">
        <f t="shared" si="100"/>
        <v>68.48</v>
      </c>
      <c r="AH257" s="564">
        <f t="shared" si="101"/>
        <v>25.6</v>
      </c>
      <c r="AI257" s="564">
        <f t="shared" si="102"/>
        <v>12.8</v>
      </c>
      <c r="AJ257" s="564">
        <f t="shared" si="103"/>
        <v>9.6</v>
      </c>
      <c r="AK257" s="564">
        <f t="shared" si="104"/>
        <v>0.32</v>
      </c>
      <c r="AL257" s="564">
        <f t="shared" si="105"/>
        <v>0.96</v>
      </c>
      <c r="AM257" s="564">
        <f t="shared" si="106"/>
        <v>19.2</v>
      </c>
      <c r="AN257" s="564"/>
      <c r="AO257" s="304"/>
    </row>
    <row r="258" s="130" customFormat="1" spans="1:41">
      <c r="A258" s="1" t="s">
        <v>730</v>
      </c>
      <c r="B258" s="1" t="s">
        <v>206</v>
      </c>
      <c r="C258" s="1" t="s">
        <v>556</v>
      </c>
      <c r="D258" s="1" t="s">
        <v>540</v>
      </c>
      <c r="E258" s="565">
        <f t="shared" si="93"/>
        <v>176.46084</v>
      </c>
      <c r="F258" s="566">
        <f t="shared" si="94"/>
        <v>0</v>
      </c>
      <c r="G258" s="566">
        <f t="shared" si="95"/>
        <v>0</v>
      </c>
      <c r="H258" s="566"/>
      <c r="I258" s="566"/>
      <c r="J258" s="566"/>
      <c r="K258" s="564"/>
      <c r="L258" s="564"/>
      <c r="M258" s="564"/>
      <c r="N258" s="563">
        <f t="shared" si="96"/>
        <v>0</v>
      </c>
      <c r="O258" s="564"/>
      <c r="P258" s="564"/>
      <c r="Q258" s="564"/>
      <c r="R258" s="564"/>
      <c r="S258" s="563">
        <f t="shared" si="97"/>
        <v>125.73</v>
      </c>
      <c r="T258" s="564">
        <f t="shared" si="98"/>
        <v>108.58</v>
      </c>
      <c r="U258" s="564">
        <v>71.21</v>
      </c>
      <c r="V258" s="564">
        <v>1.58</v>
      </c>
      <c r="W258" s="564">
        <v>28.59</v>
      </c>
      <c r="X258" s="564">
        <v>7.2</v>
      </c>
      <c r="Y258" s="577"/>
      <c r="Z258" s="564"/>
      <c r="AA258" s="563">
        <f t="shared" si="99"/>
        <v>17.15</v>
      </c>
      <c r="AB258" s="564">
        <v>17.15</v>
      </c>
      <c r="AC258" s="564"/>
      <c r="AD258" s="564"/>
      <c r="AE258" s="564"/>
      <c r="AF258" s="564"/>
      <c r="AG258" s="563">
        <f t="shared" si="100"/>
        <v>50.73084</v>
      </c>
      <c r="AH258" s="564">
        <f t="shared" si="101"/>
        <v>18.9648</v>
      </c>
      <c r="AI258" s="564">
        <f t="shared" si="102"/>
        <v>9.4824</v>
      </c>
      <c r="AJ258" s="564">
        <f t="shared" si="103"/>
        <v>7.1118</v>
      </c>
      <c r="AK258" s="564">
        <f t="shared" si="104"/>
        <v>0.23706</v>
      </c>
      <c r="AL258" s="564">
        <f t="shared" si="105"/>
        <v>0.71118</v>
      </c>
      <c r="AM258" s="564">
        <f t="shared" si="106"/>
        <v>14.2236</v>
      </c>
      <c r="AN258" s="564"/>
      <c r="AO258" s="304"/>
    </row>
    <row r="259" s="130" customFormat="1" ht="24" spans="1:41">
      <c r="A259" s="1" t="s">
        <v>504</v>
      </c>
      <c r="B259" s="1" t="s">
        <v>206</v>
      </c>
      <c r="C259" s="1" t="s">
        <v>557</v>
      </c>
      <c r="D259" s="1" t="s">
        <v>558</v>
      </c>
      <c r="E259" s="565">
        <f t="shared" si="93"/>
        <v>461.83276</v>
      </c>
      <c r="F259" s="566">
        <f t="shared" si="94"/>
        <v>0</v>
      </c>
      <c r="G259" s="566">
        <f t="shared" si="95"/>
        <v>0</v>
      </c>
      <c r="H259" s="566"/>
      <c r="I259" s="566"/>
      <c r="J259" s="566"/>
      <c r="K259" s="564"/>
      <c r="L259" s="564"/>
      <c r="M259" s="564"/>
      <c r="N259" s="563">
        <f t="shared" si="96"/>
        <v>0</v>
      </c>
      <c r="O259" s="564"/>
      <c r="P259" s="564"/>
      <c r="Q259" s="564"/>
      <c r="R259" s="564"/>
      <c r="S259" s="563">
        <f t="shared" si="97"/>
        <v>352.62</v>
      </c>
      <c r="T259" s="564">
        <f t="shared" si="98"/>
        <v>298.94</v>
      </c>
      <c r="U259" s="564">
        <v>165.45</v>
      </c>
      <c r="V259" s="564">
        <v>0.02</v>
      </c>
      <c r="W259" s="564">
        <v>56.06</v>
      </c>
      <c r="X259" s="564"/>
      <c r="Y259" s="564">
        <v>22.42</v>
      </c>
      <c r="Z259" s="564">
        <v>54.99</v>
      </c>
      <c r="AA259" s="563">
        <f t="shared" si="99"/>
        <v>53.68</v>
      </c>
      <c r="AB259" s="564">
        <v>33.64</v>
      </c>
      <c r="AC259" s="564"/>
      <c r="AD259" s="564">
        <v>2.54</v>
      </c>
      <c r="AE259" s="564"/>
      <c r="AF259" s="564">
        <v>17.5</v>
      </c>
      <c r="AG259" s="563">
        <f t="shared" si="100"/>
        <v>109.21276</v>
      </c>
      <c r="AH259" s="564">
        <f t="shared" si="101"/>
        <v>40.8272</v>
      </c>
      <c r="AI259" s="564">
        <f t="shared" si="102"/>
        <v>20.4136</v>
      </c>
      <c r="AJ259" s="564">
        <f t="shared" si="103"/>
        <v>15.3102</v>
      </c>
      <c r="AK259" s="564">
        <f t="shared" si="104"/>
        <v>0.51034</v>
      </c>
      <c r="AL259" s="564">
        <f t="shared" si="105"/>
        <v>1.53102</v>
      </c>
      <c r="AM259" s="564">
        <f t="shared" si="106"/>
        <v>30.6204</v>
      </c>
      <c r="AN259" s="564"/>
      <c r="AO259" s="304"/>
    </row>
    <row r="260" s="130" customFormat="1" ht="24" spans="1:41">
      <c r="A260" s="1" t="s">
        <v>504</v>
      </c>
      <c r="B260" s="1" t="s">
        <v>203</v>
      </c>
      <c r="C260" s="1" t="s">
        <v>559</v>
      </c>
      <c r="D260" s="1" t="s">
        <v>560</v>
      </c>
      <c r="E260" s="565">
        <f t="shared" si="93"/>
        <v>143.0496144</v>
      </c>
      <c r="F260" s="566">
        <f t="shared" si="94"/>
        <v>110.0124</v>
      </c>
      <c r="G260" s="566">
        <f t="shared" si="95"/>
        <v>99.5124</v>
      </c>
      <c r="H260" s="567">
        <v>38.7552</v>
      </c>
      <c r="I260" s="567">
        <v>25.1076</v>
      </c>
      <c r="J260" s="567">
        <v>3.2296</v>
      </c>
      <c r="K260" s="564"/>
      <c r="L260" s="564"/>
      <c r="M260" s="564">
        <v>32.42</v>
      </c>
      <c r="N260" s="563">
        <f t="shared" si="96"/>
        <v>10.5</v>
      </c>
      <c r="O260" s="564"/>
      <c r="P260" s="564"/>
      <c r="Q260" s="564">
        <v>5.5</v>
      </c>
      <c r="R260" s="564">
        <v>5</v>
      </c>
      <c r="S260" s="563">
        <f t="shared" si="97"/>
        <v>0</v>
      </c>
      <c r="T260" s="564">
        <f t="shared" si="98"/>
        <v>0</v>
      </c>
      <c r="U260" s="564"/>
      <c r="V260" s="564"/>
      <c r="W260" s="564"/>
      <c r="X260" s="564"/>
      <c r="Y260" s="564"/>
      <c r="Z260" s="564"/>
      <c r="AA260" s="563">
        <f t="shared" si="99"/>
        <v>0</v>
      </c>
      <c r="AB260" s="564"/>
      <c r="AC260" s="564"/>
      <c r="AD260" s="564"/>
      <c r="AE260" s="564"/>
      <c r="AF260" s="564"/>
      <c r="AG260" s="563">
        <f t="shared" si="100"/>
        <v>33.0372144</v>
      </c>
      <c r="AH260" s="564">
        <f t="shared" si="101"/>
        <v>15.921984</v>
      </c>
      <c r="AI260" s="564">
        <f t="shared" si="102"/>
        <v>5.109024</v>
      </c>
      <c r="AJ260" s="564">
        <f t="shared" si="103"/>
        <v>3.831768</v>
      </c>
      <c r="AK260" s="564">
        <f t="shared" si="104"/>
        <v>0.1277256</v>
      </c>
      <c r="AL260" s="564">
        <f t="shared" si="105"/>
        <v>0.3831768</v>
      </c>
      <c r="AM260" s="564">
        <f t="shared" si="106"/>
        <v>7.663536</v>
      </c>
      <c r="AN260" s="564"/>
      <c r="AO260" s="304"/>
    </row>
    <row r="261" s="130" customFormat="1" ht="24" spans="1:41">
      <c r="A261" s="1" t="s">
        <v>730</v>
      </c>
      <c r="B261" s="1" t="s">
        <v>206</v>
      </c>
      <c r="C261" s="588" t="s">
        <v>561</v>
      </c>
      <c r="D261" s="1" t="s">
        <v>562</v>
      </c>
      <c r="E261" s="565">
        <f t="shared" si="93"/>
        <v>674.2499064</v>
      </c>
      <c r="F261" s="566">
        <f t="shared" si="94"/>
        <v>0</v>
      </c>
      <c r="G261" s="566">
        <f t="shared" si="95"/>
        <v>0</v>
      </c>
      <c r="H261" s="566"/>
      <c r="I261" s="566"/>
      <c r="J261" s="566"/>
      <c r="K261" s="564"/>
      <c r="L261" s="564"/>
      <c r="M261" s="564"/>
      <c r="N261" s="563">
        <f t="shared" si="96"/>
        <v>0</v>
      </c>
      <c r="O261" s="564"/>
      <c r="P261" s="566"/>
      <c r="Q261" s="564"/>
      <c r="R261" s="564"/>
      <c r="S261" s="563">
        <f t="shared" si="97"/>
        <v>472.1638</v>
      </c>
      <c r="T261" s="564">
        <f t="shared" si="98"/>
        <v>408.456</v>
      </c>
      <c r="U261" s="564">
        <v>289.4796</v>
      </c>
      <c r="V261" s="564">
        <v>12.7968</v>
      </c>
      <c r="W261" s="564">
        <v>106.1796</v>
      </c>
      <c r="X261" s="564"/>
      <c r="Y261" s="564"/>
      <c r="Z261" s="564"/>
      <c r="AA261" s="563">
        <f t="shared" si="99"/>
        <v>63.7078</v>
      </c>
      <c r="AB261" s="564">
        <v>63.7078</v>
      </c>
      <c r="AC261" s="564"/>
      <c r="AD261" s="564"/>
      <c r="AE261" s="577"/>
      <c r="AF261" s="564">
        <v>0</v>
      </c>
      <c r="AG261" s="563">
        <f t="shared" si="100"/>
        <v>202.0861064</v>
      </c>
      <c r="AH261" s="564">
        <f t="shared" si="101"/>
        <v>75.546208</v>
      </c>
      <c r="AI261" s="564">
        <f t="shared" si="102"/>
        <v>37.773104</v>
      </c>
      <c r="AJ261" s="564">
        <f t="shared" si="103"/>
        <v>28.329828</v>
      </c>
      <c r="AK261" s="564">
        <f t="shared" si="104"/>
        <v>0.9443276</v>
      </c>
      <c r="AL261" s="564">
        <f t="shared" si="105"/>
        <v>2.8329828</v>
      </c>
      <c r="AM261" s="564">
        <f t="shared" si="106"/>
        <v>56.659656</v>
      </c>
      <c r="AN261" s="564"/>
      <c r="AO261" s="304"/>
    </row>
    <row r="262" s="130" customFormat="1" ht="24" spans="1:41">
      <c r="A262" s="1" t="s">
        <v>504</v>
      </c>
      <c r="B262" s="1" t="s">
        <v>203</v>
      </c>
      <c r="C262" s="1" t="s">
        <v>563</v>
      </c>
      <c r="D262" s="1" t="s">
        <v>564</v>
      </c>
      <c r="E262" s="565">
        <f t="shared" si="93"/>
        <v>89.24336</v>
      </c>
      <c r="F262" s="566">
        <f t="shared" si="94"/>
        <v>68.67</v>
      </c>
      <c r="G262" s="566">
        <f t="shared" si="95"/>
        <v>60.88</v>
      </c>
      <c r="H262" s="566">
        <v>25.34</v>
      </c>
      <c r="I262" s="566">
        <v>15.08</v>
      </c>
      <c r="J262" s="566">
        <v>2.11</v>
      </c>
      <c r="K262" s="564"/>
      <c r="L262" s="564"/>
      <c r="M262" s="564">
        <v>18.35</v>
      </c>
      <c r="N262" s="563">
        <f t="shared" si="96"/>
        <v>7.79</v>
      </c>
      <c r="O262" s="564">
        <v>2.54</v>
      </c>
      <c r="P262" s="564"/>
      <c r="Q262" s="564">
        <v>2.75</v>
      </c>
      <c r="R262" s="564">
        <v>2.5</v>
      </c>
      <c r="S262" s="563">
        <f t="shared" si="97"/>
        <v>0</v>
      </c>
      <c r="T262" s="564">
        <f t="shared" si="98"/>
        <v>0</v>
      </c>
      <c r="U262" s="564"/>
      <c r="V262" s="564"/>
      <c r="W262" s="564"/>
      <c r="X262" s="564"/>
      <c r="Y262" s="564"/>
      <c r="Z262" s="564"/>
      <c r="AA262" s="563">
        <f t="shared" si="99"/>
        <v>0</v>
      </c>
      <c r="AB262" s="564"/>
      <c r="AC262" s="564"/>
      <c r="AD262" s="564"/>
      <c r="AE262" s="564"/>
      <c r="AF262" s="564"/>
      <c r="AG262" s="563">
        <f t="shared" si="100"/>
        <v>20.57336</v>
      </c>
      <c r="AH262" s="564">
        <f t="shared" si="101"/>
        <v>9.7408</v>
      </c>
      <c r="AI262" s="564">
        <f t="shared" si="102"/>
        <v>3.2336</v>
      </c>
      <c r="AJ262" s="564">
        <f t="shared" si="103"/>
        <v>2.4252</v>
      </c>
      <c r="AK262" s="564">
        <f t="shared" si="104"/>
        <v>0.08084</v>
      </c>
      <c r="AL262" s="564">
        <f t="shared" si="105"/>
        <v>0.24252</v>
      </c>
      <c r="AM262" s="564">
        <f t="shared" si="106"/>
        <v>4.8504</v>
      </c>
      <c r="AN262" s="564"/>
      <c r="AO262" s="304"/>
    </row>
    <row r="263" s="508" customFormat="1" ht="21" customHeight="1" spans="1:42">
      <c r="A263" s="525"/>
      <c r="B263" s="525"/>
      <c r="C263" s="525" t="s">
        <v>135</v>
      </c>
      <c r="D263" s="526">
        <v>212</v>
      </c>
      <c r="E263" s="561">
        <f t="shared" ref="E263:AN263" si="107">SUM(E264:E274)</f>
        <v>2534.1465112</v>
      </c>
      <c r="F263" s="561">
        <f t="shared" si="107"/>
        <v>1237.6272</v>
      </c>
      <c r="G263" s="561">
        <f t="shared" si="107"/>
        <v>407.0472</v>
      </c>
      <c r="H263" s="561">
        <f t="shared" si="107"/>
        <v>163.636</v>
      </c>
      <c r="I263" s="561">
        <f t="shared" si="107"/>
        <v>101.5532</v>
      </c>
      <c r="J263" s="561">
        <f t="shared" si="107"/>
        <v>13.638</v>
      </c>
      <c r="K263" s="561">
        <f t="shared" si="107"/>
        <v>0</v>
      </c>
      <c r="L263" s="561">
        <f t="shared" si="107"/>
        <v>0</v>
      </c>
      <c r="M263" s="561">
        <f t="shared" si="107"/>
        <v>128.22</v>
      </c>
      <c r="N263" s="561">
        <f t="shared" si="107"/>
        <v>830.58</v>
      </c>
      <c r="O263" s="561">
        <f t="shared" si="107"/>
        <v>475.32</v>
      </c>
      <c r="P263" s="561">
        <f t="shared" si="107"/>
        <v>315.36</v>
      </c>
      <c r="Q263" s="561">
        <f t="shared" si="107"/>
        <v>20.9</v>
      </c>
      <c r="R263" s="561">
        <f t="shared" si="107"/>
        <v>19</v>
      </c>
      <c r="S263" s="561">
        <f t="shared" si="107"/>
        <v>899.1742</v>
      </c>
      <c r="T263" s="561">
        <f t="shared" si="107"/>
        <v>664.4312</v>
      </c>
      <c r="U263" s="561">
        <f t="shared" si="107"/>
        <v>391.5152</v>
      </c>
      <c r="V263" s="561">
        <f t="shared" si="107"/>
        <v>0.2892</v>
      </c>
      <c r="W263" s="561">
        <f t="shared" si="107"/>
        <v>136.4688</v>
      </c>
      <c r="X263" s="561">
        <f t="shared" si="107"/>
        <v>0</v>
      </c>
      <c r="Y263" s="561">
        <f t="shared" si="107"/>
        <v>0.468</v>
      </c>
      <c r="Z263" s="561">
        <f t="shared" si="107"/>
        <v>135.69</v>
      </c>
      <c r="AA263" s="561">
        <f t="shared" si="107"/>
        <v>234.743</v>
      </c>
      <c r="AB263" s="561">
        <f t="shared" si="107"/>
        <v>81.883</v>
      </c>
      <c r="AC263" s="561">
        <f t="shared" si="107"/>
        <v>0</v>
      </c>
      <c r="AD263" s="561">
        <f t="shared" si="107"/>
        <v>106.36</v>
      </c>
      <c r="AE263" s="561">
        <f t="shared" si="107"/>
        <v>0</v>
      </c>
      <c r="AF263" s="561">
        <f t="shared" si="107"/>
        <v>46.5</v>
      </c>
      <c r="AG263" s="561">
        <f t="shared" si="107"/>
        <v>397.3451112</v>
      </c>
      <c r="AH263" s="561">
        <f t="shared" si="107"/>
        <v>162.752544</v>
      </c>
      <c r="AI263" s="561">
        <f t="shared" si="107"/>
        <v>70.027632</v>
      </c>
      <c r="AJ263" s="561">
        <f t="shared" si="107"/>
        <v>52.520724</v>
      </c>
      <c r="AK263" s="561">
        <f t="shared" si="107"/>
        <v>1.7506908</v>
      </c>
      <c r="AL263" s="561">
        <f t="shared" si="107"/>
        <v>5.2520724</v>
      </c>
      <c r="AM263" s="561">
        <f t="shared" si="107"/>
        <v>105.041448</v>
      </c>
      <c r="AN263" s="561">
        <f t="shared" si="107"/>
        <v>0</v>
      </c>
      <c r="AO263" s="334"/>
      <c r="AP263" s="580"/>
    </row>
    <row r="264" s="130" customFormat="1" ht="24" spans="1:41">
      <c r="A264" s="1" t="s">
        <v>261</v>
      </c>
      <c r="B264" s="1" t="s">
        <v>203</v>
      </c>
      <c r="C264" s="1" t="s">
        <v>565</v>
      </c>
      <c r="D264" s="1" t="s">
        <v>566</v>
      </c>
      <c r="E264" s="563">
        <f t="shared" ref="E264:E274" si="108">F264+S264+AG264</f>
        <v>183.8818576</v>
      </c>
      <c r="F264" s="564">
        <f t="shared" ref="F264:F274" si="109">G264+N264</f>
        <v>141.1272</v>
      </c>
      <c r="G264" s="564">
        <f t="shared" ref="G264:G274" si="110">SUM(H264:M264)</f>
        <v>127.0372</v>
      </c>
      <c r="H264" s="567">
        <v>52.056</v>
      </c>
      <c r="I264" s="567">
        <v>31.6332</v>
      </c>
      <c r="J264" s="567">
        <v>4.338</v>
      </c>
      <c r="K264" s="564"/>
      <c r="L264" s="564"/>
      <c r="M264" s="564">
        <v>39.01</v>
      </c>
      <c r="N264" s="563">
        <f t="shared" ref="N264:N274" si="111">SUM(O264:R264)</f>
        <v>14.09</v>
      </c>
      <c r="O264" s="567">
        <v>2.54</v>
      </c>
      <c r="P264" s="566"/>
      <c r="Q264" s="564">
        <v>6.05</v>
      </c>
      <c r="R264" s="564">
        <v>5.5</v>
      </c>
      <c r="S264" s="563">
        <f t="shared" ref="S264:S274" si="112">T264+AA264</f>
        <v>0</v>
      </c>
      <c r="T264" s="564">
        <f t="shared" ref="T264:T274" si="113">SUM(U264:Z264)</f>
        <v>0</v>
      </c>
      <c r="U264" s="564"/>
      <c r="V264" s="564"/>
      <c r="W264" s="564"/>
      <c r="X264" s="564"/>
      <c r="Y264" s="564"/>
      <c r="Z264" s="564"/>
      <c r="AA264" s="563">
        <f t="shared" ref="AA264:AA274" si="114">SUM(AB264:AF264)</f>
        <v>0</v>
      </c>
      <c r="AB264" s="564"/>
      <c r="AC264" s="564"/>
      <c r="AD264" s="564"/>
      <c r="AE264" s="564"/>
      <c r="AF264" s="564"/>
      <c r="AG264" s="563">
        <f t="shared" ref="AG264:AG274" si="115">SUM(AH264:AN264)</f>
        <v>42.7546576</v>
      </c>
      <c r="AH264" s="564">
        <f t="shared" ref="AH264:AH274" si="116">(H264+I264+J264+U264+V264+W264+AB264+M264)*0.16</f>
        <v>20.325952</v>
      </c>
      <c r="AI264" s="564">
        <f t="shared" ref="AI264:AI274" si="117">(H264+I264+U264+V264+W264+AB264)*0.08</f>
        <v>6.695136</v>
      </c>
      <c r="AJ264" s="564">
        <f t="shared" ref="AJ264:AJ274" si="118">(H264+I264+U264+V264+W264+AB264)*0.06</f>
        <v>5.021352</v>
      </c>
      <c r="AK264" s="564">
        <f t="shared" ref="AK264:AK274" si="119">(H264+I264+U264+V264+W264+AB264)*0.002</f>
        <v>0.1673784</v>
      </c>
      <c r="AL264" s="564">
        <f t="shared" ref="AL264:AL274" si="120">(H264+I264+U264+V264+W264+AB264)*0.006</f>
        <v>0.5021352</v>
      </c>
      <c r="AM264" s="564">
        <f t="shared" ref="AM264:AM274" si="121">(H264+I264+U264+V264+W264+AB264)*0.12</f>
        <v>10.042704</v>
      </c>
      <c r="AN264" s="564"/>
      <c r="AO264" s="304"/>
    </row>
    <row r="265" s="131" customFormat="1" ht="132" spans="1:41">
      <c r="A265" s="1" t="s">
        <v>261</v>
      </c>
      <c r="B265" s="1" t="s">
        <v>203</v>
      </c>
      <c r="C265" s="1" t="s">
        <v>567</v>
      </c>
      <c r="D265" s="1" t="s">
        <v>568</v>
      </c>
      <c r="E265" s="565">
        <f t="shared" si="108"/>
        <v>1189.9436</v>
      </c>
      <c r="F265" s="566">
        <f t="shared" si="109"/>
        <v>1096.5</v>
      </c>
      <c r="G265" s="566">
        <f t="shared" si="110"/>
        <v>280.01</v>
      </c>
      <c r="H265" s="567">
        <v>111.58</v>
      </c>
      <c r="I265" s="567">
        <v>69.92</v>
      </c>
      <c r="J265" s="567">
        <v>9.3</v>
      </c>
      <c r="K265" s="566"/>
      <c r="L265" s="566"/>
      <c r="M265" s="566">
        <v>89.21</v>
      </c>
      <c r="N265" s="565">
        <f t="shared" si="111"/>
        <v>816.49</v>
      </c>
      <c r="O265" s="567">
        <v>472.78</v>
      </c>
      <c r="P265" s="567">
        <v>315.36</v>
      </c>
      <c r="Q265" s="566">
        <v>14.85</v>
      </c>
      <c r="R265" s="566">
        <v>13.5</v>
      </c>
      <c r="S265" s="565">
        <f t="shared" si="112"/>
        <v>0</v>
      </c>
      <c r="T265" s="566">
        <f t="shared" si="113"/>
        <v>0</v>
      </c>
      <c r="U265" s="566"/>
      <c r="V265" s="566"/>
      <c r="W265" s="566"/>
      <c r="X265" s="566"/>
      <c r="Y265" s="566"/>
      <c r="Z265" s="566"/>
      <c r="AA265" s="565">
        <f t="shared" si="114"/>
        <v>0</v>
      </c>
      <c r="AB265" s="566"/>
      <c r="AC265" s="566"/>
      <c r="AD265" s="566"/>
      <c r="AE265" s="566"/>
      <c r="AF265" s="566"/>
      <c r="AG265" s="565">
        <f t="shared" si="115"/>
        <v>93.4436</v>
      </c>
      <c r="AH265" s="566">
        <f t="shared" si="116"/>
        <v>44.8016</v>
      </c>
      <c r="AI265" s="566">
        <f t="shared" si="117"/>
        <v>14.52</v>
      </c>
      <c r="AJ265" s="566">
        <f t="shared" si="118"/>
        <v>10.89</v>
      </c>
      <c r="AK265" s="566">
        <f t="shared" si="119"/>
        <v>0.363</v>
      </c>
      <c r="AL265" s="566">
        <f t="shared" si="120"/>
        <v>1.089</v>
      </c>
      <c r="AM265" s="566">
        <f t="shared" si="121"/>
        <v>21.78</v>
      </c>
      <c r="AN265" s="566"/>
      <c r="AO265" s="576" t="s">
        <v>731</v>
      </c>
    </row>
    <row r="266" s="131" customFormat="1" ht="24" spans="1:41">
      <c r="A266" s="1" t="s">
        <v>261</v>
      </c>
      <c r="B266" s="1" t="s">
        <v>206</v>
      </c>
      <c r="C266" s="1" t="s">
        <v>570</v>
      </c>
      <c r="D266" s="1" t="s">
        <v>568</v>
      </c>
      <c r="E266" s="565">
        <f t="shared" si="108"/>
        <v>340.539152</v>
      </c>
      <c r="F266" s="566">
        <f t="shared" si="109"/>
        <v>0</v>
      </c>
      <c r="G266" s="566">
        <f t="shared" si="110"/>
        <v>0</v>
      </c>
      <c r="H266" s="566"/>
      <c r="I266" s="566"/>
      <c r="J266" s="566"/>
      <c r="K266" s="566"/>
      <c r="L266" s="566"/>
      <c r="M266" s="566"/>
      <c r="N266" s="565">
        <f t="shared" si="111"/>
        <v>0</v>
      </c>
      <c r="O266" s="566"/>
      <c r="P266" s="566"/>
      <c r="Q266" s="566"/>
      <c r="R266" s="566"/>
      <c r="S266" s="565">
        <f t="shared" si="112"/>
        <v>256.444</v>
      </c>
      <c r="T266" s="566">
        <f t="shared" si="113"/>
        <v>213.504</v>
      </c>
      <c r="U266" s="567">
        <v>124.644</v>
      </c>
      <c r="V266" s="567"/>
      <c r="W266" s="567">
        <v>44.9</v>
      </c>
      <c r="X266" s="566"/>
      <c r="Y266" s="566"/>
      <c r="Z266" s="566">
        <v>43.96</v>
      </c>
      <c r="AA266" s="565">
        <f t="shared" si="114"/>
        <v>42.94</v>
      </c>
      <c r="AB266" s="567">
        <v>26.94</v>
      </c>
      <c r="AC266" s="566"/>
      <c r="AD266" s="566"/>
      <c r="AE266" s="566"/>
      <c r="AF266" s="566">
        <v>16</v>
      </c>
      <c r="AG266" s="565">
        <f t="shared" si="115"/>
        <v>84.095152</v>
      </c>
      <c r="AH266" s="566">
        <f t="shared" si="116"/>
        <v>31.43744</v>
      </c>
      <c r="AI266" s="566">
        <f t="shared" si="117"/>
        <v>15.71872</v>
      </c>
      <c r="AJ266" s="566">
        <f t="shared" si="118"/>
        <v>11.78904</v>
      </c>
      <c r="AK266" s="566">
        <f t="shared" si="119"/>
        <v>0.392968</v>
      </c>
      <c r="AL266" s="566">
        <f t="shared" si="120"/>
        <v>1.178904</v>
      </c>
      <c r="AM266" s="566">
        <f t="shared" si="121"/>
        <v>23.57808</v>
      </c>
      <c r="AN266" s="566"/>
      <c r="AO266" s="304"/>
    </row>
    <row r="267" s="131" customFormat="1" ht="24" spans="1:41">
      <c r="A267" s="1" t="s">
        <v>261</v>
      </c>
      <c r="B267" s="1" t="s">
        <v>206</v>
      </c>
      <c r="C267" s="1" t="s">
        <v>571</v>
      </c>
      <c r="D267" s="1" t="s">
        <v>572</v>
      </c>
      <c r="E267" s="565">
        <f t="shared" si="108"/>
        <v>83.2327728</v>
      </c>
      <c r="F267" s="566">
        <f t="shared" si="109"/>
        <v>0</v>
      </c>
      <c r="G267" s="566">
        <f t="shared" si="110"/>
        <v>0</v>
      </c>
      <c r="H267" s="566"/>
      <c r="I267" s="566"/>
      <c r="J267" s="566"/>
      <c r="K267" s="566"/>
      <c r="L267" s="566"/>
      <c r="M267" s="566"/>
      <c r="N267" s="565">
        <f t="shared" si="111"/>
        <v>0</v>
      </c>
      <c r="O267" s="566"/>
      <c r="P267" s="566"/>
      <c r="Q267" s="566"/>
      <c r="R267" s="566"/>
      <c r="S267" s="565">
        <f t="shared" si="112"/>
        <v>62.1976</v>
      </c>
      <c r="T267" s="566">
        <f t="shared" si="113"/>
        <v>52.9668</v>
      </c>
      <c r="U267" s="567">
        <v>32.532</v>
      </c>
      <c r="V267" s="567"/>
      <c r="W267" s="567">
        <v>10.3848</v>
      </c>
      <c r="X267" s="566"/>
      <c r="Y267" s="566"/>
      <c r="Z267" s="566">
        <v>10.05</v>
      </c>
      <c r="AA267" s="565">
        <f t="shared" si="114"/>
        <v>9.2308</v>
      </c>
      <c r="AB267" s="567">
        <v>6.2308</v>
      </c>
      <c r="AC267" s="566"/>
      <c r="AD267" s="566"/>
      <c r="AE267" s="566"/>
      <c r="AF267" s="566">
        <v>3</v>
      </c>
      <c r="AG267" s="565">
        <f t="shared" si="115"/>
        <v>21.0351728</v>
      </c>
      <c r="AH267" s="566">
        <f t="shared" si="116"/>
        <v>7.863616</v>
      </c>
      <c r="AI267" s="566">
        <f t="shared" si="117"/>
        <v>3.931808</v>
      </c>
      <c r="AJ267" s="566">
        <f t="shared" si="118"/>
        <v>2.948856</v>
      </c>
      <c r="AK267" s="566">
        <f t="shared" si="119"/>
        <v>0.0982952</v>
      </c>
      <c r="AL267" s="566">
        <f t="shared" si="120"/>
        <v>0.2948856</v>
      </c>
      <c r="AM267" s="566">
        <f t="shared" si="121"/>
        <v>5.897712</v>
      </c>
      <c r="AN267" s="566"/>
      <c r="AO267" s="304"/>
    </row>
    <row r="268" s="131" customFormat="1" ht="24" spans="1:41">
      <c r="A268" s="1" t="s">
        <v>261</v>
      </c>
      <c r="B268" s="1" t="s">
        <v>206</v>
      </c>
      <c r="C268" s="1" t="s">
        <v>573</v>
      </c>
      <c r="D268" s="1" t="s">
        <v>574</v>
      </c>
      <c r="E268" s="565">
        <f t="shared" si="108"/>
        <v>34.7586388</v>
      </c>
      <c r="F268" s="566">
        <f t="shared" si="109"/>
        <v>0</v>
      </c>
      <c r="G268" s="566">
        <f t="shared" si="110"/>
        <v>0</v>
      </c>
      <c r="H268" s="566"/>
      <c r="I268" s="566"/>
      <c r="J268" s="566"/>
      <c r="K268" s="566"/>
      <c r="L268" s="566"/>
      <c r="M268" s="566"/>
      <c r="N268" s="565">
        <f t="shared" si="111"/>
        <v>0</v>
      </c>
      <c r="O268" s="566"/>
      <c r="P268" s="566"/>
      <c r="Q268" s="566"/>
      <c r="R268" s="566"/>
      <c r="S268" s="565">
        <f t="shared" si="112"/>
        <v>26.1421</v>
      </c>
      <c r="T268" s="566">
        <f t="shared" si="113"/>
        <v>21.9004</v>
      </c>
      <c r="U268" s="567">
        <v>12.8208</v>
      </c>
      <c r="V268" s="567"/>
      <c r="W268" s="567">
        <v>4.5696</v>
      </c>
      <c r="X268" s="566"/>
      <c r="Y268" s="566"/>
      <c r="Z268" s="566">
        <v>4.51</v>
      </c>
      <c r="AA268" s="565">
        <f t="shared" si="114"/>
        <v>4.2417</v>
      </c>
      <c r="AB268" s="567">
        <v>2.7417</v>
      </c>
      <c r="AC268" s="566"/>
      <c r="AD268" s="566"/>
      <c r="AE268" s="566"/>
      <c r="AF268" s="566">
        <v>1.5</v>
      </c>
      <c r="AG268" s="565">
        <f t="shared" si="115"/>
        <v>8.6165388</v>
      </c>
      <c r="AH268" s="566">
        <f t="shared" si="116"/>
        <v>3.221136</v>
      </c>
      <c r="AI268" s="566">
        <f t="shared" si="117"/>
        <v>1.610568</v>
      </c>
      <c r="AJ268" s="566">
        <f t="shared" si="118"/>
        <v>1.207926</v>
      </c>
      <c r="AK268" s="566">
        <f t="shared" si="119"/>
        <v>0.0402642</v>
      </c>
      <c r="AL268" s="566">
        <f t="shared" si="120"/>
        <v>0.1207926</v>
      </c>
      <c r="AM268" s="566">
        <f t="shared" si="121"/>
        <v>2.415852</v>
      </c>
      <c r="AN268" s="566"/>
      <c r="AO268" s="304"/>
    </row>
    <row r="269" s="131" customFormat="1" ht="24" spans="1:41">
      <c r="A269" s="1" t="s">
        <v>261</v>
      </c>
      <c r="B269" s="1" t="s">
        <v>206</v>
      </c>
      <c r="C269" s="1" t="s">
        <v>575</v>
      </c>
      <c r="D269" s="1" t="s">
        <v>574</v>
      </c>
      <c r="E269" s="565">
        <f t="shared" si="108"/>
        <v>99.66864</v>
      </c>
      <c r="F269" s="566">
        <f t="shared" si="109"/>
        <v>0</v>
      </c>
      <c r="G269" s="566">
        <f t="shared" si="110"/>
        <v>0</v>
      </c>
      <c r="H269" s="566"/>
      <c r="I269" s="566"/>
      <c r="J269" s="566"/>
      <c r="K269" s="566"/>
      <c r="L269" s="566"/>
      <c r="M269" s="566"/>
      <c r="N269" s="565">
        <f t="shared" si="111"/>
        <v>0</v>
      </c>
      <c r="O269" s="566"/>
      <c r="P269" s="566"/>
      <c r="Q269" s="566"/>
      <c r="R269" s="566"/>
      <c r="S269" s="565">
        <f t="shared" si="112"/>
        <v>77.25</v>
      </c>
      <c r="T269" s="566">
        <f t="shared" si="113"/>
        <v>58.02</v>
      </c>
      <c r="U269" s="567">
        <v>33.45</v>
      </c>
      <c r="V269" s="567"/>
      <c r="W269" s="567">
        <v>11.83</v>
      </c>
      <c r="X269" s="566"/>
      <c r="Y269" s="566"/>
      <c r="Z269" s="566">
        <v>12.74</v>
      </c>
      <c r="AA269" s="565">
        <f t="shared" si="114"/>
        <v>19.23</v>
      </c>
      <c r="AB269" s="567">
        <v>7.1</v>
      </c>
      <c r="AC269" s="567"/>
      <c r="AD269" s="567">
        <v>7.63</v>
      </c>
      <c r="AE269" s="566"/>
      <c r="AF269" s="566">
        <v>4.5</v>
      </c>
      <c r="AG269" s="565">
        <f t="shared" si="115"/>
        <v>22.41864</v>
      </c>
      <c r="AH269" s="566">
        <f t="shared" si="116"/>
        <v>8.3808</v>
      </c>
      <c r="AI269" s="566">
        <f t="shared" si="117"/>
        <v>4.1904</v>
      </c>
      <c r="AJ269" s="566">
        <f t="shared" si="118"/>
        <v>3.1428</v>
      </c>
      <c r="AK269" s="566">
        <f t="shared" si="119"/>
        <v>0.10476</v>
      </c>
      <c r="AL269" s="566">
        <f t="shared" si="120"/>
        <v>0.31428</v>
      </c>
      <c r="AM269" s="566">
        <f t="shared" si="121"/>
        <v>6.2856</v>
      </c>
      <c r="AN269" s="566"/>
      <c r="AO269" s="304"/>
    </row>
    <row r="270" s="131" customFormat="1" ht="24" spans="1:41">
      <c r="A270" s="1" t="s">
        <v>261</v>
      </c>
      <c r="B270" s="1" t="s">
        <v>206</v>
      </c>
      <c r="C270" s="1" t="s">
        <v>576</v>
      </c>
      <c r="D270" s="1" t="s">
        <v>574</v>
      </c>
      <c r="E270" s="565">
        <f t="shared" si="108"/>
        <v>88.072</v>
      </c>
      <c r="F270" s="566">
        <f t="shared" si="109"/>
        <v>0</v>
      </c>
      <c r="G270" s="566">
        <f t="shared" si="110"/>
        <v>0</v>
      </c>
      <c r="H270" s="566"/>
      <c r="I270" s="566"/>
      <c r="J270" s="566"/>
      <c r="K270" s="566"/>
      <c r="L270" s="566"/>
      <c r="M270" s="566"/>
      <c r="N270" s="565">
        <f t="shared" si="111"/>
        <v>0</v>
      </c>
      <c r="O270" s="566"/>
      <c r="P270" s="566"/>
      <c r="Q270" s="566"/>
      <c r="R270" s="566"/>
      <c r="S270" s="565">
        <f t="shared" si="112"/>
        <v>70.31</v>
      </c>
      <c r="T270" s="566">
        <f t="shared" si="113"/>
        <v>45.6</v>
      </c>
      <c r="U270" s="567">
        <v>25.63</v>
      </c>
      <c r="V270" s="567"/>
      <c r="W270" s="567">
        <v>9.92</v>
      </c>
      <c r="X270" s="566"/>
      <c r="Y270" s="566"/>
      <c r="Z270" s="566">
        <v>10.05</v>
      </c>
      <c r="AA270" s="565">
        <f t="shared" si="114"/>
        <v>24.71</v>
      </c>
      <c r="AB270" s="567">
        <v>5.95</v>
      </c>
      <c r="AC270" s="567"/>
      <c r="AD270" s="567">
        <v>15.26</v>
      </c>
      <c r="AE270" s="566"/>
      <c r="AF270" s="566">
        <v>3.5</v>
      </c>
      <c r="AG270" s="565">
        <f t="shared" si="115"/>
        <v>17.762</v>
      </c>
      <c r="AH270" s="566">
        <f t="shared" si="116"/>
        <v>6.64</v>
      </c>
      <c r="AI270" s="566">
        <f t="shared" si="117"/>
        <v>3.32</v>
      </c>
      <c r="AJ270" s="566">
        <f t="shared" si="118"/>
        <v>2.49</v>
      </c>
      <c r="AK270" s="566">
        <f t="shared" si="119"/>
        <v>0.083</v>
      </c>
      <c r="AL270" s="566">
        <f t="shared" si="120"/>
        <v>0.249</v>
      </c>
      <c r="AM270" s="566">
        <f t="shared" si="121"/>
        <v>4.98</v>
      </c>
      <c r="AN270" s="566"/>
      <c r="AO270" s="304"/>
    </row>
    <row r="271" s="131" customFormat="1" ht="24" spans="1:41">
      <c r="A271" s="1" t="s">
        <v>261</v>
      </c>
      <c r="B271" s="1" t="s">
        <v>206</v>
      </c>
      <c r="C271" s="1" t="s">
        <v>577</v>
      </c>
      <c r="D271" s="1" t="s">
        <v>578</v>
      </c>
      <c r="E271" s="565">
        <f t="shared" si="108"/>
        <v>163.53088</v>
      </c>
      <c r="F271" s="566">
        <f t="shared" si="109"/>
        <v>0</v>
      </c>
      <c r="G271" s="566">
        <f t="shared" si="110"/>
        <v>0</v>
      </c>
      <c r="H271" s="566"/>
      <c r="I271" s="566"/>
      <c r="J271" s="566"/>
      <c r="K271" s="566"/>
      <c r="L271" s="566"/>
      <c r="M271" s="566"/>
      <c r="N271" s="565">
        <f t="shared" si="111"/>
        <v>0</v>
      </c>
      <c r="O271" s="566"/>
      <c r="P271" s="566"/>
      <c r="Q271" s="566"/>
      <c r="R271" s="566"/>
      <c r="S271" s="565">
        <f t="shared" si="112"/>
        <v>122.46</v>
      </c>
      <c r="T271" s="566">
        <f t="shared" si="113"/>
        <v>103.79</v>
      </c>
      <c r="U271" s="567">
        <v>63.52</v>
      </c>
      <c r="V271" s="567"/>
      <c r="W271" s="567">
        <v>20.27</v>
      </c>
      <c r="X271" s="566"/>
      <c r="Y271" s="566"/>
      <c r="Z271" s="566">
        <v>20</v>
      </c>
      <c r="AA271" s="565">
        <f t="shared" si="114"/>
        <v>18.67</v>
      </c>
      <c r="AB271" s="567">
        <v>12.17</v>
      </c>
      <c r="AC271" s="566"/>
      <c r="AD271" s="566"/>
      <c r="AE271" s="566"/>
      <c r="AF271" s="566">
        <v>6.5</v>
      </c>
      <c r="AG271" s="565">
        <f t="shared" si="115"/>
        <v>41.07088</v>
      </c>
      <c r="AH271" s="566">
        <f t="shared" si="116"/>
        <v>15.3536</v>
      </c>
      <c r="AI271" s="566">
        <f t="shared" si="117"/>
        <v>7.6768</v>
      </c>
      <c r="AJ271" s="566">
        <f t="shared" si="118"/>
        <v>5.7576</v>
      </c>
      <c r="AK271" s="566">
        <f t="shared" si="119"/>
        <v>0.19192</v>
      </c>
      <c r="AL271" s="566">
        <f t="shared" si="120"/>
        <v>0.57576</v>
      </c>
      <c r="AM271" s="566">
        <f t="shared" si="121"/>
        <v>11.5152</v>
      </c>
      <c r="AN271" s="566"/>
      <c r="AO271" s="304"/>
    </row>
    <row r="272" s="131" customFormat="1" ht="60" spans="1:41">
      <c r="A272" s="1" t="s">
        <v>261</v>
      </c>
      <c r="B272" s="1" t="s">
        <v>206</v>
      </c>
      <c r="C272" s="1" t="s">
        <v>579</v>
      </c>
      <c r="D272" s="1" t="s">
        <v>580</v>
      </c>
      <c r="E272" s="565">
        <f t="shared" si="108"/>
        <v>147.1178624</v>
      </c>
      <c r="F272" s="566">
        <f t="shared" si="109"/>
        <v>0</v>
      </c>
      <c r="G272" s="566">
        <f t="shared" si="110"/>
        <v>0</v>
      </c>
      <c r="H272" s="566"/>
      <c r="I272" s="566"/>
      <c r="J272" s="566"/>
      <c r="K272" s="566"/>
      <c r="L272" s="566"/>
      <c r="M272" s="566"/>
      <c r="N272" s="565">
        <f t="shared" si="111"/>
        <v>0</v>
      </c>
      <c r="O272" s="566"/>
      <c r="P272" s="566"/>
      <c r="Q272" s="566"/>
      <c r="R272" s="566"/>
      <c r="S272" s="565">
        <f t="shared" si="112"/>
        <v>129.0388</v>
      </c>
      <c r="T272" s="566">
        <f t="shared" si="113"/>
        <v>46.6268</v>
      </c>
      <c r="U272" s="566">
        <v>26.976</v>
      </c>
      <c r="V272" s="566">
        <v>0.2892</v>
      </c>
      <c r="W272" s="566">
        <v>9.3636</v>
      </c>
      <c r="X272" s="566"/>
      <c r="Y272" s="566">
        <v>0.468</v>
      </c>
      <c r="Z272" s="566">
        <v>9.53</v>
      </c>
      <c r="AA272" s="565">
        <f t="shared" si="114"/>
        <v>82.412</v>
      </c>
      <c r="AB272" s="566">
        <v>5.612</v>
      </c>
      <c r="AC272" s="566"/>
      <c r="AD272" s="566">
        <v>73.3</v>
      </c>
      <c r="AE272" s="566"/>
      <c r="AF272" s="566">
        <v>3.5</v>
      </c>
      <c r="AG272" s="565">
        <f t="shared" si="115"/>
        <v>18.0790624</v>
      </c>
      <c r="AH272" s="566">
        <f t="shared" si="116"/>
        <v>6.758528</v>
      </c>
      <c r="AI272" s="566">
        <f t="shared" si="117"/>
        <v>3.379264</v>
      </c>
      <c r="AJ272" s="566">
        <f t="shared" si="118"/>
        <v>2.534448</v>
      </c>
      <c r="AK272" s="566">
        <f t="shared" si="119"/>
        <v>0.0844816</v>
      </c>
      <c r="AL272" s="566">
        <f t="shared" si="120"/>
        <v>0.2534448</v>
      </c>
      <c r="AM272" s="566">
        <f t="shared" si="121"/>
        <v>5.068896</v>
      </c>
      <c r="AN272" s="566"/>
      <c r="AO272" s="304" t="s">
        <v>732</v>
      </c>
    </row>
    <row r="273" s="131" customFormat="1" ht="24" spans="1:41">
      <c r="A273" s="1" t="s">
        <v>261</v>
      </c>
      <c r="B273" s="1" t="s">
        <v>206</v>
      </c>
      <c r="C273" s="1" t="s">
        <v>581</v>
      </c>
      <c r="D273" s="1" t="s">
        <v>580</v>
      </c>
      <c r="E273" s="565">
        <f t="shared" si="108"/>
        <v>67.4611636</v>
      </c>
      <c r="F273" s="566">
        <f t="shared" si="109"/>
        <v>0</v>
      </c>
      <c r="G273" s="566">
        <f t="shared" si="110"/>
        <v>0</v>
      </c>
      <c r="H273" s="566"/>
      <c r="I273" s="566"/>
      <c r="J273" s="566"/>
      <c r="K273" s="566"/>
      <c r="L273" s="566"/>
      <c r="M273" s="566"/>
      <c r="N273" s="565">
        <f t="shared" si="111"/>
        <v>0</v>
      </c>
      <c r="O273" s="566"/>
      <c r="P273" s="566"/>
      <c r="Q273" s="566"/>
      <c r="R273" s="566"/>
      <c r="S273" s="565">
        <f t="shared" si="112"/>
        <v>51.5337</v>
      </c>
      <c r="T273" s="566">
        <f t="shared" si="113"/>
        <v>40.7132</v>
      </c>
      <c r="U273" s="566">
        <v>23.1324</v>
      </c>
      <c r="V273" s="566"/>
      <c r="W273" s="566">
        <v>8.8008</v>
      </c>
      <c r="X273" s="566"/>
      <c r="Y273" s="566"/>
      <c r="Z273" s="566">
        <v>8.78</v>
      </c>
      <c r="AA273" s="565">
        <f t="shared" si="114"/>
        <v>10.8205</v>
      </c>
      <c r="AB273" s="566">
        <v>5.2805</v>
      </c>
      <c r="AC273" s="566"/>
      <c r="AD273" s="566">
        <v>2.54</v>
      </c>
      <c r="AE273" s="566"/>
      <c r="AF273" s="566">
        <v>3</v>
      </c>
      <c r="AG273" s="565">
        <f t="shared" si="115"/>
        <v>15.9274636</v>
      </c>
      <c r="AH273" s="566">
        <f t="shared" si="116"/>
        <v>5.954192</v>
      </c>
      <c r="AI273" s="566">
        <f t="shared" si="117"/>
        <v>2.977096</v>
      </c>
      <c r="AJ273" s="566">
        <f t="shared" si="118"/>
        <v>2.232822</v>
      </c>
      <c r="AK273" s="566">
        <f t="shared" si="119"/>
        <v>0.0744274</v>
      </c>
      <c r="AL273" s="566">
        <f t="shared" si="120"/>
        <v>0.2232822</v>
      </c>
      <c r="AM273" s="566">
        <f t="shared" si="121"/>
        <v>4.465644</v>
      </c>
      <c r="AN273" s="566"/>
      <c r="AO273" s="304"/>
    </row>
    <row r="274" s="131" customFormat="1" ht="24" spans="1:41">
      <c r="A274" s="1" t="s">
        <v>261</v>
      </c>
      <c r="B274" s="1" t="s">
        <v>206</v>
      </c>
      <c r="C274" s="1" t="s">
        <v>582</v>
      </c>
      <c r="D274" s="1" t="s">
        <v>583</v>
      </c>
      <c r="E274" s="565">
        <f t="shared" si="108"/>
        <v>135.939944</v>
      </c>
      <c r="F274" s="566">
        <f t="shared" si="109"/>
        <v>0</v>
      </c>
      <c r="G274" s="566">
        <f t="shared" si="110"/>
        <v>0</v>
      </c>
      <c r="H274" s="566"/>
      <c r="I274" s="566"/>
      <c r="J274" s="566"/>
      <c r="K274" s="566"/>
      <c r="L274" s="566"/>
      <c r="M274" s="566"/>
      <c r="N274" s="565">
        <f t="shared" si="111"/>
        <v>0</v>
      </c>
      <c r="O274" s="566"/>
      <c r="P274" s="566"/>
      <c r="Q274" s="566"/>
      <c r="R274" s="566"/>
      <c r="S274" s="565">
        <f t="shared" si="112"/>
        <v>103.798</v>
      </c>
      <c r="T274" s="566">
        <f t="shared" si="113"/>
        <v>81.31</v>
      </c>
      <c r="U274" s="567">
        <v>48.81</v>
      </c>
      <c r="V274" s="567"/>
      <c r="W274" s="567">
        <v>16.43</v>
      </c>
      <c r="X274" s="566"/>
      <c r="Y274" s="566"/>
      <c r="Z274" s="566">
        <v>16.07</v>
      </c>
      <c r="AA274" s="565">
        <f t="shared" si="114"/>
        <v>22.488</v>
      </c>
      <c r="AB274" s="567">
        <v>9.858</v>
      </c>
      <c r="AC274" s="567"/>
      <c r="AD274" s="567">
        <v>7.63</v>
      </c>
      <c r="AE274" s="566"/>
      <c r="AF274" s="566">
        <v>5</v>
      </c>
      <c r="AG274" s="565">
        <f t="shared" si="115"/>
        <v>32.141944</v>
      </c>
      <c r="AH274" s="566">
        <f t="shared" si="116"/>
        <v>12.01568</v>
      </c>
      <c r="AI274" s="566">
        <f t="shared" si="117"/>
        <v>6.00784</v>
      </c>
      <c r="AJ274" s="566">
        <f t="shared" si="118"/>
        <v>4.50588</v>
      </c>
      <c r="AK274" s="566">
        <f t="shared" si="119"/>
        <v>0.150196</v>
      </c>
      <c r="AL274" s="566">
        <f t="shared" si="120"/>
        <v>0.450588</v>
      </c>
      <c r="AM274" s="566">
        <f t="shared" si="121"/>
        <v>9.01176</v>
      </c>
      <c r="AN274" s="566"/>
      <c r="AO274" s="304"/>
    </row>
    <row r="275" s="508" customFormat="1" ht="21" customHeight="1" spans="1:42">
      <c r="A275" s="525"/>
      <c r="B275" s="525"/>
      <c r="C275" s="525" t="s">
        <v>136</v>
      </c>
      <c r="D275" s="526">
        <v>213</v>
      </c>
      <c r="E275" s="561">
        <f t="shared" ref="E275:AN275" si="122">SUM(E276:E286)</f>
        <v>5424.9879192</v>
      </c>
      <c r="F275" s="561">
        <f t="shared" si="122"/>
        <v>1121.3605</v>
      </c>
      <c r="G275" s="561">
        <f t="shared" si="122"/>
        <v>989.1605</v>
      </c>
      <c r="H275" s="561">
        <f t="shared" si="122"/>
        <v>403.1908</v>
      </c>
      <c r="I275" s="561">
        <f t="shared" si="122"/>
        <v>246.022</v>
      </c>
      <c r="J275" s="561">
        <f t="shared" si="122"/>
        <v>37.8253</v>
      </c>
      <c r="K275" s="561">
        <f t="shared" si="122"/>
        <v>3.6</v>
      </c>
      <c r="L275" s="561">
        <f t="shared" si="122"/>
        <v>0.1224</v>
      </c>
      <c r="M275" s="561">
        <f t="shared" si="122"/>
        <v>298.4</v>
      </c>
      <c r="N275" s="561">
        <f t="shared" si="122"/>
        <v>132.2</v>
      </c>
      <c r="O275" s="561">
        <f t="shared" si="122"/>
        <v>38.15</v>
      </c>
      <c r="P275" s="561">
        <f t="shared" si="122"/>
        <v>3.75</v>
      </c>
      <c r="Q275" s="561">
        <f t="shared" si="122"/>
        <v>47.3</v>
      </c>
      <c r="R275" s="561">
        <f t="shared" si="122"/>
        <v>43</v>
      </c>
      <c r="S275" s="561">
        <f t="shared" si="122"/>
        <v>3016.8916</v>
      </c>
      <c r="T275" s="561">
        <f t="shared" si="122"/>
        <v>2448.9328</v>
      </c>
      <c r="U275" s="561">
        <f t="shared" si="122"/>
        <v>1471.97</v>
      </c>
      <c r="V275" s="561">
        <f t="shared" si="122"/>
        <v>0</v>
      </c>
      <c r="W275" s="561">
        <f t="shared" si="122"/>
        <v>474.6928</v>
      </c>
      <c r="X275" s="561">
        <f t="shared" si="122"/>
        <v>20.4</v>
      </c>
      <c r="Y275" s="561">
        <f t="shared" si="122"/>
        <v>13.36</v>
      </c>
      <c r="Z275" s="561">
        <f t="shared" si="122"/>
        <v>468.51</v>
      </c>
      <c r="AA275" s="561">
        <f t="shared" si="122"/>
        <v>567.9588</v>
      </c>
      <c r="AB275" s="561">
        <f t="shared" si="122"/>
        <v>284.8248</v>
      </c>
      <c r="AC275" s="561">
        <f t="shared" si="122"/>
        <v>122.004</v>
      </c>
      <c r="AD275" s="561">
        <f t="shared" si="122"/>
        <v>7.63</v>
      </c>
      <c r="AE275" s="561">
        <f t="shared" si="122"/>
        <v>0</v>
      </c>
      <c r="AF275" s="561">
        <f t="shared" si="122"/>
        <v>153.5</v>
      </c>
      <c r="AG275" s="561">
        <f t="shared" si="122"/>
        <v>1286.7358192</v>
      </c>
      <c r="AH275" s="561">
        <f t="shared" si="122"/>
        <v>514.708112</v>
      </c>
      <c r="AI275" s="561">
        <f t="shared" si="122"/>
        <v>230.456032</v>
      </c>
      <c r="AJ275" s="561">
        <f t="shared" si="122"/>
        <v>172.842024</v>
      </c>
      <c r="AK275" s="561">
        <f t="shared" si="122"/>
        <v>5.7614008</v>
      </c>
      <c r="AL275" s="561">
        <f t="shared" si="122"/>
        <v>17.2842024</v>
      </c>
      <c r="AM275" s="561">
        <f t="shared" si="122"/>
        <v>345.684048</v>
      </c>
      <c r="AN275" s="561">
        <f t="shared" si="122"/>
        <v>0</v>
      </c>
      <c r="AO275" s="334"/>
      <c r="AP275" s="580"/>
    </row>
    <row r="276" s="131" customFormat="1" ht="24" spans="1:41">
      <c r="A276" s="1" t="s">
        <v>584</v>
      </c>
      <c r="B276" s="1" t="s">
        <v>203</v>
      </c>
      <c r="C276" s="1" t="s">
        <v>585</v>
      </c>
      <c r="D276" s="1" t="s">
        <v>586</v>
      </c>
      <c r="E276" s="565">
        <f t="shared" ref="E276:E286" si="123">F276+S276+AG276</f>
        <v>392.1086512</v>
      </c>
      <c r="F276" s="566">
        <f t="shared" ref="F276:F286" si="124">G276+N276</f>
        <v>296.0404</v>
      </c>
      <c r="G276" s="566">
        <f t="shared" ref="G276:G286" si="125">SUM(H276:M276)</f>
        <v>269.1904</v>
      </c>
      <c r="H276" s="566">
        <v>111.8904</v>
      </c>
      <c r="I276" s="566">
        <v>66.87</v>
      </c>
      <c r="J276" s="566">
        <v>9.37</v>
      </c>
      <c r="K276" s="566"/>
      <c r="L276" s="566"/>
      <c r="M276" s="566">
        <v>81.06</v>
      </c>
      <c r="N276" s="565">
        <f t="shared" ref="N276:N286" si="126">SUM(O276:R276)</f>
        <v>26.85</v>
      </c>
      <c r="O276" s="566"/>
      <c r="P276" s="566">
        <v>3.75</v>
      </c>
      <c r="Q276" s="566">
        <v>12.1</v>
      </c>
      <c r="R276" s="566">
        <v>11</v>
      </c>
      <c r="S276" s="565">
        <f t="shared" ref="S276:S286" si="127">T276+AA276</f>
        <v>5.09</v>
      </c>
      <c r="T276" s="566">
        <f t="shared" ref="T276:T286" si="128">SUM(U276:Z276)</f>
        <v>0</v>
      </c>
      <c r="U276" s="566"/>
      <c r="V276" s="566"/>
      <c r="W276" s="566"/>
      <c r="X276" s="566"/>
      <c r="Y276" s="566"/>
      <c r="Z276" s="566"/>
      <c r="AA276" s="565">
        <f t="shared" ref="AA276:AA286" si="129">SUM(AB276:AF276)</f>
        <v>5.09</v>
      </c>
      <c r="AB276" s="566"/>
      <c r="AC276" s="566"/>
      <c r="AD276" s="566">
        <v>5.09</v>
      </c>
      <c r="AE276" s="566"/>
      <c r="AF276" s="566"/>
      <c r="AG276" s="565">
        <f t="shared" ref="AG276:AG286" si="130">SUM(AH276:AN276)</f>
        <v>90.9782512</v>
      </c>
      <c r="AH276" s="566">
        <f t="shared" ref="AH276:AH286" si="131">(H276+I276+J276+U276+V276+W276+AB276+M276)*0.16</f>
        <v>43.070464</v>
      </c>
      <c r="AI276" s="566">
        <f t="shared" ref="AI276:AI286" si="132">(H276+I276+U276+V276+W276+AB276)*0.08</f>
        <v>14.300832</v>
      </c>
      <c r="AJ276" s="566">
        <f t="shared" ref="AJ276:AJ286" si="133">(H276+I276+U276+V276+W276+AB276)*0.06</f>
        <v>10.725624</v>
      </c>
      <c r="AK276" s="566">
        <f t="shared" ref="AK276:AK286" si="134">(H276+I276+U276+V276+W276+AB276)*0.002</f>
        <v>0.3575208</v>
      </c>
      <c r="AL276" s="566">
        <f t="shared" ref="AL276:AL286" si="135">(H276+I276+U276+V276+W276+AB276)*0.006</f>
        <v>1.0725624</v>
      </c>
      <c r="AM276" s="566">
        <f t="shared" ref="AM276:AM286" si="136">(H276+I276+U276+V276+W276+AB276)*0.12</f>
        <v>21.451248</v>
      </c>
      <c r="AN276" s="566"/>
      <c r="AO276" s="304"/>
    </row>
    <row r="277" s="131" customFormat="1" ht="24" spans="1:41">
      <c r="A277" s="1" t="s">
        <v>584</v>
      </c>
      <c r="B277" s="1" t="s">
        <v>203</v>
      </c>
      <c r="C277" s="1" t="s">
        <v>587</v>
      </c>
      <c r="D277" s="1" t="s">
        <v>586</v>
      </c>
      <c r="E277" s="565">
        <f t="shared" si="123"/>
        <v>177.46148</v>
      </c>
      <c r="F277" s="566">
        <f t="shared" si="124"/>
        <v>134.44</v>
      </c>
      <c r="G277" s="566">
        <f t="shared" si="125"/>
        <v>121.84</v>
      </c>
      <c r="H277" s="566">
        <v>47.84</v>
      </c>
      <c r="I277" s="566">
        <v>30.47</v>
      </c>
      <c r="J277" s="566">
        <v>4.54</v>
      </c>
      <c r="K277" s="566"/>
      <c r="L277" s="566"/>
      <c r="M277" s="566">
        <v>38.99</v>
      </c>
      <c r="N277" s="565">
        <f t="shared" si="126"/>
        <v>12.6</v>
      </c>
      <c r="O277" s="566"/>
      <c r="P277" s="566"/>
      <c r="Q277" s="566">
        <v>6.6</v>
      </c>
      <c r="R277" s="566">
        <v>6</v>
      </c>
      <c r="S277" s="565">
        <f t="shared" si="127"/>
        <v>2.54</v>
      </c>
      <c r="T277" s="566">
        <f t="shared" si="128"/>
        <v>0</v>
      </c>
      <c r="U277" s="566"/>
      <c r="V277" s="566"/>
      <c r="W277" s="566"/>
      <c r="X277" s="566"/>
      <c r="Y277" s="566"/>
      <c r="Z277" s="566"/>
      <c r="AA277" s="565">
        <f t="shared" si="129"/>
        <v>2.54</v>
      </c>
      <c r="AB277" s="566"/>
      <c r="AC277" s="566"/>
      <c r="AD277" s="566">
        <v>2.54</v>
      </c>
      <c r="AE277" s="566"/>
      <c r="AF277" s="566"/>
      <c r="AG277" s="565">
        <f t="shared" si="130"/>
        <v>40.48148</v>
      </c>
      <c r="AH277" s="566">
        <f t="shared" si="131"/>
        <v>19.4944</v>
      </c>
      <c r="AI277" s="566">
        <f t="shared" si="132"/>
        <v>6.2648</v>
      </c>
      <c r="AJ277" s="566">
        <f t="shared" si="133"/>
        <v>4.6986</v>
      </c>
      <c r="AK277" s="566">
        <f t="shared" si="134"/>
        <v>0.15662</v>
      </c>
      <c r="AL277" s="566">
        <f t="shared" si="135"/>
        <v>0.46986</v>
      </c>
      <c r="AM277" s="566">
        <f t="shared" si="136"/>
        <v>9.3972</v>
      </c>
      <c r="AN277" s="566"/>
      <c r="AO277" s="304"/>
    </row>
    <row r="278" s="131" customFormat="1" ht="24" spans="1:41">
      <c r="A278" s="1" t="s">
        <v>584</v>
      </c>
      <c r="B278" s="1" t="s">
        <v>206</v>
      </c>
      <c r="C278" s="1" t="s">
        <v>588</v>
      </c>
      <c r="D278" s="1" t="s">
        <v>589</v>
      </c>
      <c r="E278" s="565">
        <f t="shared" si="123"/>
        <v>1527.0276</v>
      </c>
      <c r="F278" s="566">
        <f t="shared" si="124"/>
        <v>0</v>
      </c>
      <c r="G278" s="566">
        <f t="shared" si="125"/>
        <v>0</v>
      </c>
      <c r="H278" s="566"/>
      <c r="I278" s="566"/>
      <c r="J278" s="566"/>
      <c r="K278" s="566"/>
      <c r="L278" s="566"/>
      <c r="M278" s="566"/>
      <c r="N278" s="565">
        <f t="shared" si="126"/>
        <v>0</v>
      </c>
      <c r="O278" s="566"/>
      <c r="P278" s="566"/>
      <c r="Q278" s="566"/>
      <c r="R278" s="566"/>
      <c r="S278" s="565">
        <f t="shared" si="127"/>
        <v>1146.45</v>
      </c>
      <c r="T278" s="566">
        <f t="shared" si="128"/>
        <v>974.34</v>
      </c>
      <c r="U278" s="566">
        <v>588.9</v>
      </c>
      <c r="V278" s="566"/>
      <c r="W278" s="566">
        <v>187.69</v>
      </c>
      <c r="X278" s="566"/>
      <c r="Y278" s="566">
        <v>12.74</v>
      </c>
      <c r="Z278" s="566">
        <v>185.01</v>
      </c>
      <c r="AA278" s="565">
        <f t="shared" si="129"/>
        <v>172.11</v>
      </c>
      <c r="AB278" s="566">
        <v>112.61</v>
      </c>
      <c r="AC278" s="566"/>
      <c r="AD278" s="566"/>
      <c r="AE278" s="566"/>
      <c r="AF278" s="566">
        <v>59.5</v>
      </c>
      <c r="AG278" s="565">
        <f t="shared" si="130"/>
        <v>380.5776</v>
      </c>
      <c r="AH278" s="566">
        <f t="shared" si="131"/>
        <v>142.272</v>
      </c>
      <c r="AI278" s="566">
        <f t="shared" si="132"/>
        <v>71.136</v>
      </c>
      <c r="AJ278" s="566">
        <f t="shared" si="133"/>
        <v>53.352</v>
      </c>
      <c r="AK278" s="566">
        <f t="shared" si="134"/>
        <v>1.7784</v>
      </c>
      <c r="AL278" s="566">
        <f t="shared" si="135"/>
        <v>5.3352</v>
      </c>
      <c r="AM278" s="566">
        <f t="shared" si="136"/>
        <v>106.704</v>
      </c>
      <c r="AN278" s="566"/>
      <c r="AO278" s="304"/>
    </row>
    <row r="279" s="131" customFormat="1" ht="33" customHeight="1" spans="1:41">
      <c r="A279" s="1" t="s">
        <v>590</v>
      </c>
      <c r="B279" s="1" t="s">
        <v>203</v>
      </c>
      <c r="C279" s="1" t="s">
        <v>591</v>
      </c>
      <c r="D279" s="1" t="s">
        <v>592</v>
      </c>
      <c r="E279" s="565">
        <f t="shared" si="123"/>
        <v>320.45704</v>
      </c>
      <c r="F279" s="566">
        <f t="shared" si="124"/>
        <v>243.45</v>
      </c>
      <c r="G279" s="566">
        <f t="shared" si="125"/>
        <v>224.55</v>
      </c>
      <c r="H279" s="567">
        <v>97.64</v>
      </c>
      <c r="I279" s="567">
        <v>55.64</v>
      </c>
      <c r="J279" s="567">
        <v>8.14</v>
      </c>
      <c r="K279" s="566"/>
      <c r="L279" s="566"/>
      <c r="M279" s="566">
        <v>63.13</v>
      </c>
      <c r="N279" s="565">
        <f t="shared" si="126"/>
        <v>18.9</v>
      </c>
      <c r="O279" s="566"/>
      <c r="P279" s="566"/>
      <c r="Q279" s="566">
        <v>9.9</v>
      </c>
      <c r="R279" s="566">
        <v>9</v>
      </c>
      <c r="S279" s="565">
        <f t="shared" si="127"/>
        <v>0</v>
      </c>
      <c r="T279" s="566">
        <f t="shared" si="128"/>
        <v>0</v>
      </c>
      <c r="U279" s="566"/>
      <c r="V279" s="566"/>
      <c r="W279" s="566"/>
      <c r="X279" s="566"/>
      <c r="Y279" s="566"/>
      <c r="Z279" s="566"/>
      <c r="AA279" s="565">
        <f t="shared" si="129"/>
        <v>0</v>
      </c>
      <c r="AB279" s="566"/>
      <c r="AC279" s="566"/>
      <c r="AD279" s="566"/>
      <c r="AE279" s="566"/>
      <c r="AF279" s="566"/>
      <c r="AG279" s="565">
        <f t="shared" si="130"/>
        <v>77.00704</v>
      </c>
      <c r="AH279" s="566">
        <f t="shared" si="131"/>
        <v>35.928</v>
      </c>
      <c r="AI279" s="566">
        <f t="shared" si="132"/>
        <v>12.2624</v>
      </c>
      <c r="AJ279" s="566">
        <f t="shared" si="133"/>
        <v>9.1968</v>
      </c>
      <c r="AK279" s="566">
        <f t="shared" si="134"/>
        <v>0.30656</v>
      </c>
      <c r="AL279" s="566">
        <f t="shared" si="135"/>
        <v>0.91968</v>
      </c>
      <c r="AM279" s="566">
        <f t="shared" si="136"/>
        <v>18.3936</v>
      </c>
      <c r="AN279" s="566"/>
      <c r="AO279" s="304"/>
    </row>
    <row r="280" s="131" customFormat="1" ht="38" customHeight="1" spans="1:41">
      <c r="A280" s="1" t="s">
        <v>590</v>
      </c>
      <c r="B280" s="1" t="s">
        <v>203</v>
      </c>
      <c r="C280" s="1" t="s">
        <v>594</v>
      </c>
      <c r="D280" s="1" t="s">
        <v>592</v>
      </c>
      <c r="E280" s="565">
        <f t="shared" si="123"/>
        <v>553.800824</v>
      </c>
      <c r="F280" s="566">
        <f t="shared" si="124"/>
        <v>346.5892</v>
      </c>
      <c r="G280" s="566">
        <f t="shared" si="125"/>
        <v>280.0892</v>
      </c>
      <c r="H280" s="567">
        <v>106.2</v>
      </c>
      <c r="I280" s="567">
        <f>(25444+32792)*12/10000</f>
        <v>69.8832</v>
      </c>
      <c r="J280" s="567">
        <f>(47390+77346)/10000</f>
        <v>12.4736</v>
      </c>
      <c r="K280" s="567">
        <f>3000*12/10000</f>
        <v>3.6</v>
      </c>
      <c r="L280" s="567">
        <f>102*12/10000</f>
        <v>0.1224</v>
      </c>
      <c r="M280" s="566">
        <v>87.81</v>
      </c>
      <c r="N280" s="565">
        <f t="shared" si="126"/>
        <v>66.5</v>
      </c>
      <c r="O280" s="567">
        <v>38.15</v>
      </c>
      <c r="P280" s="566"/>
      <c r="Q280" s="566">
        <v>14.85</v>
      </c>
      <c r="R280" s="566">
        <v>13.5</v>
      </c>
      <c r="S280" s="565">
        <f t="shared" si="127"/>
        <v>86.9628</v>
      </c>
      <c r="T280" s="566">
        <f t="shared" si="128"/>
        <v>72.9928</v>
      </c>
      <c r="U280" s="566">
        <v>43.48</v>
      </c>
      <c r="V280" s="566"/>
      <c r="W280" s="567">
        <f>12444*12/10000</f>
        <v>14.9328</v>
      </c>
      <c r="X280" s="566"/>
      <c r="Y280" s="566"/>
      <c r="Z280" s="566">
        <v>14.58</v>
      </c>
      <c r="AA280" s="565">
        <f t="shared" si="129"/>
        <v>13.97</v>
      </c>
      <c r="AB280" s="567">
        <v>8.97</v>
      </c>
      <c r="AC280" s="566"/>
      <c r="AD280" s="566"/>
      <c r="AE280" s="566"/>
      <c r="AF280" s="566">
        <v>5</v>
      </c>
      <c r="AG280" s="565">
        <f t="shared" si="130"/>
        <v>120.248824</v>
      </c>
      <c r="AH280" s="566">
        <f t="shared" si="131"/>
        <v>54.999936</v>
      </c>
      <c r="AI280" s="566">
        <f t="shared" si="132"/>
        <v>19.47728</v>
      </c>
      <c r="AJ280" s="566">
        <f t="shared" si="133"/>
        <v>14.60796</v>
      </c>
      <c r="AK280" s="566">
        <f t="shared" si="134"/>
        <v>0.486932</v>
      </c>
      <c r="AL280" s="566">
        <f t="shared" si="135"/>
        <v>1.460796</v>
      </c>
      <c r="AM280" s="566">
        <f t="shared" si="136"/>
        <v>29.21592</v>
      </c>
      <c r="AN280" s="566"/>
      <c r="AO280" s="304"/>
    </row>
    <row r="281" s="131" customFormat="1" spans="1:41">
      <c r="A281" s="1" t="s">
        <v>590</v>
      </c>
      <c r="B281" s="1" t="s">
        <v>206</v>
      </c>
      <c r="C281" s="1" t="s">
        <v>595</v>
      </c>
      <c r="D281" s="1" t="s">
        <v>596</v>
      </c>
      <c r="E281" s="565">
        <f t="shared" si="123"/>
        <v>1559.90456</v>
      </c>
      <c r="F281" s="566">
        <f t="shared" si="124"/>
        <v>0</v>
      </c>
      <c r="G281" s="566">
        <f t="shared" si="125"/>
        <v>0</v>
      </c>
      <c r="H281" s="566"/>
      <c r="I281" s="566"/>
      <c r="J281" s="566"/>
      <c r="K281" s="566"/>
      <c r="L281" s="566"/>
      <c r="M281" s="566"/>
      <c r="N281" s="565">
        <f t="shared" si="126"/>
        <v>0</v>
      </c>
      <c r="O281" s="566"/>
      <c r="P281" s="566"/>
      <c r="Q281" s="566"/>
      <c r="R281" s="566"/>
      <c r="S281" s="565">
        <f t="shared" si="127"/>
        <v>1171.7</v>
      </c>
      <c r="T281" s="566">
        <f t="shared" si="128"/>
        <v>1000.08</v>
      </c>
      <c r="U281" s="567">
        <v>608.04</v>
      </c>
      <c r="V281" s="567"/>
      <c r="W281" s="567">
        <v>186.86</v>
      </c>
      <c r="X281" s="567">
        <v>20.4</v>
      </c>
      <c r="Y281" s="567">
        <v>0.62</v>
      </c>
      <c r="Z281" s="566">
        <v>184.16</v>
      </c>
      <c r="AA281" s="565">
        <f t="shared" si="129"/>
        <v>171.62</v>
      </c>
      <c r="AB281" s="567">
        <v>112.12</v>
      </c>
      <c r="AC281" s="566"/>
      <c r="AD281" s="566"/>
      <c r="AE281" s="566"/>
      <c r="AF281" s="566">
        <v>59.5</v>
      </c>
      <c r="AG281" s="565">
        <f t="shared" si="130"/>
        <v>388.20456</v>
      </c>
      <c r="AH281" s="566">
        <f t="shared" si="131"/>
        <v>145.1232</v>
      </c>
      <c r="AI281" s="566">
        <f t="shared" si="132"/>
        <v>72.5616</v>
      </c>
      <c r="AJ281" s="566">
        <f t="shared" si="133"/>
        <v>54.4212</v>
      </c>
      <c r="AK281" s="566">
        <f t="shared" si="134"/>
        <v>1.81404</v>
      </c>
      <c r="AL281" s="566">
        <f t="shared" si="135"/>
        <v>5.44212</v>
      </c>
      <c r="AM281" s="566">
        <f t="shared" si="136"/>
        <v>108.8424</v>
      </c>
      <c r="AN281" s="566"/>
      <c r="AO281" s="304"/>
    </row>
    <row r="282" s="131" customFormat="1" ht="24" spans="1:41">
      <c r="A282" s="1" t="s">
        <v>590</v>
      </c>
      <c r="B282" s="1" t="s">
        <v>206</v>
      </c>
      <c r="C282" s="1" t="s">
        <v>597</v>
      </c>
      <c r="D282" s="1" t="s">
        <v>598</v>
      </c>
      <c r="E282" s="565">
        <f t="shared" si="123"/>
        <v>104.38</v>
      </c>
      <c r="F282" s="566">
        <f t="shared" si="124"/>
        <v>0</v>
      </c>
      <c r="G282" s="566">
        <f t="shared" si="125"/>
        <v>0</v>
      </c>
      <c r="H282" s="566"/>
      <c r="I282" s="566"/>
      <c r="J282" s="566"/>
      <c r="K282" s="566"/>
      <c r="L282" s="566"/>
      <c r="M282" s="566"/>
      <c r="N282" s="565">
        <f t="shared" si="126"/>
        <v>0</v>
      </c>
      <c r="O282" s="566"/>
      <c r="P282" s="566"/>
      <c r="Q282" s="566"/>
      <c r="R282" s="566"/>
      <c r="S282" s="565">
        <f t="shared" si="127"/>
        <v>104.38</v>
      </c>
      <c r="T282" s="566">
        <f t="shared" si="128"/>
        <v>0</v>
      </c>
      <c r="U282" s="566"/>
      <c r="V282" s="566"/>
      <c r="W282" s="566"/>
      <c r="X282" s="566"/>
      <c r="Y282" s="566"/>
      <c r="Z282" s="566"/>
      <c r="AA282" s="565">
        <f t="shared" si="129"/>
        <v>104.38</v>
      </c>
      <c r="AB282" s="566"/>
      <c r="AC282" s="566">
        <v>104.38</v>
      </c>
      <c r="AD282" s="566"/>
      <c r="AE282" s="566"/>
      <c r="AF282" s="566"/>
      <c r="AG282" s="565">
        <f t="shared" si="130"/>
        <v>0</v>
      </c>
      <c r="AH282" s="566">
        <f t="shared" si="131"/>
        <v>0</v>
      </c>
      <c r="AI282" s="566">
        <f t="shared" si="132"/>
        <v>0</v>
      </c>
      <c r="AJ282" s="566">
        <f t="shared" si="133"/>
        <v>0</v>
      </c>
      <c r="AK282" s="566">
        <f t="shared" si="134"/>
        <v>0</v>
      </c>
      <c r="AL282" s="566">
        <f t="shared" si="135"/>
        <v>0</v>
      </c>
      <c r="AM282" s="566">
        <f t="shared" si="136"/>
        <v>0</v>
      </c>
      <c r="AN282" s="566"/>
      <c r="AO282" s="304"/>
    </row>
    <row r="283" s="131" customFormat="1" ht="24" spans="1:41">
      <c r="A283" s="1" t="s">
        <v>584</v>
      </c>
      <c r="B283" s="1" t="s">
        <v>203</v>
      </c>
      <c r="C283" s="1" t="s">
        <v>599</v>
      </c>
      <c r="D283" s="1" t="s">
        <v>600</v>
      </c>
      <c r="E283" s="565">
        <f t="shared" si="123"/>
        <v>132.6242696</v>
      </c>
      <c r="F283" s="566">
        <f t="shared" si="124"/>
        <v>100.8409</v>
      </c>
      <c r="G283" s="566">
        <f t="shared" si="125"/>
        <v>93.4909</v>
      </c>
      <c r="H283" s="567">
        <v>39.6204</v>
      </c>
      <c r="I283" s="567">
        <v>23.1588</v>
      </c>
      <c r="J283" s="567">
        <v>3.3017</v>
      </c>
      <c r="K283" s="566"/>
      <c r="L283" s="566"/>
      <c r="M283" s="566">
        <v>27.41</v>
      </c>
      <c r="N283" s="565">
        <f t="shared" si="126"/>
        <v>7.35</v>
      </c>
      <c r="O283" s="566"/>
      <c r="P283" s="566"/>
      <c r="Q283" s="566">
        <v>3.85</v>
      </c>
      <c r="R283" s="566">
        <v>3.5</v>
      </c>
      <c r="S283" s="565">
        <f t="shared" si="127"/>
        <v>0</v>
      </c>
      <c r="T283" s="566">
        <f t="shared" si="128"/>
        <v>0</v>
      </c>
      <c r="U283" s="566"/>
      <c r="V283" s="566"/>
      <c r="W283" s="566"/>
      <c r="X283" s="566"/>
      <c r="Y283" s="566"/>
      <c r="Z283" s="566"/>
      <c r="AA283" s="565">
        <f t="shared" si="129"/>
        <v>0</v>
      </c>
      <c r="AB283" s="566"/>
      <c r="AC283" s="566"/>
      <c r="AD283" s="566"/>
      <c r="AE283" s="566"/>
      <c r="AF283" s="566"/>
      <c r="AG283" s="565">
        <f t="shared" si="130"/>
        <v>31.7833696</v>
      </c>
      <c r="AH283" s="566">
        <f t="shared" si="131"/>
        <v>14.958544</v>
      </c>
      <c r="AI283" s="566">
        <f t="shared" si="132"/>
        <v>5.022336</v>
      </c>
      <c r="AJ283" s="566">
        <f t="shared" si="133"/>
        <v>3.766752</v>
      </c>
      <c r="AK283" s="566">
        <f t="shared" si="134"/>
        <v>0.1255584</v>
      </c>
      <c r="AL283" s="566">
        <f t="shared" si="135"/>
        <v>0.3766752</v>
      </c>
      <c r="AM283" s="566">
        <f t="shared" si="136"/>
        <v>7.533504</v>
      </c>
      <c r="AN283" s="566"/>
      <c r="AO283" s="304"/>
    </row>
    <row r="284" s="131" customFormat="1" ht="24" spans="1:41">
      <c r="A284" s="1" t="s">
        <v>584</v>
      </c>
      <c r="B284" s="1" t="s">
        <v>206</v>
      </c>
      <c r="C284" s="1" t="s">
        <v>601</v>
      </c>
      <c r="D284" s="1" t="s">
        <v>602</v>
      </c>
      <c r="E284" s="565">
        <f t="shared" si="123"/>
        <v>582.95292</v>
      </c>
      <c r="F284" s="566">
        <f t="shared" si="124"/>
        <v>0</v>
      </c>
      <c r="G284" s="566">
        <f t="shared" si="125"/>
        <v>0</v>
      </c>
      <c r="H284" s="566"/>
      <c r="I284" s="566"/>
      <c r="J284" s="566"/>
      <c r="K284" s="566"/>
      <c r="L284" s="566"/>
      <c r="M284" s="566"/>
      <c r="N284" s="565">
        <f t="shared" si="126"/>
        <v>0</v>
      </c>
      <c r="O284" s="566"/>
      <c r="P284" s="566"/>
      <c r="Q284" s="566"/>
      <c r="R284" s="566"/>
      <c r="S284" s="565">
        <f t="shared" si="127"/>
        <v>439.62</v>
      </c>
      <c r="T284" s="566">
        <f t="shared" si="128"/>
        <v>365.61</v>
      </c>
      <c r="U284" s="567">
        <v>209.53</v>
      </c>
      <c r="V284" s="567"/>
      <c r="W284" s="567">
        <v>78.35</v>
      </c>
      <c r="X284" s="566"/>
      <c r="Y284" s="566"/>
      <c r="Z284" s="566">
        <v>77.73</v>
      </c>
      <c r="AA284" s="565">
        <f t="shared" si="129"/>
        <v>74.01</v>
      </c>
      <c r="AB284" s="567">
        <v>47.01</v>
      </c>
      <c r="AC284" s="566"/>
      <c r="AD284" s="566"/>
      <c r="AE284" s="566"/>
      <c r="AF284" s="566">
        <v>27</v>
      </c>
      <c r="AG284" s="565">
        <f t="shared" si="130"/>
        <v>143.33292</v>
      </c>
      <c r="AH284" s="566">
        <f t="shared" si="131"/>
        <v>53.5824</v>
      </c>
      <c r="AI284" s="566">
        <f t="shared" si="132"/>
        <v>26.7912</v>
      </c>
      <c r="AJ284" s="566">
        <f t="shared" si="133"/>
        <v>20.0934</v>
      </c>
      <c r="AK284" s="566">
        <f t="shared" si="134"/>
        <v>0.66978</v>
      </c>
      <c r="AL284" s="566">
        <f t="shared" si="135"/>
        <v>2.00934</v>
      </c>
      <c r="AM284" s="566">
        <f t="shared" si="136"/>
        <v>40.1868</v>
      </c>
      <c r="AN284" s="566"/>
      <c r="AO284" s="304"/>
    </row>
    <row r="285" s="131" customFormat="1" ht="24" spans="1:41">
      <c r="A285" s="1" t="s">
        <v>584</v>
      </c>
      <c r="B285" s="1" t="s">
        <v>483</v>
      </c>
      <c r="C285" s="1" t="s">
        <v>603</v>
      </c>
      <c r="D285" s="1" t="s">
        <v>604</v>
      </c>
      <c r="E285" s="565">
        <f t="shared" si="123"/>
        <v>56.6465744</v>
      </c>
      <c r="F285" s="566">
        <f t="shared" si="124"/>
        <v>0</v>
      </c>
      <c r="G285" s="566">
        <f t="shared" si="125"/>
        <v>0</v>
      </c>
      <c r="H285" s="566"/>
      <c r="I285" s="566"/>
      <c r="J285" s="566"/>
      <c r="K285" s="566"/>
      <c r="L285" s="566"/>
      <c r="M285" s="566"/>
      <c r="N285" s="565">
        <f t="shared" si="126"/>
        <v>0</v>
      </c>
      <c r="O285" s="566"/>
      <c r="P285" s="566"/>
      <c r="Q285" s="566"/>
      <c r="R285" s="566"/>
      <c r="S285" s="565">
        <f t="shared" si="127"/>
        <v>42.5248</v>
      </c>
      <c r="T285" s="566">
        <f t="shared" si="128"/>
        <v>35.91</v>
      </c>
      <c r="U285" s="567">
        <v>22.02</v>
      </c>
      <c r="V285" s="567"/>
      <c r="W285" s="567">
        <v>6.86</v>
      </c>
      <c r="X285" s="567"/>
      <c r="Y285" s="567"/>
      <c r="Z285" s="566">
        <v>7.03</v>
      </c>
      <c r="AA285" s="565">
        <f t="shared" si="129"/>
        <v>6.6148</v>
      </c>
      <c r="AB285" s="567">
        <v>4.1148</v>
      </c>
      <c r="AC285" s="566"/>
      <c r="AD285" s="566"/>
      <c r="AE285" s="566"/>
      <c r="AF285" s="566">
        <v>2.5</v>
      </c>
      <c r="AG285" s="565">
        <f t="shared" si="130"/>
        <v>14.1217744</v>
      </c>
      <c r="AH285" s="566">
        <f t="shared" si="131"/>
        <v>5.279168</v>
      </c>
      <c r="AI285" s="566">
        <f t="shared" si="132"/>
        <v>2.639584</v>
      </c>
      <c r="AJ285" s="566">
        <f t="shared" si="133"/>
        <v>1.979688</v>
      </c>
      <c r="AK285" s="566">
        <f t="shared" si="134"/>
        <v>0.0659896</v>
      </c>
      <c r="AL285" s="566">
        <f t="shared" si="135"/>
        <v>0.1979688</v>
      </c>
      <c r="AM285" s="566">
        <f t="shared" si="136"/>
        <v>3.959376</v>
      </c>
      <c r="AN285" s="566"/>
      <c r="AO285" s="304"/>
    </row>
    <row r="286" s="131" customFormat="1" ht="24" spans="1:41">
      <c r="A286" s="1" t="s">
        <v>584</v>
      </c>
      <c r="B286" s="1" t="s">
        <v>483</v>
      </c>
      <c r="C286" s="1" t="s">
        <v>605</v>
      </c>
      <c r="D286" s="1" t="s">
        <v>604</v>
      </c>
      <c r="E286" s="565">
        <f t="shared" si="123"/>
        <v>17.624</v>
      </c>
      <c r="F286" s="566">
        <f t="shared" si="124"/>
        <v>0</v>
      </c>
      <c r="G286" s="566">
        <f t="shared" si="125"/>
        <v>0</v>
      </c>
      <c r="H286" s="566"/>
      <c r="I286" s="566"/>
      <c r="J286" s="566"/>
      <c r="K286" s="566"/>
      <c r="L286" s="566"/>
      <c r="M286" s="566"/>
      <c r="N286" s="565">
        <f t="shared" si="126"/>
        <v>0</v>
      </c>
      <c r="O286" s="566"/>
      <c r="P286" s="566"/>
      <c r="Q286" s="566"/>
      <c r="R286" s="566"/>
      <c r="S286" s="565">
        <f t="shared" si="127"/>
        <v>17.624</v>
      </c>
      <c r="T286" s="566">
        <f t="shared" si="128"/>
        <v>0</v>
      </c>
      <c r="U286" s="566"/>
      <c r="V286" s="566"/>
      <c r="W286" s="566"/>
      <c r="X286" s="566"/>
      <c r="Y286" s="566"/>
      <c r="Z286" s="566"/>
      <c r="AA286" s="565">
        <f t="shared" si="129"/>
        <v>17.624</v>
      </c>
      <c r="AB286" s="566"/>
      <c r="AC286" s="566">
        <f>12.29+1.26+4.074</f>
        <v>17.624</v>
      </c>
      <c r="AD286" s="566"/>
      <c r="AE286" s="566"/>
      <c r="AF286" s="566"/>
      <c r="AG286" s="565">
        <f t="shared" si="130"/>
        <v>0</v>
      </c>
      <c r="AH286" s="566">
        <f t="shared" si="131"/>
        <v>0</v>
      </c>
      <c r="AI286" s="566">
        <f t="shared" si="132"/>
        <v>0</v>
      </c>
      <c r="AJ286" s="566">
        <f t="shared" si="133"/>
        <v>0</v>
      </c>
      <c r="AK286" s="566">
        <f t="shared" si="134"/>
        <v>0</v>
      </c>
      <c r="AL286" s="566">
        <f t="shared" si="135"/>
        <v>0</v>
      </c>
      <c r="AM286" s="566">
        <f t="shared" si="136"/>
        <v>0</v>
      </c>
      <c r="AN286" s="566"/>
      <c r="AO286" s="304"/>
    </row>
    <row r="287" s="508" customFormat="1" ht="21" customHeight="1" spans="1:42">
      <c r="A287" s="525"/>
      <c r="B287" s="525"/>
      <c r="C287" s="525" t="s">
        <v>137</v>
      </c>
      <c r="D287" s="526">
        <v>214</v>
      </c>
      <c r="E287" s="561">
        <f t="shared" ref="E287:AN287" si="137">SUM(E288:E295)</f>
        <v>930.69687456</v>
      </c>
      <c r="F287" s="561">
        <f t="shared" si="137"/>
        <v>247.984</v>
      </c>
      <c r="G287" s="561">
        <f t="shared" si="137"/>
        <v>225.934</v>
      </c>
      <c r="H287" s="561">
        <f t="shared" si="137"/>
        <v>90.9024</v>
      </c>
      <c r="I287" s="561">
        <f t="shared" si="137"/>
        <v>56.8164</v>
      </c>
      <c r="J287" s="561">
        <f t="shared" si="137"/>
        <v>7.5752</v>
      </c>
      <c r="K287" s="561">
        <f t="shared" si="137"/>
        <v>0</v>
      </c>
      <c r="L287" s="561">
        <f t="shared" si="137"/>
        <v>0</v>
      </c>
      <c r="M287" s="561">
        <f t="shared" si="137"/>
        <v>70.64</v>
      </c>
      <c r="N287" s="561">
        <f t="shared" si="137"/>
        <v>22.05</v>
      </c>
      <c r="O287" s="561">
        <f t="shared" si="137"/>
        <v>0</v>
      </c>
      <c r="P287" s="561">
        <f t="shared" si="137"/>
        <v>0</v>
      </c>
      <c r="Q287" s="561">
        <f t="shared" si="137"/>
        <v>11.55</v>
      </c>
      <c r="R287" s="561">
        <f t="shared" si="137"/>
        <v>10.5</v>
      </c>
      <c r="S287" s="561">
        <f t="shared" si="137"/>
        <v>464.27672</v>
      </c>
      <c r="T287" s="561">
        <f t="shared" si="137"/>
        <v>363.0812</v>
      </c>
      <c r="U287" s="561">
        <f t="shared" si="137"/>
        <v>212.398</v>
      </c>
      <c r="V287" s="561">
        <f t="shared" si="137"/>
        <v>1.88</v>
      </c>
      <c r="W287" s="561">
        <f t="shared" si="137"/>
        <v>74.4532</v>
      </c>
      <c r="X287" s="561">
        <f t="shared" si="137"/>
        <v>0</v>
      </c>
      <c r="Y287" s="561">
        <f t="shared" si="137"/>
        <v>0</v>
      </c>
      <c r="Z287" s="561">
        <f t="shared" si="137"/>
        <v>74.35</v>
      </c>
      <c r="AA287" s="561">
        <f t="shared" si="137"/>
        <v>101.19552</v>
      </c>
      <c r="AB287" s="561">
        <f t="shared" si="137"/>
        <v>44.67552</v>
      </c>
      <c r="AC287" s="561">
        <f t="shared" si="137"/>
        <v>0</v>
      </c>
      <c r="AD287" s="561">
        <f t="shared" si="137"/>
        <v>30.52</v>
      </c>
      <c r="AE287" s="561">
        <f t="shared" si="137"/>
        <v>0</v>
      </c>
      <c r="AF287" s="561">
        <f t="shared" si="137"/>
        <v>26</v>
      </c>
      <c r="AG287" s="561">
        <f t="shared" si="137"/>
        <v>218.43615456</v>
      </c>
      <c r="AH287" s="561">
        <f t="shared" si="137"/>
        <v>89.4945152</v>
      </c>
      <c r="AI287" s="561">
        <f t="shared" si="137"/>
        <v>38.4900416</v>
      </c>
      <c r="AJ287" s="561">
        <f t="shared" si="137"/>
        <v>28.8675312</v>
      </c>
      <c r="AK287" s="561">
        <f t="shared" si="137"/>
        <v>0.96225104</v>
      </c>
      <c r="AL287" s="561">
        <f t="shared" si="137"/>
        <v>2.88675312</v>
      </c>
      <c r="AM287" s="561">
        <f t="shared" si="137"/>
        <v>57.7350624</v>
      </c>
      <c r="AN287" s="561">
        <f t="shared" si="137"/>
        <v>0</v>
      </c>
      <c r="AO287" s="334"/>
      <c r="AP287" s="580"/>
    </row>
    <row r="288" s="130" customFormat="1" ht="24" spans="1:41">
      <c r="A288" s="1" t="s">
        <v>261</v>
      </c>
      <c r="B288" s="1" t="s">
        <v>203</v>
      </c>
      <c r="C288" s="1" t="s">
        <v>606</v>
      </c>
      <c r="D288" s="1" t="s">
        <v>607</v>
      </c>
      <c r="E288" s="563">
        <f t="shared" ref="E288:E295" si="138">F288+S288+AG288</f>
        <v>213.7708984</v>
      </c>
      <c r="F288" s="564">
        <f t="shared" ref="F288:F295" si="139">G288+N288</f>
        <v>170.2835</v>
      </c>
      <c r="G288" s="564">
        <f t="shared" ref="G288:G295" si="140">SUM(H288:M288)</f>
        <v>148.2335</v>
      </c>
      <c r="H288" s="564">
        <v>45.8964</v>
      </c>
      <c r="I288" s="564">
        <v>27.8724</v>
      </c>
      <c r="J288" s="564">
        <v>3.8247</v>
      </c>
      <c r="K288" s="564"/>
      <c r="L288" s="564"/>
      <c r="M288" s="564">
        <v>70.64</v>
      </c>
      <c r="N288" s="563">
        <f t="shared" ref="N288:N295" si="141">SUM(O288:R288)</f>
        <v>22.05</v>
      </c>
      <c r="O288" s="564"/>
      <c r="P288" s="564"/>
      <c r="Q288" s="564">
        <v>11.55</v>
      </c>
      <c r="R288" s="564">
        <v>10.5</v>
      </c>
      <c r="S288" s="563">
        <f t="shared" ref="S288:S295" si="142">T288+AA288</f>
        <v>0</v>
      </c>
      <c r="T288" s="564">
        <f t="shared" ref="T288:T295" si="143">SUM(U288:Z288)</f>
        <v>0</v>
      </c>
      <c r="U288" s="564"/>
      <c r="V288" s="564"/>
      <c r="W288" s="564"/>
      <c r="X288" s="564"/>
      <c r="Y288" s="564"/>
      <c r="Z288" s="564"/>
      <c r="AA288" s="563">
        <f t="shared" ref="AA288:AA295" si="144">SUM(AB288:AF288)</f>
        <v>0</v>
      </c>
      <c r="AB288" s="564"/>
      <c r="AC288" s="564"/>
      <c r="AD288" s="564"/>
      <c r="AE288" s="564"/>
      <c r="AF288" s="564"/>
      <c r="AG288" s="563">
        <f t="shared" ref="AG288:AG295" si="145">SUM(AH288:AN288)</f>
        <v>43.4873984</v>
      </c>
      <c r="AH288" s="564">
        <f t="shared" ref="AH288:AH295" si="146">(H288+I288+J288+U288+V288+W288+AB288+M288)*0.16</f>
        <v>23.71736</v>
      </c>
      <c r="AI288" s="564">
        <f t="shared" ref="AI288:AI295" si="147">(H288+I288+U288+V288+W288+AB288)*0.08</f>
        <v>5.901504</v>
      </c>
      <c r="AJ288" s="564">
        <f t="shared" ref="AJ288:AJ295" si="148">(H288+I288+U288+V288+W288+AB288)*0.06</f>
        <v>4.426128</v>
      </c>
      <c r="AK288" s="564">
        <f t="shared" ref="AK288:AK295" si="149">(H288+I288+U288+V288+W288+AB288)*0.002</f>
        <v>0.1475376</v>
      </c>
      <c r="AL288" s="564">
        <f t="shared" ref="AL288:AL295" si="150">(H288+I288+U288+V288+W288+AB288)*0.006</f>
        <v>0.4426128</v>
      </c>
      <c r="AM288" s="564">
        <f t="shared" ref="AM288:AM295" si="151">(H288+I288+U288+V288+W288+AB288)*0.12</f>
        <v>8.852256</v>
      </c>
      <c r="AN288" s="564"/>
      <c r="AO288" s="304"/>
    </row>
    <row r="289" s="130" customFormat="1" ht="24" spans="1:41">
      <c r="A289" s="1" t="s">
        <v>261</v>
      </c>
      <c r="B289" s="1" t="s">
        <v>203</v>
      </c>
      <c r="C289" s="1" t="s">
        <v>608</v>
      </c>
      <c r="D289" s="1" t="s">
        <v>607</v>
      </c>
      <c r="E289" s="563">
        <f t="shared" si="138"/>
        <v>109.95118</v>
      </c>
      <c r="F289" s="564">
        <f t="shared" si="139"/>
        <v>77.7005</v>
      </c>
      <c r="G289" s="564">
        <f t="shared" si="140"/>
        <v>77.7005</v>
      </c>
      <c r="H289" s="564">
        <v>45.006</v>
      </c>
      <c r="I289" s="564">
        <v>28.944</v>
      </c>
      <c r="J289" s="564">
        <v>3.7505</v>
      </c>
      <c r="K289" s="564"/>
      <c r="L289" s="564"/>
      <c r="M289" s="564"/>
      <c r="N289" s="563">
        <f t="shared" si="141"/>
        <v>0</v>
      </c>
      <c r="O289" s="564"/>
      <c r="P289" s="564"/>
      <c r="Q289" s="564"/>
      <c r="R289" s="564"/>
      <c r="S289" s="563">
        <f t="shared" si="142"/>
        <v>0</v>
      </c>
      <c r="T289" s="564">
        <f t="shared" si="143"/>
        <v>0</v>
      </c>
      <c r="U289" s="564"/>
      <c r="V289" s="564"/>
      <c r="W289" s="564"/>
      <c r="X289" s="564"/>
      <c r="Y289" s="564"/>
      <c r="Z289" s="564"/>
      <c r="AA289" s="563">
        <f t="shared" si="144"/>
        <v>0</v>
      </c>
      <c r="AB289" s="564"/>
      <c r="AC289" s="564"/>
      <c r="AD289" s="564"/>
      <c r="AE289" s="564"/>
      <c r="AF289" s="564"/>
      <c r="AG289" s="563">
        <f t="shared" si="145"/>
        <v>32.25068</v>
      </c>
      <c r="AH289" s="564">
        <f t="shared" si="146"/>
        <v>12.43208</v>
      </c>
      <c r="AI289" s="564">
        <f t="shared" si="147"/>
        <v>5.916</v>
      </c>
      <c r="AJ289" s="564">
        <f t="shared" si="148"/>
        <v>4.437</v>
      </c>
      <c r="AK289" s="564">
        <f t="shared" si="149"/>
        <v>0.1479</v>
      </c>
      <c r="AL289" s="564">
        <f t="shared" si="150"/>
        <v>0.4437</v>
      </c>
      <c r="AM289" s="564">
        <f t="shared" si="151"/>
        <v>8.874</v>
      </c>
      <c r="AN289" s="564"/>
      <c r="AO289" s="304"/>
    </row>
    <row r="290" s="130" customFormat="1" ht="24" spans="1:41">
      <c r="A290" s="1" t="s">
        <v>261</v>
      </c>
      <c r="B290" s="1" t="s">
        <v>206</v>
      </c>
      <c r="C290" s="1" t="s">
        <v>609</v>
      </c>
      <c r="D290" s="1" t="s">
        <v>610</v>
      </c>
      <c r="E290" s="563">
        <f t="shared" si="138"/>
        <v>210.04872576</v>
      </c>
      <c r="F290" s="564">
        <f t="shared" si="139"/>
        <v>0</v>
      </c>
      <c r="G290" s="564">
        <f t="shared" si="140"/>
        <v>0</v>
      </c>
      <c r="H290" s="564"/>
      <c r="I290" s="564"/>
      <c r="J290" s="564"/>
      <c r="K290" s="564"/>
      <c r="L290" s="564"/>
      <c r="M290" s="564"/>
      <c r="N290" s="563">
        <f t="shared" si="141"/>
        <v>0</v>
      </c>
      <c r="O290" s="564"/>
      <c r="P290" s="564"/>
      <c r="Q290" s="564"/>
      <c r="R290" s="564"/>
      <c r="S290" s="563">
        <f t="shared" si="142"/>
        <v>164.23992</v>
      </c>
      <c r="T290" s="564">
        <f t="shared" si="143"/>
        <v>134.9792</v>
      </c>
      <c r="U290" s="564">
        <v>67.668</v>
      </c>
      <c r="V290" s="564"/>
      <c r="W290" s="564">
        <v>24.6012</v>
      </c>
      <c r="X290" s="564"/>
      <c r="Y290" s="564"/>
      <c r="Z290" s="564">
        <v>42.71</v>
      </c>
      <c r="AA290" s="563">
        <f t="shared" si="144"/>
        <v>29.26072</v>
      </c>
      <c r="AB290" s="564">
        <v>14.76072</v>
      </c>
      <c r="AC290" s="564"/>
      <c r="AD290" s="564"/>
      <c r="AE290" s="564"/>
      <c r="AF290" s="564">
        <v>14.5</v>
      </c>
      <c r="AG290" s="563">
        <f t="shared" si="145"/>
        <v>45.80880576</v>
      </c>
      <c r="AH290" s="564">
        <f t="shared" si="146"/>
        <v>17.1247872</v>
      </c>
      <c r="AI290" s="564">
        <f t="shared" si="147"/>
        <v>8.5623936</v>
      </c>
      <c r="AJ290" s="564">
        <f t="shared" si="148"/>
        <v>6.4217952</v>
      </c>
      <c r="AK290" s="564">
        <f t="shared" si="149"/>
        <v>0.21405984</v>
      </c>
      <c r="AL290" s="564">
        <f t="shared" si="150"/>
        <v>0.64217952</v>
      </c>
      <c r="AM290" s="564">
        <f t="shared" si="151"/>
        <v>12.8435904</v>
      </c>
      <c r="AN290" s="564"/>
      <c r="AO290" s="304"/>
    </row>
    <row r="291" s="130" customFormat="1" ht="24" spans="1:41">
      <c r="A291" s="1" t="s">
        <v>261</v>
      </c>
      <c r="B291" s="1" t="s">
        <v>206</v>
      </c>
      <c r="C291" s="1" t="s">
        <v>611</v>
      </c>
      <c r="D291" s="1" t="s">
        <v>610</v>
      </c>
      <c r="E291" s="563">
        <f t="shared" si="138"/>
        <v>96.2746176</v>
      </c>
      <c r="F291" s="564">
        <f t="shared" si="139"/>
        <v>0</v>
      </c>
      <c r="G291" s="564">
        <f t="shared" si="140"/>
        <v>0</v>
      </c>
      <c r="H291" s="564"/>
      <c r="I291" s="564"/>
      <c r="J291" s="564"/>
      <c r="K291" s="564"/>
      <c r="L291" s="564"/>
      <c r="M291" s="564"/>
      <c r="N291" s="563">
        <f t="shared" si="141"/>
        <v>0</v>
      </c>
      <c r="O291" s="564"/>
      <c r="P291" s="564"/>
      <c r="Q291" s="564"/>
      <c r="R291" s="564"/>
      <c r="S291" s="563">
        <f t="shared" si="142"/>
        <v>67.4192</v>
      </c>
      <c r="T291" s="564">
        <f t="shared" si="143"/>
        <v>59.0592</v>
      </c>
      <c r="U291" s="564">
        <v>45.1284</v>
      </c>
      <c r="V291" s="564"/>
      <c r="W291" s="564">
        <v>13.9308</v>
      </c>
      <c r="X291" s="564"/>
      <c r="Y291" s="564"/>
      <c r="Z291" s="564"/>
      <c r="AA291" s="563">
        <f t="shared" si="144"/>
        <v>8.36</v>
      </c>
      <c r="AB291" s="564">
        <v>8.36</v>
      </c>
      <c r="AC291" s="564"/>
      <c r="AD291" s="564"/>
      <c r="AE291" s="564"/>
      <c r="AF291" s="564"/>
      <c r="AG291" s="563">
        <f t="shared" si="145"/>
        <v>28.8554176</v>
      </c>
      <c r="AH291" s="564">
        <f t="shared" si="146"/>
        <v>10.787072</v>
      </c>
      <c r="AI291" s="564">
        <f t="shared" si="147"/>
        <v>5.393536</v>
      </c>
      <c r="AJ291" s="564">
        <f t="shared" si="148"/>
        <v>4.045152</v>
      </c>
      <c r="AK291" s="564">
        <f t="shared" si="149"/>
        <v>0.1348384</v>
      </c>
      <c r="AL291" s="564">
        <f t="shared" si="150"/>
        <v>0.4045152</v>
      </c>
      <c r="AM291" s="564">
        <f t="shared" si="151"/>
        <v>8.090304</v>
      </c>
      <c r="AN291" s="564"/>
      <c r="AO291" s="304"/>
    </row>
    <row r="292" s="130" customFormat="1" ht="24" spans="1:41">
      <c r="A292" s="1" t="s">
        <v>261</v>
      </c>
      <c r="B292" s="1" t="s">
        <v>206</v>
      </c>
      <c r="C292" s="1" t="s">
        <v>612</v>
      </c>
      <c r="D292" s="1" t="s">
        <v>610</v>
      </c>
      <c r="E292" s="563">
        <f t="shared" si="138"/>
        <v>23.9030064</v>
      </c>
      <c r="F292" s="564">
        <f t="shared" si="139"/>
        <v>0</v>
      </c>
      <c r="G292" s="564">
        <f t="shared" si="140"/>
        <v>0</v>
      </c>
      <c r="H292" s="564"/>
      <c r="I292" s="564"/>
      <c r="J292" s="564"/>
      <c r="K292" s="564"/>
      <c r="L292" s="564"/>
      <c r="M292" s="564"/>
      <c r="N292" s="563">
        <f t="shared" si="141"/>
        <v>0</v>
      </c>
      <c r="O292" s="564"/>
      <c r="P292" s="564"/>
      <c r="Q292" s="564"/>
      <c r="R292" s="564"/>
      <c r="S292" s="563">
        <f t="shared" si="142"/>
        <v>16.7388</v>
      </c>
      <c r="T292" s="564">
        <f t="shared" si="143"/>
        <v>14.1432</v>
      </c>
      <c r="U292" s="564">
        <v>9.8172</v>
      </c>
      <c r="V292" s="564"/>
      <c r="W292" s="564">
        <v>4.326</v>
      </c>
      <c r="X292" s="564"/>
      <c r="Y292" s="564"/>
      <c r="Z292" s="564"/>
      <c r="AA292" s="563">
        <f t="shared" si="144"/>
        <v>2.5956</v>
      </c>
      <c r="AB292" s="564">
        <v>2.5956</v>
      </c>
      <c r="AC292" s="564"/>
      <c r="AD292" s="564"/>
      <c r="AE292" s="564"/>
      <c r="AF292" s="564"/>
      <c r="AG292" s="563">
        <f t="shared" si="145"/>
        <v>7.1642064</v>
      </c>
      <c r="AH292" s="564">
        <f t="shared" si="146"/>
        <v>2.678208</v>
      </c>
      <c r="AI292" s="564">
        <f t="shared" si="147"/>
        <v>1.339104</v>
      </c>
      <c r="AJ292" s="564">
        <f t="shared" si="148"/>
        <v>1.004328</v>
      </c>
      <c r="AK292" s="564">
        <f t="shared" si="149"/>
        <v>0.0334776</v>
      </c>
      <c r="AL292" s="564">
        <f t="shared" si="150"/>
        <v>0.1004328</v>
      </c>
      <c r="AM292" s="564">
        <f t="shared" si="151"/>
        <v>2.008656</v>
      </c>
      <c r="AN292" s="564"/>
      <c r="AO292" s="304"/>
    </row>
    <row r="293" s="130" customFormat="1" ht="24" spans="1:41">
      <c r="A293" s="1" t="s">
        <v>261</v>
      </c>
      <c r="B293" s="1" t="s">
        <v>206</v>
      </c>
      <c r="C293" s="1" t="s">
        <v>613</v>
      </c>
      <c r="D293" s="1" t="s">
        <v>614</v>
      </c>
      <c r="E293" s="563">
        <f t="shared" si="138"/>
        <v>69.7325808</v>
      </c>
      <c r="F293" s="564">
        <f t="shared" si="139"/>
        <v>0</v>
      </c>
      <c r="G293" s="564">
        <f t="shared" si="140"/>
        <v>0</v>
      </c>
      <c r="H293" s="564"/>
      <c r="I293" s="564"/>
      <c r="J293" s="564"/>
      <c r="K293" s="564"/>
      <c r="L293" s="564"/>
      <c r="M293" s="564"/>
      <c r="N293" s="563">
        <f t="shared" si="141"/>
        <v>0</v>
      </c>
      <c r="O293" s="564"/>
      <c r="P293" s="564"/>
      <c r="Q293" s="564"/>
      <c r="R293" s="564"/>
      <c r="S293" s="563">
        <f t="shared" si="142"/>
        <v>52.8336</v>
      </c>
      <c r="T293" s="564">
        <f t="shared" si="143"/>
        <v>43.4644</v>
      </c>
      <c r="U293" s="564">
        <v>23.8344</v>
      </c>
      <c r="V293" s="564"/>
      <c r="W293" s="564">
        <v>9.78</v>
      </c>
      <c r="X293" s="564"/>
      <c r="Y293" s="564"/>
      <c r="Z293" s="564">
        <v>9.85</v>
      </c>
      <c r="AA293" s="563">
        <f t="shared" si="144"/>
        <v>9.3692</v>
      </c>
      <c r="AB293" s="564">
        <v>5.8692</v>
      </c>
      <c r="AC293" s="564"/>
      <c r="AD293" s="564"/>
      <c r="AE293" s="564"/>
      <c r="AF293" s="564">
        <v>3.5</v>
      </c>
      <c r="AG293" s="563">
        <f t="shared" si="145"/>
        <v>16.8989808</v>
      </c>
      <c r="AH293" s="564">
        <f t="shared" si="146"/>
        <v>6.317376</v>
      </c>
      <c r="AI293" s="564">
        <f t="shared" si="147"/>
        <v>3.158688</v>
      </c>
      <c r="AJ293" s="564">
        <f t="shared" si="148"/>
        <v>2.369016</v>
      </c>
      <c r="AK293" s="564">
        <f t="shared" si="149"/>
        <v>0.0789672</v>
      </c>
      <c r="AL293" s="564">
        <f t="shared" si="150"/>
        <v>0.2369016</v>
      </c>
      <c r="AM293" s="564">
        <f t="shared" si="151"/>
        <v>4.738032</v>
      </c>
      <c r="AN293" s="564"/>
      <c r="AO293" s="304"/>
    </row>
    <row r="294" s="130" customFormat="1" ht="24" spans="1:41">
      <c r="A294" s="1" t="s">
        <v>202</v>
      </c>
      <c r="B294" s="1" t="s">
        <v>206</v>
      </c>
      <c r="C294" s="1" t="s">
        <v>615</v>
      </c>
      <c r="D294" s="1" t="s">
        <v>616</v>
      </c>
      <c r="E294" s="563">
        <f t="shared" si="138"/>
        <v>23.07944</v>
      </c>
      <c r="F294" s="564">
        <f t="shared" si="139"/>
        <v>0</v>
      </c>
      <c r="G294" s="564">
        <f t="shared" si="140"/>
        <v>0</v>
      </c>
      <c r="H294" s="564"/>
      <c r="I294" s="564"/>
      <c r="J294" s="564"/>
      <c r="K294" s="564"/>
      <c r="L294" s="564"/>
      <c r="M294" s="564"/>
      <c r="N294" s="563">
        <f t="shared" si="141"/>
        <v>0</v>
      </c>
      <c r="O294" s="564"/>
      <c r="P294" s="564"/>
      <c r="Q294" s="564"/>
      <c r="R294" s="564"/>
      <c r="S294" s="563">
        <f t="shared" si="142"/>
        <v>17.31</v>
      </c>
      <c r="T294" s="564">
        <f t="shared" si="143"/>
        <v>14.54</v>
      </c>
      <c r="U294" s="564">
        <v>8.76</v>
      </c>
      <c r="V294" s="564"/>
      <c r="W294" s="564">
        <v>2.95</v>
      </c>
      <c r="X294" s="564"/>
      <c r="Y294" s="564"/>
      <c r="Z294" s="564">
        <v>2.83</v>
      </c>
      <c r="AA294" s="563">
        <f t="shared" si="144"/>
        <v>2.77</v>
      </c>
      <c r="AB294" s="564">
        <v>1.77</v>
      </c>
      <c r="AC294" s="564"/>
      <c r="AD294" s="564"/>
      <c r="AE294" s="564"/>
      <c r="AF294" s="564">
        <v>1</v>
      </c>
      <c r="AG294" s="563">
        <f t="shared" si="145"/>
        <v>5.76944</v>
      </c>
      <c r="AH294" s="564">
        <f t="shared" si="146"/>
        <v>2.1568</v>
      </c>
      <c r="AI294" s="564">
        <f t="shared" si="147"/>
        <v>1.0784</v>
      </c>
      <c r="AJ294" s="564">
        <f t="shared" si="148"/>
        <v>0.8088</v>
      </c>
      <c r="AK294" s="564">
        <f t="shared" si="149"/>
        <v>0.02696</v>
      </c>
      <c r="AL294" s="564">
        <f t="shared" si="150"/>
        <v>0.08088</v>
      </c>
      <c r="AM294" s="564">
        <f t="shared" si="151"/>
        <v>1.6176</v>
      </c>
      <c r="AN294" s="564"/>
      <c r="AO294" s="304"/>
    </row>
    <row r="295" s="130" customFormat="1" ht="24" spans="1:41">
      <c r="A295" s="1" t="s">
        <v>261</v>
      </c>
      <c r="B295" s="1" t="s">
        <v>206</v>
      </c>
      <c r="C295" s="1" t="s">
        <v>617</v>
      </c>
      <c r="D295" s="1" t="s">
        <v>616</v>
      </c>
      <c r="E295" s="563">
        <f t="shared" si="138"/>
        <v>183.9364256</v>
      </c>
      <c r="F295" s="564">
        <f t="shared" si="139"/>
        <v>0</v>
      </c>
      <c r="G295" s="564">
        <f t="shared" si="140"/>
        <v>0</v>
      </c>
      <c r="H295" s="564"/>
      <c r="I295" s="564"/>
      <c r="J295" s="564"/>
      <c r="K295" s="564"/>
      <c r="L295" s="564"/>
      <c r="M295" s="564"/>
      <c r="N295" s="563">
        <f t="shared" si="141"/>
        <v>0</v>
      </c>
      <c r="O295" s="564"/>
      <c r="P295" s="564"/>
      <c r="Q295" s="564"/>
      <c r="R295" s="564"/>
      <c r="S295" s="563">
        <f t="shared" si="142"/>
        <v>145.7352</v>
      </c>
      <c r="T295" s="564">
        <f t="shared" si="143"/>
        <v>96.8952</v>
      </c>
      <c r="U295" s="564">
        <v>57.19</v>
      </c>
      <c r="V295" s="564">
        <v>1.88</v>
      </c>
      <c r="W295" s="564">
        <v>18.8652</v>
      </c>
      <c r="X295" s="564"/>
      <c r="Y295" s="564"/>
      <c r="Z295" s="564">
        <v>18.96</v>
      </c>
      <c r="AA295" s="563">
        <f t="shared" si="144"/>
        <v>48.84</v>
      </c>
      <c r="AB295" s="564">
        <v>11.32</v>
      </c>
      <c r="AC295" s="564"/>
      <c r="AD295" s="564">
        <v>30.52</v>
      </c>
      <c r="AE295" s="564"/>
      <c r="AF295" s="564">
        <v>7</v>
      </c>
      <c r="AG295" s="563">
        <f t="shared" si="145"/>
        <v>38.2012256</v>
      </c>
      <c r="AH295" s="564">
        <f t="shared" si="146"/>
        <v>14.280832</v>
      </c>
      <c r="AI295" s="564">
        <f t="shared" si="147"/>
        <v>7.140416</v>
      </c>
      <c r="AJ295" s="564">
        <f t="shared" si="148"/>
        <v>5.355312</v>
      </c>
      <c r="AK295" s="564">
        <f t="shared" si="149"/>
        <v>0.1785104</v>
      </c>
      <c r="AL295" s="564">
        <f t="shared" si="150"/>
        <v>0.5355312</v>
      </c>
      <c r="AM295" s="564">
        <f t="shared" si="151"/>
        <v>10.710624</v>
      </c>
      <c r="AN295" s="564"/>
      <c r="AO295" s="304"/>
    </row>
    <row r="296" s="508" customFormat="1" ht="21" customHeight="1" spans="1:42">
      <c r="A296" s="525"/>
      <c r="B296" s="525"/>
      <c r="C296" s="525" t="s">
        <v>139</v>
      </c>
      <c r="D296" s="526">
        <v>216</v>
      </c>
      <c r="E296" s="561">
        <f t="shared" ref="E296:AN296" si="152">SUM(E297:E298)</f>
        <v>221.4972</v>
      </c>
      <c r="F296" s="561">
        <f t="shared" si="152"/>
        <v>149.32</v>
      </c>
      <c r="G296" s="561">
        <f t="shared" si="152"/>
        <v>136.72</v>
      </c>
      <c r="H296" s="561">
        <f t="shared" si="152"/>
        <v>56.64</v>
      </c>
      <c r="I296" s="561">
        <f t="shared" si="152"/>
        <v>34.04</v>
      </c>
      <c r="J296" s="561">
        <f t="shared" si="152"/>
        <v>4.5</v>
      </c>
      <c r="K296" s="561">
        <f t="shared" si="152"/>
        <v>0</v>
      </c>
      <c r="L296" s="561">
        <f t="shared" si="152"/>
        <v>0</v>
      </c>
      <c r="M296" s="561">
        <f t="shared" si="152"/>
        <v>41.54</v>
      </c>
      <c r="N296" s="561">
        <f t="shared" si="152"/>
        <v>12.6</v>
      </c>
      <c r="O296" s="561">
        <f t="shared" si="152"/>
        <v>0</v>
      </c>
      <c r="P296" s="561">
        <f t="shared" si="152"/>
        <v>0</v>
      </c>
      <c r="Q296" s="561">
        <f t="shared" si="152"/>
        <v>6.6</v>
      </c>
      <c r="R296" s="561">
        <f t="shared" si="152"/>
        <v>6</v>
      </c>
      <c r="S296" s="561">
        <f t="shared" si="152"/>
        <v>19.4</v>
      </c>
      <c r="T296" s="561">
        <f t="shared" si="152"/>
        <v>16.56</v>
      </c>
      <c r="U296" s="561">
        <f t="shared" si="152"/>
        <v>10.52</v>
      </c>
      <c r="V296" s="561">
        <f t="shared" si="152"/>
        <v>0</v>
      </c>
      <c r="W296" s="561">
        <f t="shared" si="152"/>
        <v>3.06</v>
      </c>
      <c r="X296" s="561">
        <f t="shared" si="152"/>
        <v>0</v>
      </c>
      <c r="Y296" s="561">
        <f t="shared" si="152"/>
        <v>0</v>
      </c>
      <c r="Z296" s="561">
        <f t="shared" si="152"/>
        <v>2.98</v>
      </c>
      <c r="AA296" s="561">
        <f t="shared" si="152"/>
        <v>2.84</v>
      </c>
      <c r="AB296" s="561">
        <f t="shared" si="152"/>
        <v>1.84</v>
      </c>
      <c r="AC296" s="561">
        <f t="shared" si="152"/>
        <v>0</v>
      </c>
      <c r="AD296" s="561">
        <f t="shared" si="152"/>
        <v>0</v>
      </c>
      <c r="AE296" s="561">
        <f t="shared" si="152"/>
        <v>0</v>
      </c>
      <c r="AF296" s="561">
        <f t="shared" si="152"/>
        <v>1</v>
      </c>
      <c r="AG296" s="561">
        <f t="shared" si="152"/>
        <v>52.7772</v>
      </c>
      <c r="AH296" s="561">
        <f t="shared" si="152"/>
        <v>24.3424</v>
      </c>
      <c r="AI296" s="561">
        <f t="shared" si="152"/>
        <v>8.488</v>
      </c>
      <c r="AJ296" s="561">
        <f t="shared" si="152"/>
        <v>6.366</v>
      </c>
      <c r="AK296" s="561">
        <f t="shared" si="152"/>
        <v>0.2122</v>
      </c>
      <c r="AL296" s="561">
        <f t="shared" si="152"/>
        <v>0.6366</v>
      </c>
      <c r="AM296" s="561">
        <f t="shared" si="152"/>
        <v>12.732</v>
      </c>
      <c r="AN296" s="561">
        <f t="shared" si="152"/>
        <v>0</v>
      </c>
      <c r="AO296" s="334"/>
      <c r="AP296" s="580"/>
    </row>
    <row r="297" s="131" customFormat="1" ht="24" spans="1:41">
      <c r="A297" s="1" t="s">
        <v>261</v>
      </c>
      <c r="B297" s="1" t="s">
        <v>203</v>
      </c>
      <c r="C297" s="1" t="s">
        <v>618</v>
      </c>
      <c r="D297" s="1" t="s">
        <v>619</v>
      </c>
      <c r="E297" s="565">
        <f t="shared" ref="E297:E306" si="153">F297+S297+AG297</f>
        <v>195.49744</v>
      </c>
      <c r="F297" s="566">
        <f t="shared" ref="F297:F306" si="154">G297+N297</f>
        <v>149.32</v>
      </c>
      <c r="G297" s="566">
        <f t="shared" ref="G297:G306" si="155">SUM(H297:M297)</f>
        <v>136.72</v>
      </c>
      <c r="H297" s="567">
        <v>56.64</v>
      </c>
      <c r="I297" s="567">
        <v>34.04</v>
      </c>
      <c r="J297" s="567">
        <v>4.5</v>
      </c>
      <c r="K297" s="566"/>
      <c r="L297" s="566"/>
      <c r="M297" s="566">
        <v>41.54</v>
      </c>
      <c r="N297" s="565">
        <f t="shared" ref="N297:N306" si="156">SUM(O297:R297)</f>
        <v>12.6</v>
      </c>
      <c r="O297" s="566"/>
      <c r="P297" s="566"/>
      <c r="Q297" s="566">
        <v>6.6</v>
      </c>
      <c r="R297" s="566">
        <v>6</v>
      </c>
      <c r="S297" s="565">
        <f t="shared" ref="S297:S306" si="157">T297+AA297</f>
        <v>0</v>
      </c>
      <c r="T297" s="566">
        <f t="shared" ref="T297:T306" si="158">SUM(U297:Z297)</f>
        <v>0</v>
      </c>
      <c r="U297" s="566"/>
      <c r="V297" s="566"/>
      <c r="W297" s="566"/>
      <c r="X297" s="566"/>
      <c r="Y297" s="566"/>
      <c r="Z297" s="566"/>
      <c r="AA297" s="565">
        <f t="shared" ref="AA297:AA306" si="159">SUM(AB297:AF297)</f>
        <v>0</v>
      </c>
      <c r="AB297" s="566"/>
      <c r="AC297" s="566"/>
      <c r="AD297" s="566"/>
      <c r="AE297" s="566"/>
      <c r="AF297" s="566"/>
      <c r="AG297" s="565">
        <f t="shared" ref="AG297:AG306" si="160">SUM(AH297:AN297)</f>
        <v>46.17744</v>
      </c>
      <c r="AH297" s="566">
        <f t="shared" ref="AH297:AH306" si="161">(H297+I297+J297+U297+V297+W297+AB297+M297)*0.16</f>
        <v>21.8752</v>
      </c>
      <c r="AI297" s="566">
        <f t="shared" ref="AI297:AI306" si="162">(H297+I297+U297+V297+W297+AB297)*0.08</f>
        <v>7.2544</v>
      </c>
      <c r="AJ297" s="566">
        <f t="shared" ref="AJ297:AJ306" si="163">(H297+I297+U297+V297+W297+AB297)*0.06</f>
        <v>5.4408</v>
      </c>
      <c r="AK297" s="566">
        <f t="shared" ref="AK297:AK306" si="164">(H297+I297+U297+V297+W297+AB297)*0.002</f>
        <v>0.18136</v>
      </c>
      <c r="AL297" s="566">
        <f t="shared" ref="AL297:AL306" si="165">(H297+I297+U297+V297+W297+AB297)*0.006</f>
        <v>0.54408</v>
      </c>
      <c r="AM297" s="566">
        <f t="shared" ref="AM297:AM306" si="166">(H297+I297+U297+V297+W297+AB297)*0.12</f>
        <v>10.8816</v>
      </c>
      <c r="AN297" s="566"/>
      <c r="AO297" s="304"/>
    </row>
    <row r="298" s="131" customFormat="1" ht="24" spans="1:41">
      <c r="A298" s="1" t="s">
        <v>261</v>
      </c>
      <c r="B298" s="1" t="s">
        <v>206</v>
      </c>
      <c r="C298" s="1" t="s">
        <v>620</v>
      </c>
      <c r="D298" s="1" t="s">
        <v>621</v>
      </c>
      <c r="E298" s="565">
        <f t="shared" si="153"/>
        <v>25.99976</v>
      </c>
      <c r="F298" s="566">
        <f t="shared" si="154"/>
        <v>0</v>
      </c>
      <c r="G298" s="566">
        <f t="shared" si="155"/>
        <v>0</v>
      </c>
      <c r="H298" s="566"/>
      <c r="I298" s="566"/>
      <c r="J298" s="566"/>
      <c r="K298" s="566"/>
      <c r="L298" s="566"/>
      <c r="M298" s="566"/>
      <c r="N298" s="565">
        <f t="shared" si="156"/>
        <v>0</v>
      </c>
      <c r="O298" s="566"/>
      <c r="P298" s="566"/>
      <c r="Q298" s="566"/>
      <c r="R298" s="566"/>
      <c r="S298" s="565">
        <f t="shared" si="157"/>
        <v>19.4</v>
      </c>
      <c r="T298" s="566">
        <f t="shared" si="158"/>
        <v>16.56</v>
      </c>
      <c r="U298" s="567">
        <v>10.52</v>
      </c>
      <c r="V298" s="567"/>
      <c r="W298" s="567">
        <v>3.06</v>
      </c>
      <c r="X298" s="566"/>
      <c r="Y298" s="566"/>
      <c r="Z298" s="566">
        <v>2.98</v>
      </c>
      <c r="AA298" s="565">
        <f t="shared" si="159"/>
        <v>2.84</v>
      </c>
      <c r="AB298" s="567">
        <v>1.84</v>
      </c>
      <c r="AC298" s="566"/>
      <c r="AD298" s="566"/>
      <c r="AE298" s="566"/>
      <c r="AF298" s="566">
        <v>1</v>
      </c>
      <c r="AG298" s="565">
        <f t="shared" si="160"/>
        <v>6.59976</v>
      </c>
      <c r="AH298" s="566">
        <f t="shared" si="161"/>
        <v>2.4672</v>
      </c>
      <c r="AI298" s="566">
        <f t="shared" si="162"/>
        <v>1.2336</v>
      </c>
      <c r="AJ298" s="566">
        <f t="shared" si="163"/>
        <v>0.9252</v>
      </c>
      <c r="AK298" s="566">
        <f t="shared" si="164"/>
        <v>0.03084</v>
      </c>
      <c r="AL298" s="566">
        <f t="shared" si="165"/>
        <v>0.09252</v>
      </c>
      <c r="AM298" s="566">
        <f t="shared" si="166"/>
        <v>1.8504</v>
      </c>
      <c r="AN298" s="566"/>
      <c r="AO298" s="304"/>
    </row>
    <row r="299" s="508" customFormat="1" ht="21" customHeight="1" spans="1:42">
      <c r="A299" s="525"/>
      <c r="B299" s="525"/>
      <c r="C299" s="525" t="s">
        <v>142</v>
      </c>
      <c r="D299" s="526">
        <v>220</v>
      </c>
      <c r="E299" s="561">
        <f t="shared" ref="E299:AN299" si="167">SUM(E300:E306)</f>
        <v>2009.98626896</v>
      </c>
      <c r="F299" s="561">
        <f t="shared" si="167"/>
        <v>711.5579</v>
      </c>
      <c r="G299" s="561">
        <f t="shared" si="167"/>
        <v>554.2979</v>
      </c>
      <c r="H299" s="561">
        <f t="shared" si="167"/>
        <v>218.0484</v>
      </c>
      <c r="I299" s="561">
        <f t="shared" si="167"/>
        <v>139.4988</v>
      </c>
      <c r="J299" s="561">
        <f t="shared" si="167"/>
        <v>18.1707</v>
      </c>
      <c r="K299" s="561">
        <f t="shared" si="167"/>
        <v>3.96</v>
      </c>
      <c r="L299" s="561">
        <f t="shared" si="167"/>
        <v>0</v>
      </c>
      <c r="M299" s="561">
        <f t="shared" si="167"/>
        <v>174.62</v>
      </c>
      <c r="N299" s="561">
        <f t="shared" si="167"/>
        <v>157.26</v>
      </c>
      <c r="O299" s="561">
        <f t="shared" si="167"/>
        <v>101.61</v>
      </c>
      <c r="P299" s="561">
        <f t="shared" si="167"/>
        <v>0</v>
      </c>
      <c r="Q299" s="561">
        <f t="shared" si="167"/>
        <v>29.15</v>
      </c>
      <c r="R299" s="561">
        <f t="shared" si="167"/>
        <v>26.5</v>
      </c>
      <c r="S299" s="561">
        <f t="shared" si="167"/>
        <v>868.49312</v>
      </c>
      <c r="T299" s="561">
        <f t="shared" si="167"/>
        <v>629.4304</v>
      </c>
      <c r="U299" s="561">
        <f t="shared" si="167"/>
        <v>340.6516</v>
      </c>
      <c r="V299" s="561">
        <f t="shared" si="167"/>
        <v>47.15</v>
      </c>
      <c r="W299" s="561">
        <f t="shared" si="167"/>
        <v>108.5688</v>
      </c>
      <c r="X299" s="561">
        <f t="shared" si="167"/>
        <v>2.76</v>
      </c>
      <c r="Y299" s="561">
        <f t="shared" si="167"/>
        <v>0</v>
      </c>
      <c r="Z299" s="561">
        <f t="shared" si="167"/>
        <v>130.3</v>
      </c>
      <c r="AA299" s="561">
        <f t="shared" si="167"/>
        <v>239.06272</v>
      </c>
      <c r="AB299" s="561">
        <f t="shared" si="167"/>
        <v>78.53272</v>
      </c>
      <c r="AC299" s="561">
        <f t="shared" si="167"/>
        <v>39.74</v>
      </c>
      <c r="AD299" s="561">
        <f t="shared" si="167"/>
        <v>76.29</v>
      </c>
      <c r="AE299" s="561">
        <f t="shared" si="167"/>
        <v>0</v>
      </c>
      <c r="AF299" s="561">
        <f t="shared" si="167"/>
        <v>44.5</v>
      </c>
      <c r="AG299" s="561">
        <f t="shared" si="167"/>
        <v>429.93524896</v>
      </c>
      <c r="AH299" s="561">
        <f t="shared" si="167"/>
        <v>180.0385632</v>
      </c>
      <c r="AI299" s="561">
        <f t="shared" si="167"/>
        <v>74.5960256</v>
      </c>
      <c r="AJ299" s="561">
        <f t="shared" si="167"/>
        <v>55.9470192</v>
      </c>
      <c r="AK299" s="561">
        <f t="shared" si="167"/>
        <v>1.86490064</v>
      </c>
      <c r="AL299" s="561">
        <f t="shared" si="167"/>
        <v>5.59470192</v>
      </c>
      <c r="AM299" s="561">
        <f t="shared" si="167"/>
        <v>111.8940384</v>
      </c>
      <c r="AN299" s="561">
        <f t="shared" si="167"/>
        <v>0</v>
      </c>
      <c r="AO299" s="334"/>
      <c r="AP299" s="580"/>
    </row>
    <row r="300" s="131" customFormat="1" spans="1:41">
      <c r="A300" s="1" t="s">
        <v>590</v>
      </c>
      <c r="B300" s="1" t="s">
        <v>203</v>
      </c>
      <c r="C300" s="1" t="s">
        <v>622</v>
      </c>
      <c r="D300" s="1" t="s">
        <v>623</v>
      </c>
      <c r="E300" s="565">
        <f t="shared" si="153"/>
        <v>895.4346136</v>
      </c>
      <c r="F300" s="566">
        <f t="shared" si="154"/>
        <v>711.5579</v>
      </c>
      <c r="G300" s="566">
        <f t="shared" si="155"/>
        <v>554.2979</v>
      </c>
      <c r="H300" s="566">
        <v>218.0484</v>
      </c>
      <c r="I300" s="566">
        <v>139.4988</v>
      </c>
      <c r="J300" s="566">
        <v>18.1707</v>
      </c>
      <c r="K300" s="566">
        <v>3.96</v>
      </c>
      <c r="L300" s="566"/>
      <c r="M300" s="566">
        <v>174.62</v>
      </c>
      <c r="N300" s="565">
        <f t="shared" si="156"/>
        <v>157.26</v>
      </c>
      <c r="O300" s="566">
        <v>101.61</v>
      </c>
      <c r="P300" s="566"/>
      <c r="Q300" s="566">
        <v>29.15</v>
      </c>
      <c r="R300" s="566">
        <v>26.5</v>
      </c>
      <c r="S300" s="565">
        <f t="shared" si="157"/>
        <v>0</v>
      </c>
      <c r="T300" s="566">
        <f t="shared" si="158"/>
        <v>0</v>
      </c>
      <c r="U300" s="566"/>
      <c r="V300" s="566"/>
      <c r="W300" s="566"/>
      <c r="X300" s="566"/>
      <c r="Y300" s="566"/>
      <c r="Z300" s="566"/>
      <c r="AA300" s="565">
        <f t="shared" si="159"/>
        <v>0</v>
      </c>
      <c r="AB300" s="566"/>
      <c r="AC300" s="566"/>
      <c r="AD300" s="566"/>
      <c r="AE300" s="566"/>
      <c r="AF300" s="566"/>
      <c r="AG300" s="565">
        <f t="shared" si="160"/>
        <v>183.8767136</v>
      </c>
      <c r="AH300" s="566">
        <f t="shared" si="161"/>
        <v>88.054064</v>
      </c>
      <c r="AI300" s="566">
        <f t="shared" si="162"/>
        <v>28.603776</v>
      </c>
      <c r="AJ300" s="566">
        <f t="shared" si="163"/>
        <v>21.452832</v>
      </c>
      <c r="AK300" s="566">
        <f t="shared" si="164"/>
        <v>0.7150944</v>
      </c>
      <c r="AL300" s="566">
        <f t="shared" si="165"/>
        <v>2.1452832</v>
      </c>
      <c r="AM300" s="566">
        <f t="shared" si="166"/>
        <v>42.905664</v>
      </c>
      <c r="AN300" s="566"/>
      <c r="AO300" s="304"/>
    </row>
    <row r="301" s="131" customFormat="1" spans="1:41">
      <c r="A301" s="1" t="s">
        <v>590</v>
      </c>
      <c r="B301" s="1" t="s">
        <v>206</v>
      </c>
      <c r="C301" s="1" t="s">
        <v>625</v>
      </c>
      <c r="D301" s="1" t="s">
        <v>626</v>
      </c>
      <c r="E301" s="565">
        <f t="shared" si="153"/>
        <v>278.39982176</v>
      </c>
      <c r="F301" s="566">
        <f t="shared" si="154"/>
        <v>0</v>
      </c>
      <c r="G301" s="566">
        <f t="shared" si="155"/>
        <v>0</v>
      </c>
      <c r="H301" s="566"/>
      <c r="I301" s="566"/>
      <c r="J301" s="566"/>
      <c r="K301" s="566"/>
      <c r="L301" s="566"/>
      <c r="M301" s="566"/>
      <c r="N301" s="565">
        <f t="shared" si="156"/>
        <v>0</v>
      </c>
      <c r="O301" s="566"/>
      <c r="P301" s="566"/>
      <c r="Q301" s="566"/>
      <c r="R301" s="566"/>
      <c r="S301" s="565">
        <f t="shared" si="157"/>
        <v>209.87192</v>
      </c>
      <c r="T301" s="566">
        <f t="shared" si="158"/>
        <v>174.9324</v>
      </c>
      <c r="U301" s="566">
        <v>100.2732</v>
      </c>
      <c r="V301" s="566">
        <v>0</v>
      </c>
      <c r="W301" s="566">
        <v>37.3992</v>
      </c>
      <c r="X301" s="566">
        <v>0</v>
      </c>
      <c r="Y301" s="566">
        <v>0</v>
      </c>
      <c r="Z301" s="566">
        <v>37.26</v>
      </c>
      <c r="AA301" s="565">
        <f t="shared" si="159"/>
        <v>34.93952</v>
      </c>
      <c r="AB301" s="566">
        <v>22.43952</v>
      </c>
      <c r="AC301" s="566"/>
      <c r="AD301" s="566"/>
      <c r="AE301" s="566"/>
      <c r="AF301" s="566">
        <v>12.5</v>
      </c>
      <c r="AG301" s="565">
        <f t="shared" si="160"/>
        <v>68.52790176</v>
      </c>
      <c r="AH301" s="566">
        <f t="shared" si="161"/>
        <v>25.6179072</v>
      </c>
      <c r="AI301" s="566">
        <f t="shared" si="162"/>
        <v>12.8089536</v>
      </c>
      <c r="AJ301" s="566">
        <f t="shared" si="163"/>
        <v>9.6067152</v>
      </c>
      <c r="AK301" s="566">
        <f t="shared" si="164"/>
        <v>0.32022384</v>
      </c>
      <c r="AL301" s="566">
        <f t="shared" si="165"/>
        <v>0.96067152</v>
      </c>
      <c r="AM301" s="566">
        <f t="shared" si="166"/>
        <v>19.2134304</v>
      </c>
      <c r="AN301" s="566"/>
      <c r="AO301" s="304"/>
    </row>
    <row r="302" s="131" customFormat="1" spans="1:41">
      <c r="A302" s="1" t="s">
        <v>590</v>
      </c>
      <c r="B302" s="1" t="s">
        <v>206</v>
      </c>
      <c r="C302" s="1" t="s">
        <v>627</v>
      </c>
      <c r="D302" s="1" t="s">
        <v>626</v>
      </c>
      <c r="E302" s="565">
        <f t="shared" si="153"/>
        <v>119.9486864</v>
      </c>
      <c r="F302" s="566">
        <f t="shared" si="154"/>
        <v>0</v>
      </c>
      <c r="G302" s="566">
        <f t="shared" si="155"/>
        <v>0</v>
      </c>
      <c r="H302" s="566"/>
      <c r="I302" s="566"/>
      <c r="J302" s="566"/>
      <c r="K302" s="566"/>
      <c r="L302" s="566"/>
      <c r="M302" s="566"/>
      <c r="N302" s="565">
        <f t="shared" si="156"/>
        <v>0</v>
      </c>
      <c r="O302" s="566"/>
      <c r="P302" s="566"/>
      <c r="Q302" s="566"/>
      <c r="R302" s="566"/>
      <c r="S302" s="565">
        <f t="shared" si="157"/>
        <v>90.2888</v>
      </c>
      <c r="T302" s="566">
        <f t="shared" si="158"/>
        <v>75.4396</v>
      </c>
      <c r="U302" s="566">
        <v>44.3676</v>
      </c>
      <c r="V302" s="566"/>
      <c r="W302" s="566">
        <v>15.582</v>
      </c>
      <c r="X302" s="566"/>
      <c r="Y302" s="566"/>
      <c r="Z302" s="566">
        <v>15.49</v>
      </c>
      <c r="AA302" s="565">
        <f t="shared" si="159"/>
        <v>14.8492</v>
      </c>
      <c r="AB302" s="567">
        <v>9.3492</v>
      </c>
      <c r="AC302" s="566"/>
      <c r="AD302" s="566"/>
      <c r="AE302" s="566"/>
      <c r="AF302" s="566">
        <v>5.5</v>
      </c>
      <c r="AG302" s="565">
        <f t="shared" si="160"/>
        <v>29.6598864</v>
      </c>
      <c r="AH302" s="566">
        <f t="shared" si="161"/>
        <v>11.087808</v>
      </c>
      <c r="AI302" s="566">
        <f t="shared" si="162"/>
        <v>5.543904</v>
      </c>
      <c r="AJ302" s="566">
        <f t="shared" si="163"/>
        <v>4.157928</v>
      </c>
      <c r="AK302" s="566">
        <f t="shared" si="164"/>
        <v>0.1385976</v>
      </c>
      <c r="AL302" s="566">
        <f t="shared" si="165"/>
        <v>0.4157928</v>
      </c>
      <c r="AM302" s="566">
        <f t="shared" si="166"/>
        <v>8.315856</v>
      </c>
      <c r="AN302" s="566"/>
      <c r="AO302" s="304"/>
    </row>
    <row r="303" s="131" customFormat="1" spans="1:41">
      <c r="A303" s="1" t="s">
        <v>590</v>
      </c>
      <c r="B303" s="1" t="s">
        <v>206</v>
      </c>
      <c r="C303" s="1" t="s">
        <v>628</v>
      </c>
      <c r="D303" s="1" t="s">
        <v>626</v>
      </c>
      <c r="E303" s="565">
        <f t="shared" si="153"/>
        <v>371.8635104</v>
      </c>
      <c r="F303" s="566">
        <f t="shared" si="154"/>
        <v>0</v>
      </c>
      <c r="G303" s="566">
        <f t="shared" si="155"/>
        <v>0</v>
      </c>
      <c r="H303" s="566"/>
      <c r="I303" s="566"/>
      <c r="J303" s="566"/>
      <c r="K303" s="566"/>
      <c r="L303" s="566"/>
      <c r="M303" s="566"/>
      <c r="N303" s="565">
        <f t="shared" si="156"/>
        <v>0</v>
      </c>
      <c r="O303" s="566"/>
      <c r="P303" s="566"/>
      <c r="Q303" s="566"/>
      <c r="R303" s="566"/>
      <c r="S303" s="565">
        <f t="shared" si="157"/>
        <v>297.6668</v>
      </c>
      <c r="T303" s="566">
        <f t="shared" si="158"/>
        <v>192.5848</v>
      </c>
      <c r="U303" s="567">
        <v>108.1248</v>
      </c>
      <c r="V303" s="567"/>
      <c r="W303" s="567">
        <v>40.77</v>
      </c>
      <c r="X303" s="567">
        <v>2.76</v>
      </c>
      <c r="Y303" s="566"/>
      <c r="Z303" s="566">
        <v>40.93</v>
      </c>
      <c r="AA303" s="565">
        <f t="shared" si="159"/>
        <v>105.082</v>
      </c>
      <c r="AB303" s="566">
        <v>24.462</v>
      </c>
      <c r="AC303" s="566"/>
      <c r="AD303" s="566">
        <v>66.12</v>
      </c>
      <c r="AE303" s="566"/>
      <c r="AF303" s="566">
        <v>14.5</v>
      </c>
      <c r="AG303" s="565">
        <f t="shared" si="160"/>
        <v>74.1967104</v>
      </c>
      <c r="AH303" s="566">
        <f t="shared" si="161"/>
        <v>27.737088</v>
      </c>
      <c r="AI303" s="566">
        <f t="shared" si="162"/>
        <v>13.868544</v>
      </c>
      <c r="AJ303" s="566">
        <f t="shared" si="163"/>
        <v>10.401408</v>
      </c>
      <c r="AK303" s="566">
        <f t="shared" si="164"/>
        <v>0.3467136</v>
      </c>
      <c r="AL303" s="566">
        <f t="shared" si="165"/>
        <v>1.0401408</v>
      </c>
      <c r="AM303" s="566">
        <f t="shared" si="166"/>
        <v>20.802816</v>
      </c>
      <c r="AN303" s="566"/>
      <c r="AO303" s="304"/>
    </row>
    <row r="304" s="131" customFormat="1" ht="24" spans="1:41">
      <c r="A304" s="1" t="s">
        <v>590</v>
      </c>
      <c r="B304" s="1" t="s">
        <v>206</v>
      </c>
      <c r="C304" s="1" t="s">
        <v>629</v>
      </c>
      <c r="D304" s="1" t="s">
        <v>626</v>
      </c>
      <c r="E304" s="565">
        <f t="shared" si="153"/>
        <v>132.7967968</v>
      </c>
      <c r="F304" s="566">
        <f t="shared" si="154"/>
        <v>0</v>
      </c>
      <c r="G304" s="566">
        <f t="shared" si="155"/>
        <v>0</v>
      </c>
      <c r="H304" s="566"/>
      <c r="I304" s="566"/>
      <c r="J304" s="566"/>
      <c r="K304" s="566"/>
      <c r="L304" s="566"/>
      <c r="M304" s="566"/>
      <c r="N304" s="565">
        <f t="shared" si="156"/>
        <v>0</v>
      </c>
      <c r="O304" s="566"/>
      <c r="P304" s="566"/>
      <c r="Q304" s="566"/>
      <c r="R304" s="566"/>
      <c r="S304" s="565">
        <f t="shared" si="157"/>
        <v>101.9356</v>
      </c>
      <c r="T304" s="566">
        <f t="shared" si="158"/>
        <v>77.8736</v>
      </c>
      <c r="U304" s="566">
        <v>23.556</v>
      </c>
      <c r="V304" s="566">
        <v>24.84</v>
      </c>
      <c r="W304" s="566">
        <v>14.8176</v>
      </c>
      <c r="X304" s="566"/>
      <c r="Y304" s="566"/>
      <c r="Z304" s="566">
        <v>14.66</v>
      </c>
      <c r="AA304" s="565">
        <f t="shared" si="159"/>
        <v>24.062</v>
      </c>
      <c r="AB304" s="566">
        <v>8.892</v>
      </c>
      <c r="AC304" s="566"/>
      <c r="AD304" s="566">
        <v>10.17</v>
      </c>
      <c r="AE304" s="566"/>
      <c r="AF304" s="566">
        <v>5</v>
      </c>
      <c r="AG304" s="565">
        <f t="shared" si="160"/>
        <v>30.8611968</v>
      </c>
      <c r="AH304" s="566">
        <f t="shared" si="161"/>
        <v>11.536896</v>
      </c>
      <c r="AI304" s="566">
        <f t="shared" si="162"/>
        <v>5.768448</v>
      </c>
      <c r="AJ304" s="566">
        <f t="shared" si="163"/>
        <v>4.326336</v>
      </c>
      <c r="AK304" s="566">
        <f t="shared" si="164"/>
        <v>0.1442112</v>
      </c>
      <c r="AL304" s="566">
        <f t="shared" si="165"/>
        <v>0.4326336</v>
      </c>
      <c r="AM304" s="566">
        <f t="shared" si="166"/>
        <v>8.652672</v>
      </c>
      <c r="AN304" s="566"/>
      <c r="AO304" s="304"/>
    </row>
    <row r="305" s="131" customFormat="1" ht="24" spans="1:41">
      <c r="A305" s="1" t="s">
        <v>590</v>
      </c>
      <c r="B305" s="1" t="s">
        <v>206</v>
      </c>
      <c r="C305" s="1" t="s">
        <v>630</v>
      </c>
      <c r="D305" s="1" t="s">
        <v>631</v>
      </c>
      <c r="E305" s="565">
        <f t="shared" si="153"/>
        <v>171.80284</v>
      </c>
      <c r="F305" s="566">
        <f t="shared" si="154"/>
        <v>0</v>
      </c>
      <c r="G305" s="566">
        <f t="shared" si="155"/>
        <v>0</v>
      </c>
      <c r="H305" s="566"/>
      <c r="I305" s="566"/>
      <c r="J305" s="566"/>
      <c r="K305" s="566"/>
      <c r="L305" s="566"/>
      <c r="M305" s="566"/>
      <c r="N305" s="565">
        <f t="shared" si="156"/>
        <v>0</v>
      </c>
      <c r="O305" s="566"/>
      <c r="P305" s="566"/>
      <c r="Q305" s="566"/>
      <c r="R305" s="566"/>
      <c r="S305" s="565">
        <f t="shared" si="157"/>
        <v>128.99</v>
      </c>
      <c r="T305" s="566">
        <f t="shared" si="158"/>
        <v>108.6</v>
      </c>
      <c r="U305" s="566">
        <v>64.33</v>
      </c>
      <c r="V305" s="566">
        <v>22.31</v>
      </c>
      <c r="W305" s="566"/>
      <c r="X305" s="566"/>
      <c r="Y305" s="566"/>
      <c r="Z305" s="566">
        <v>21.96</v>
      </c>
      <c r="AA305" s="565">
        <f t="shared" si="159"/>
        <v>20.39</v>
      </c>
      <c r="AB305" s="566">
        <v>13.39</v>
      </c>
      <c r="AC305" s="566"/>
      <c r="AD305" s="566"/>
      <c r="AE305" s="566"/>
      <c r="AF305" s="566">
        <v>7</v>
      </c>
      <c r="AG305" s="565">
        <f t="shared" si="160"/>
        <v>42.81284</v>
      </c>
      <c r="AH305" s="566">
        <f t="shared" si="161"/>
        <v>16.0048</v>
      </c>
      <c r="AI305" s="566">
        <f t="shared" si="162"/>
        <v>8.0024</v>
      </c>
      <c r="AJ305" s="566">
        <f t="shared" si="163"/>
        <v>6.0018</v>
      </c>
      <c r="AK305" s="566">
        <f t="shared" si="164"/>
        <v>0.20006</v>
      </c>
      <c r="AL305" s="566">
        <f t="shared" si="165"/>
        <v>0.60018</v>
      </c>
      <c r="AM305" s="566">
        <f t="shared" si="166"/>
        <v>12.0036</v>
      </c>
      <c r="AN305" s="566"/>
      <c r="AO305" s="304"/>
    </row>
    <row r="306" s="131" customFormat="1" ht="24" spans="1:41">
      <c r="A306" s="1" t="s">
        <v>584</v>
      </c>
      <c r="B306" s="1" t="s">
        <v>203</v>
      </c>
      <c r="C306" s="1" t="s">
        <v>632</v>
      </c>
      <c r="D306" s="1" t="s">
        <v>633</v>
      </c>
      <c r="E306" s="565">
        <f t="shared" si="153"/>
        <v>39.74</v>
      </c>
      <c r="F306" s="566">
        <f t="shared" si="154"/>
        <v>0</v>
      </c>
      <c r="G306" s="566">
        <f t="shared" si="155"/>
        <v>0</v>
      </c>
      <c r="H306" s="566"/>
      <c r="I306" s="566"/>
      <c r="J306" s="566"/>
      <c r="K306" s="566"/>
      <c r="L306" s="566"/>
      <c r="M306" s="566"/>
      <c r="N306" s="565">
        <f t="shared" si="156"/>
        <v>0</v>
      </c>
      <c r="O306" s="566"/>
      <c r="P306" s="566"/>
      <c r="Q306" s="566"/>
      <c r="R306" s="566"/>
      <c r="S306" s="565">
        <f t="shared" si="157"/>
        <v>39.74</v>
      </c>
      <c r="T306" s="566">
        <f t="shared" si="158"/>
        <v>0</v>
      </c>
      <c r="U306" s="566"/>
      <c r="V306" s="566"/>
      <c r="W306" s="566"/>
      <c r="X306" s="566"/>
      <c r="Y306" s="566"/>
      <c r="Z306" s="566"/>
      <c r="AA306" s="565">
        <f t="shared" si="159"/>
        <v>39.74</v>
      </c>
      <c r="AB306" s="566"/>
      <c r="AC306" s="566">
        <v>39.74</v>
      </c>
      <c r="AD306" s="566"/>
      <c r="AE306" s="566"/>
      <c r="AF306" s="566"/>
      <c r="AG306" s="565">
        <f t="shared" si="160"/>
        <v>0</v>
      </c>
      <c r="AH306" s="566">
        <f t="shared" si="161"/>
        <v>0</v>
      </c>
      <c r="AI306" s="566">
        <f t="shared" si="162"/>
        <v>0</v>
      </c>
      <c r="AJ306" s="566">
        <f t="shared" si="163"/>
        <v>0</v>
      </c>
      <c r="AK306" s="566">
        <f t="shared" si="164"/>
        <v>0</v>
      </c>
      <c r="AL306" s="566">
        <f t="shared" si="165"/>
        <v>0</v>
      </c>
      <c r="AM306" s="566">
        <f t="shared" si="166"/>
        <v>0</v>
      </c>
      <c r="AN306" s="566"/>
      <c r="AO306" s="304"/>
    </row>
    <row r="307" s="508" customFormat="1" ht="21" customHeight="1" spans="1:42">
      <c r="A307" s="525"/>
      <c r="B307" s="525"/>
      <c r="C307" s="525" t="s">
        <v>145</v>
      </c>
      <c r="D307" s="526">
        <v>224</v>
      </c>
      <c r="E307" s="561">
        <f t="shared" ref="E307:AN307" si="168">SUM(E308:E311)</f>
        <v>1071.111268</v>
      </c>
      <c r="F307" s="561">
        <f t="shared" si="168"/>
        <v>655.2905</v>
      </c>
      <c r="G307" s="561">
        <f t="shared" si="168"/>
        <v>256.3205</v>
      </c>
      <c r="H307" s="561">
        <f t="shared" si="168"/>
        <v>96.054</v>
      </c>
      <c r="I307" s="561">
        <f t="shared" si="168"/>
        <v>59.442</v>
      </c>
      <c r="J307" s="561">
        <f t="shared" si="168"/>
        <v>8.0045</v>
      </c>
      <c r="K307" s="561">
        <f t="shared" si="168"/>
        <v>0</v>
      </c>
      <c r="L307" s="561">
        <f t="shared" si="168"/>
        <v>4.56</v>
      </c>
      <c r="M307" s="561">
        <f t="shared" si="168"/>
        <v>88.26</v>
      </c>
      <c r="N307" s="561">
        <f t="shared" si="168"/>
        <v>398.97</v>
      </c>
      <c r="O307" s="561">
        <f t="shared" si="168"/>
        <v>12.72</v>
      </c>
      <c r="P307" s="561">
        <f t="shared" si="168"/>
        <v>360</v>
      </c>
      <c r="Q307" s="561">
        <f t="shared" si="168"/>
        <v>13.75</v>
      </c>
      <c r="R307" s="561">
        <f t="shared" si="168"/>
        <v>12.5</v>
      </c>
      <c r="S307" s="561">
        <f t="shared" si="168"/>
        <v>253.95</v>
      </c>
      <c r="T307" s="561">
        <f t="shared" si="168"/>
        <v>202.92</v>
      </c>
      <c r="U307" s="561">
        <f t="shared" si="168"/>
        <v>120.3</v>
      </c>
      <c r="V307" s="561">
        <f t="shared" si="168"/>
        <v>0</v>
      </c>
      <c r="W307" s="561">
        <f t="shared" si="168"/>
        <v>41.51</v>
      </c>
      <c r="X307" s="561">
        <f t="shared" si="168"/>
        <v>0</v>
      </c>
      <c r="Y307" s="561">
        <f t="shared" si="168"/>
        <v>0</v>
      </c>
      <c r="Z307" s="561">
        <f t="shared" si="168"/>
        <v>41.11</v>
      </c>
      <c r="AA307" s="561">
        <f t="shared" si="168"/>
        <v>51.03</v>
      </c>
      <c r="AB307" s="561">
        <f t="shared" si="168"/>
        <v>24.91</v>
      </c>
      <c r="AC307" s="561">
        <f t="shared" si="168"/>
        <v>0</v>
      </c>
      <c r="AD307" s="561">
        <f t="shared" si="168"/>
        <v>8.12</v>
      </c>
      <c r="AE307" s="561">
        <f t="shared" si="168"/>
        <v>3</v>
      </c>
      <c r="AF307" s="561">
        <f t="shared" si="168"/>
        <v>15</v>
      </c>
      <c r="AG307" s="561">
        <f t="shared" si="168"/>
        <v>161.870768</v>
      </c>
      <c r="AH307" s="561">
        <f t="shared" si="168"/>
        <v>70.15688</v>
      </c>
      <c r="AI307" s="561">
        <f t="shared" si="168"/>
        <v>27.37728</v>
      </c>
      <c r="AJ307" s="561">
        <f t="shared" si="168"/>
        <v>20.53296</v>
      </c>
      <c r="AK307" s="561">
        <f t="shared" si="168"/>
        <v>0.684432</v>
      </c>
      <c r="AL307" s="561">
        <f t="shared" si="168"/>
        <v>2.053296</v>
      </c>
      <c r="AM307" s="561">
        <f t="shared" si="168"/>
        <v>41.06592</v>
      </c>
      <c r="AN307" s="561">
        <f t="shared" si="168"/>
        <v>0</v>
      </c>
      <c r="AO307" s="334"/>
      <c r="AP307" s="580"/>
    </row>
    <row r="308" s="131" customFormat="1" ht="24" spans="1:41">
      <c r="A308" s="1" t="s">
        <v>261</v>
      </c>
      <c r="B308" s="1" t="s">
        <v>203</v>
      </c>
      <c r="C308" s="1" t="s">
        <v>634</v>
      </c>
      <c r="D308" s="1" t="s">
        <v>635</v>
      </c>
      <c r="E308" s="565">
        <f t="shared" ref="E308:E311" si="169">F308+S308+AG308</f>
        <v>377.245108</v>
      </c>
      <c r="F308" s="566">
        <f t="shared" ref="F308:F311" si="170">G308+N308</f>
        <v>295.2905</v>
      </c>
      <c r="G308" s="566">
        <f t="shared" ref="G308:G311" si="171">SUM(H308:M308)</f>
        <v>256.3205</v>
      </c>
      <c r="H308" s="567">
        <v>96.054</v>
      </c>
      <c r="I308" s="567">
        <v>59.442</v>
      </c>
      <c r="J308" s="567">
        <v>8.0045</v>
      </c>
      <c r="K308" s="567"/>
      <c r="L308" s="567">
        <v>4.56</v>
      </c>
      <c r="M308" s="566">
        <v>88.26</v>
      </c>
      <c r="N308" s="565">
        <f t="shared" ref="N308:N311" si="172">SUM(O308:R308)</f>
        <v>38.97</v>
      </c>
      <c r="O308" s="567">
        <v>12.72</v>
      </c>
      <c r="P308" s="566"/>
      <c r="Q308" s="566">
        <v>13.75</v>
      </c>
      <c r="R308" s="566">
        <v>12.5</v>
      </c>
      <c r="S308" s="565">
        <f t="shared" ref="S308:S311" si="173">T308+AA308</f>
        <v>0</v>
      </c>
      <c r="T308" s="566">
        <f t="shared" ref="T308:T311" si="174">SUM(U308:Z308)</f>
        <v>0</v>
      </c>
      <c r="U308" s="566"/>
      <c r="V308" s="566"/>
      <c r="W308" s="566"/>
      <c r="X308" s="566"/>
      <c r="Y308" s="566"/>
      <c r="Z308" s="566"/>
      <c r="AA308" s="565">
        <f t="shared" ref="AA308:AA311" si="175">SUM(AB308:AF308)</f>
        <v>0</v>
      </c>
      <c r="AB308" s="566"/>
      <c r="AC308" s="566"/>
      <c r="AD308" s="566"/>
      <c r="AE308" s="566"/>
      <c r="AF308" s="566"/>
      <c r="AG308" s="565">
        <f t="shared" ref="AG308:AG311" si="176">SUM(AH308:AN308)</f>
        <v>81.954608</v>
      </c>
      <c r="AH308" s="566">
        <f t="shared" ref="AH308:AH311" si="177">(H308+I308+J308+U308+V308+W308+AB308+M308)*0.16</f>
        <v>40.28168</v>
      </c>
      <c r="AI308" s="566">
        <f t="shared" ref="AI308:AI311" si="178">(H308+I308+U308+V308+W308+AB308)*0.08</f>
        <v>12.43968</v>
      </c>
      <c r="AJ308" s="566">
        <f t="shared" ref="AJ308:AJ311" si="179">(H308+I308+U308+V308+W308+AB308)*0.06</f>
        <v>9.32976</v>
      </c>
      <c r="AK308" s="566">
        <f t="shared" ref="AK308:AK311" si="180">(H308+I308+U308+V308+W308+AB308)*0.002</f>
        <v>0.310992</v>
      </c>
      <c r="AL308" s="566">
        <f t="shared" ref="AL308:AL311" si="181">(H308+I308+U308+V308+W308+AB308)*0.006</f>
        <v>0.932976</v>
      </c>
      <c r="AM308" s="566">
        <f t="shared" ref="AM308:AM311" si="182">(H308+I308+U308+V308+W308+AB308)*0.12</f>
        <v>18.65952</v>
      </c>
      <c r="AN308" s="566"/>
      <c r="AO308" s="304"/>
    </row>
    <row r="309" s="131" customFormat="1" ht="24" spans="1:41">
      <c r="A309" s="1" t="s">
        <v>261</v>
      </c>
      <c r="B309" s="1" t="s">
        <v>206</v>
      </c>
      <c r="C309" s="1" t="s">
        <v>636</v>
      </c>
      <c r="D309" s="1" t="s">
        <v>637</v>
      </c>
      <c r="E309" s="565">
        <f t="shared" si="169"/>
        <v>232.27264</v>
      </c>
      <c r="F309" s="566">
        <f t="shared" si="170"/>
        <v>0</v>
      </c>
      <c r="G309" s="566">
        <f t="shared" si="171"/>
        <v>0</v>
      </c>
      <c r="H309" s="566"/>
      <c r="I309" s="566"/>
      <c r="J309" s="566"/>
      <c r="K309" s="566"/>
      <c r="L309" s="566"/>
      <c r="M309" s="566"/>
      <c r="N309" s="565">
        <f t="shared" si="172"/>
        <v>0</v>
      </c>
      <c r="O309" s="566"/>
      <c r="P309" s="566"/>
      <c r="Q309" s="566"/>
      <c r="R309" s="566"/>
      <c r="S309" s="565">
        <f t="shared" si="173"/>
        <v>175.4</v>
      </c>
      <c r="T309" s="566">
        <f t="shared" si="174"/>
        <v>144.16</v>
      </c>
      <c r="U309" s="566">
        <v>85.57</v>
      </c>
      <c r="V309" s="566"/>
      <c r="W309" s="566">
        <v>29.57</v>
      </c>
      <c r="X309" s="566"/>
      <c r="Y309" s="566"/>
      <c r="Z309" s="566">
        <v>29.02</v>
      </c>
      <c r="AA309" s="565">
        <f t="shared" si="175"/>
        <v>31.24</v>
      </c>
      <c r="AB309" s="566">
        <v>17.74</v>
      </c>
      <c r="AC309" s="566"/>
      <c r="AD309" s="566"/>
      <c r="AE309" s="566">
        <v>3</v>
      </c>
      <c r="AF309" s="566">
        <v>10.5</v>
      </c>
      <c r="AG309" s="565">
        <f t="shared" si="176"/>
        <v>56.87264</v>
      </c>
      <c r="AH309" s="566">
        <f t="shared" si="177"/>
        <v>21.2608</v>
      </c>
      <c r="AI309" s="566">
        <f t="shared" si="178"/>
        <v>10.6304</v>
      </c>
      <c r="AJ309" s="566">
        <f t="shared" si="179"/>
        <v>7.9728</v>
      </c>
      <c r="AK309" s="566">
        <f t="shared" si="180"/>
        <v>0.26576</v>
      </c>
      <c r="AL309" s="566">
        <f t="shared" si="181"/>
        <v>0.79728</v>
      </c>
      <c r="AM309" s="566">
        <f t="shared" si="182"/>
        <v>15.9456</v>
      </c>
      <c r="AN309" s="566"/>
      <c r="AO309" s="304" t="s">
        <v>718</v>
      </c>
    </row>
    <row r="310" s="131" customFormat="1" ht="24" spans="1:41">
      <c r="A310" s="1" t="s">
        <v>202</v>
      </c>
      <c r="B310" s="1" t="s">
        <v>203</v>
      </c>
      <c r="C310" s="1" t="s">
        <v>638</v>
      </c>
      <c r="D310" s="1" t="s">
        <v>639</v>
      </c>
      <c r="E310" s="565">
        <f t="shared" si="169"/>
        <v>360</v>
      </c>
      <c r="F310" s="566">
        <f t="shared" si="170"/>
        <v>360</v>
      </c>
      <c r="G310" s="566">
        <f t="shared" si="171"/>
        <v>0</v>
      </c>
      <c r="H310" s="566"/>
      <c r="I310" s="566"/>
      <c r="J310" s="566"/>
      <c r="K310" s="566"/>
      <c r="L310" s="566"/>
      <c r="M310" s="566"/>
      <c r="N310" s="565">
        <f t="shared" si="172"/>
        <v>360</v>
      </c>
      <c r="O310" s="566"/>
      <c r="P310" s="566">
        <v>360</v>
      </c>
      <c r="Q310" s="566"/>
      <c r="R310" s="566"/>
      <c r="S310" s="565">
        <f t="shared" si="173"/>
        <v>0</v>
      </c>
      <c r="T310" s="566">
        <f t="shared" si="174"/>
        <v>0</v>
      </c>
      <c r="U310" s="566"/>
      <c r="V310" s="566"/>
      <c r="W310" s="566"/>
      <c r="X310" s="566"/>
      <c r="Y310" s="566"/>
      <c r="Z310" s="566"/>
      <c r="AA310" s="565">
        <f t="shared" si="175"/>
        <v>0</v>
      </c>
      <c r="AB310" s="566"/>
      <c r="AC310" s="566"/>
      <c r="AD310" s="566"/>
      <c r="AE310" s="566"/>
      <c r="AF310" s="566"/>
      <c r="AG310" s="565">
        <f t="shared" si="176"/>
        <v>0</v>
      </c>
      <c r="AH310" s="566">
        <f t="shared" si="177"/>
        <v>0</v>
      </c>
      <c r="AI310" s="566">
        <f t="shared" si="178"/>
        <v>0</v>
      </c>
      <c r="AJ310" s="566">
        <f t="shared" si="179"/>
        <v>0</v>
      </c>
      <c r="AK310" s="566">
        <f t="shared" si="180"/>
        <v>0</v>
      </c>
      <c r="AL310" s="566">
        <f t="shared" si="181"/>
        <v>0</v>
      </c>
      <c r="AM310" s="566">
        <f t="shared" si="182"/>
        <v>0</v>
      </c>
      <c r="AN310" s="566"/>
      <c r="AO310" s="304"/>
    </row>
    <row r="311" s="130" customFormat="1" ht="24" spans="1:41">
      <c r="A311" s="1" t="s">
        <v>215</v>
      </c>
      <c r="B311" s="1" t="s">
        <v>206</v>
      </c>
      <c r="C311" s="1" t="s">
        <v>640</v>
      </c>
      <c r="D311" s="1" t="s">
        <v>641</v>
      </c>
      <c r="E311" s="563">
        <f t="shared" si="169"/>
        <v>101.59352</v>
      </c>
      <c r="F311" s="564">
        <f t="shared" si="170"/>
        <v>0</v>
      </c>
      <c r="G311" s="564">
        <f t="shared" si="171"/>
        <v>0</v>
      </c>
      <c r="H311" s="564"/>
      <c r="I311" s="564"/>
      <c r="J311" s="564"/>
      <c r="K311" s="564"/>
      <c r="L311" s="564"/>
      <c r="M311" s="564"/>
      <c r="N311" s="563">
        <f t="shared" si="172"/>
        <v>0</v>
      </c>
      <c r="O311" s="564"/>
      <c r="P311" s="564"/>
      <c r="Q311" s="564"/>
      <c r="R311" s="564"/>
      <c r="S311" s="563">
        <f t="shared" si="173"/>
        <v>78.55</v>
      </c>
      <c r="T311" s="564">
        <f t="shared" si="174"/>
        <v>58.76</v>
      </c>
      <c r="U311" s="564">
        <v>34.73</v>
      </c>
      <c r="V311" s="564"/>
      <c r="W311" s="564">
        <v>11.94</v>
      </c>
      <c r="X311" s="564"/>
      <c r="Y311" s="564"/>
      <c r="Z311" s="564">
        <v>12.09</v>
      </c>
      <c r="AA311" s="563">
        <f t="shared" si="175"/>
        <v>19.79</v>
      </c>
      <c r="AB311" s="564">
        <v>7.17</v>
      </c>
      <c r="AC311" s="564"/>
      <c r="AD311" s="564">
        <v>8.12</v>
      </c>
      <c r="AE311" s="564"/>
      <c r="AF311" s="564">
        <v>4.5</v>
      </c>
      <c r="AG311" s="563">
        <f t="shared" si="176"/>
        <v>23.04352</v>
      </c>
      <c r="AH311" s="564">
        <f t="shared" si="177"/>
        <v>8.6144</v>
      </c>
      <c r="AI311" s="564">
        <f t="shared" si="178"/>
        <v>4.3072</v>
      </c>
      <c r="AJ311" s="564">
        <f t="shared" si="179"/>
        <v>3.2304</v>
      </c>
      <c r="AK311" s="564">
        <f t="shared" si="180"/>
        <v>0.10768</v>
      </c>
      <c r="AL311" s="564">
        <f t="shared" si="181"/>
        <v>0.32304</v>
      </c>
      <c r="AM311" s="564">
        <f t="shared" si="182"/>
        <v>6.4608</v>
      </c>
      <c r="AN311" s="564"/>
      <c r="AO311" s="304"/>
    </row>
  </sheetData>
  <autoFilter ref="A6:AP311">
    <extLst/>
  </autoFilter>
  <mergeCells count="25">
    <mergeCell ref="B2:D2"/>
    <mergeCell ref="E3:AN3"/>
    <mergeCell ref="F4:R4"/>
    <mergeCell ref="S4:AF4"/>
    <mergeCell ref="AG4:AN4"/>
    <mergeCell ref="G5:M5"/>
    <mergeCell ref="N5:R5"/>
    <mergeCell ref="T5:Z5"/>
    <mergeCell ref="AA5:AF5"/>
    <mergeCell ref="A3:A6"/>
    <mergeCell ref="B3:B6"/>
    <mergeCell ref="C3:C6"/>
    <mergeCell ref="D3:D6"/>
    <mergeCell ref="E4:E6"/>
    <mergeCell ref="F5:F6"/>
    <mergeCell ref="S5:S6"/>
    <mergeCell ref="AG5:AG6"/>
    <mergeCell ref="AH5:AH6"/>
    <mergeCell ref="AI5:AI6"/>
    <mergeCell ref="AJ5:AJ6"/>
    <mergeCell ref="AK5:AK6"/>
    <mergeCell ref="AL5:AL6"/>
    <mergeCell ref="AM5:AM6"/>
    <mergeCell ref="AN5:AN6"/>
    <mergeCell ref="AO3:AO6"/>
  </mergeCells>
  <conditionalFormatting sqref="C261">
    <cfRule type="duplicateValues" dxfId="0" priority="2"/>
  </conditionalFormatting>
  <dataValidations count="1">
    <dataValidation type="list" allowBlank="1" showInputMessage="1" showErrorMessage="1" sqref="A243 B243 C243 D243 A244 B244 C244 D244 A245 B245 C245 D245 A246 B246 C246 D246 A247 B247 C247 D247 A248 B248 C248 D248 A249 B249 C249 D249 A250 B250 C250 D250 A251 B251 C251 D251 A252 B252 C252 D252 A253 B253 C253 D253 A254 B254 C254 D254 A255 B255 C255 D255 A256 B256 C256 D256 A257 B257 C257 D257 A258 B258 C258 D258 B259 C259 D259 B260 C260 D260 A261 B261 D261">
      <formula1>#REF!</formula1>
    </dataValidation>
  </dataValidations>
  <pageMargins left="0.699305555555556" right="0.699305555555556" top="0.75" bottom="0.75" header="0.3" footer="0.3"/>
  <pageSetup paperSize="9" scale="28" fitToHeight="0"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24</vt:i4>
      </vt:variant>
    </vt:vector>
  </HeadingPairs>
  <TitlesOfParts>
    <vt:vector size="24" baseType="lpstr">
      <vt:lpstr>1 收支平衡表</vt:lpstr>
      <vt:lpstr>Sheet2</vt:lpstr>
      <vt:lpstr>2 县本级统筹财力</vt:lpstr>
      <vt:lpstr>3 收入</vt:lpstr>
      <vt:lpstr>4 科目汇总表</vt:lpstr>
      <vt:lpstr>工资福利汇总表</vt:lpstr>
      <vt:lpstr>工资福利（公务员、参公人员）</vt:lpstr>
      <vt:lpstr>工资福利 （事业人员）</vt:lpstr>
      <vt:lpstr>工资福利（年初预算）</vt:lpstr>
      <vt:lpstr>对个人和家庭补助</vt:lpstr>
      <vt:lpstr>商品和服务支出</vt:lpstr>
      <vt:lpstr>项目支出</vt:lpstr>
      <vt:lpstr>无法列入2023调整预算</vt:lpstr>
      <vt:lpstr>无法列入2023年初预算 </vt:lpstr>
      <vt:lpstr>5 基金平衡表</vt:lpstr>
      <vt:lpstr>6 基金收入</vt:lpstr>
      <vt:lpstr>7 基金支出</vt:lpstr>
      <vt:lpstr>基金支出明细</vt:lpstr>
      <vt:lpstr>8 社保基金预算</vt:lpstr>
      <vt:lpstr>存量安排的支出</vt:lpstr>
      <vt:lpstr>9 收回存量安排</vt:lpstr>
      <vt:lpstr>10 新增专项债券资金用途特殊调整情况表</vt:lpstr>
      <vt:lpstr>11 财政直达资金支出进度表</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2021-11-19T09:25:00Z</dcterms:created>
  <dcterms:modified xsi:type="dcterms:W3CDTF">2024-01-10T08:49:33Z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2052-11.1.0.7764</vt:lpwstr>
  </property>
  <property fmtid="{D5CDD505-2E9C-101B-9397-08002B2CF9AE}" pid="3" name="KSOReadingLayout">
    <vt:bool>false</vt:bool>
  </property>
  <property fmtid="{D5CDD505-2E9C-101B-9397-08002B2CF9AE}" pid="4" name="ICV">
    <vt:lpwstr>38A7D608A18E4B4D8BD7DC6D709141CA</vt:lpwstr>
  </property>
</Properties>
</file>